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1\Trimestre 3 -seguimiento\Seg Trimestre 3 2021\Publicación\"/>
    </mc:Choice>
  </mc:AlternateContent>
  <xr:revisionPtr revIDLastSave="0" documentId="13_ncr:1_{F53BE82E-D21D-4880-9D7B-E0D97C397D48}" xr6:coauthVersionLast="41" xr6:coauthVersionMax="41" xr10:uidLastSave="{00000000-0000-0000-0000-000000000000}"/>
  <workbookProtection workbookAlgorithmName="SHA-512" workbookHashValue="QbkRMoTD1pHAO761VTfJ0hgOTpv1xlnl2TF+A8XD4m7yVZsp0XdUhIx3XcSuIDCYKR1iXI5r0mU2FwCxiKcgpA==" workbookSaltValue="EhHnIo43N+ZFodn8tjBGsA==" workbookSpinCount="100000" lockStructure="1"/>
  <bookViews>
    <workbookView xWindow="-108" yWindow="-108" windowWidth="23256" windowHeight="12576" tabRatio="666" firstSheet="4" activeTab="4" xr2:uid="{00000000-000D-0000-FFFF-FFFF00000000}"/>
  </bookViews>
  <sheets>
    <sheet name="01-PL-09 POA 2021 (Pág 1 de 2)" sheetId="49" state="hidden" r:id="rId1"/>
    <sheet name="01-PL-09 POA 2021 (Pág 2 de 2)" sheetId="57" state="hidden" r:id="rId2"/>
    <sheet name="Listas1" sheetId="61" state="hidden" r:id="rId3"/>
    <sheet name="Rango indicadores" sheetId="59" state="hidden" r:id="rId4"/>
    <sheet name="4-Grado Cum Objetivos Est &amp; Cal" sheetId="70" r:id="rId5"/>
    <sheet name="3-Grado Cump Metas Estratégicas" sheetId="67" r:id="rId6"/>
    <sheet name="2- Resumen Ejec PEI 2021" sheetId="69" r:id="rId7"/>
    <sheet name="1-Infor Det Sgto PEI 2021-2024 " sheetId="64" r:id="rId8"/>
    <sheet name="Matriz PEI 2021-2024" sheetId="66" state="hidden" r:id="rId9"/>
    <sheet name="4.Seguimiento Medición POA 2021" sheetId="63" state="hidden" r:id="rId10"/>
    <sheet name="3.Resum Desempeño Procesos POA " sheetId="62" state="hidden" r:id="rId11"/>
    <sheet name="2.Infor Detallado Desempeño POA" sheetId="60" state="hidden" r:id="rId12"/>
    <sheet name="1.Informe Seguimiento POA 2021" sheetId="58" state="hidden" r:id="rId13"/>
    <sheet name="01-FR-03 POA INSTITUCIONAL" sheetId="38" state="hidden" r:id="rId14"/>
    <sheet name="01-DIRECCIONAMIENTO ESTRATÉGICO" sheetId="37" state="hidden" r:id="rId15"/>
    <sheet name="02-G. CONOCIMIENTO INNOVACIÓN" sheetId="45" state="hidden" r:id="rId16"/>
    <sheet name="03-DIRECCIONAMIENTO TIC" sheetId="44" state="hidden" r:id="rId17"/>
    <sheet name="04-COMUNICACIÓN ESTRATÉGICA" sheetId="56" state="hidden" r:id="rId18"/>
    <sheet name="05-POA PROM DEFENSA DERECHOS" sheetId="41" state="hidden" r:id="rId19"/>
    <sheet name="06-PREV CTRL FUN PÚBLICA" sheetId="42" state="hidden" r:id="rId20"/>
    <sheet name="07-POTESTAD DISCIPLINARIA" sheetId="43" state="hidden" r:id="rId21"/>
    <sheet name="08-G. DEL TALENTO HUMANO" sheetId="47" state="hidden" r:id="rId22"/>
    <sheet name="09-G.  ADMINISTRATIVA" sheetId="48" state="hidden" r:id="rId23"/>
    <sheet name="10-GESTIÓN FINANCIERA" sheetId="51" state="hidden" r:id="rId24"/>
    <sheet name="11-GESTIÓN CONTRACTUAL" sheetId="50" state="hidden" r:id="rId25"/>
    <sheet name="12-GESTIÓN DOCUMENTAL" sheetId="52" state="hidden" r:id="rId26"/>
    <sheet name="13-GESTIÓN JURÍDICA" sheetId="53" state="hidden" r:id="rId27"/>
    <sheet name="14-SERVICIO AL USUARIO" sheetId="46" state="hidden" r:id="rId28"/>
    <sheet name="15-CTRL DISCIPLINARIO INTERNO" sheetId="54" state="hidden" r:id="rId29"/>
    <sheet name="16-EVALUACIÓN Y SEGUIMIENTO" sheetId="55" state="hidden" r:id="rId30"/>
    <sheet name="Instrucciones Dil (Pág 3 de 3)" sheetId="39" state="hidden" r:id="rId31"/>
    <sheet name="LISTAS" sheetId="40" state="hidden" r:id="rId32"/>
  </sheets>
  <externalReferences>
    <externalReference r:id="rId33"/>
    <externalReference r:id="rId34"/>
    <externalReference r:id="rId35"/>
    <externalReference r:id="rId36"/>
    <externalReference r:id="rId37"/>
    <externalReference r:id="rId38"/>
  </externalReferences>
  <definedNames>
    <definedName name="_xlnm.Print_Area" localSheetId="0">'01-PL-09 POA 2021 (Pág 1 de 2)'!$A$1:$F$29</definedName>
    <definedName name="_xlnm.Print_Area" localSheetId="18">'05-POA PROM DEFENSA DERECHOS'!$A$1:$BH$48</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4" i="60" l="1"/>
  <c r="I75" i="60"/>
  <c r="I76" i="60"/>
  <c r="I77" i="60"/>
  <c r="H74" i="60"/>
  <c r="H75" i="60"/>
  <c r="H76" i="60"/>
  <c r="H77" i="60"/>
  <c r="G74" i="60"/>
  <c r="G75" i="60"/>
  <c r="G76" i="60"/>
  <c r="G77" i="60"/>
  <c r="F74" i="60"/>
  <c r="F75" i="60"/>
  <c r="F76" i="60"/>
  <c r="F77" i="60"/>
  <c r="B7" i="70" l="1"/>
  <c r="B7" i="67" l="1"/>
  <c r="C5" i="67"/>
  <c r="C4" i="69"/>
  <c r="BJ93" i="64"/>
  <c r="BJ94" i="64"/>
  <c r="BJ95" i="64"/>
  <c r="BJ92" i="64"/>
  <c r="BJ90" i="64"/>
  <c r="BJ91" i="64"/>
  <c r="BJ84" i="64"/>
  <c r="BJ85" i="64"/>
  <c r="BJ86" i="64"/>
  <c r="BJ87" i="64"/>
  <c r="BJ88" i="64"/>
  <c r="BJ89" i="64"/>
  <c r="BJ81" i="64"/>
  <c r="BJ79" i="64"/>
  <c r="BJ80" i="64"/>
  <c r="BJ78" i="64"/>
  <c r="BJ77" i="64"/>
  <c r="BJ76" i="64"/>
  <c r="BJ75" i="64"/>
  <c r="BJ74" i="64"/>
  <c r="BJ73" i="64"/>
  <c r="BJ72" i="64"/>
  <c r="BJ71" i="64"/>
  <c r="BJ70" i="64"/>
  <c r="BJ69" i="64"/>
  <c r="BJ68" i="64"/>
  <c r="BI67" i="64"/>
  <c r="BJ66" i="64"/>
  <c r="BI66" i="64"/>
  <c r="BJ65" i="64"/>
  <c r="BI65" i="64"/>
  <c r="BI64" i="64"/>
  <c r="BJ64" i="64"/>
  <c r="BJ61" i="64"/>
  <c r="BJ62" i="64"/>
  <c r="BJ63" i="64"/>
  <c r="BI62" i="64"/>
  <c r="BI63" i="64"/>
  <c r="BI61" i="64"/>
  <c r="BJ58" i="64"/>
  <c r="BJ59" i="64"/>
  <c r="BJ60" i="64"/>
  <c r="BJ57" i="64"/>
  <c r="BJ56" i="64"/>
  <c r="BJ55" i="64"/>
  <c r="BJ52" i="64"/>
  <c r="BJ53" i="64"/>
  <c r="BJ54" i="64"/>
  <c r="BJ45" i="64"/>
  <c r="BJ46" i="64"/>
  <c r="BJ47" i="64"/>
  <c r="BJ48" i="64"/>
  <c r="BJ49" i="64"/>
  <c r="BJ50" i="64"/>
  <c r="BJ51" i="64"/>
  <c r="BJ42" i="64"/>
  <c r="BJ43" i="64"/>
  <c r="BJ44" i="64"/>
  <c r="BJ41" i="64"/>
  <c r="BJ40" i="64"/>
  <c r="BJ39" i="64"/>
  <c r="BJ38" i="64"/>
  <c r="BJ37" i="64"/>
  <c r="BJ30" i="64"/>
  <c r="BJ31" i="64"/>
  <c r="BJ32" i="64"/>
  <c r="BJ33" i="64"/>
  <c r="BJ34" i="64"/>
  <c r="BJ35" i="64"/>
  <c r="BJ36" i="64"/>
  <c r="BJ29" i="64"/>
  <c r="BJ28" i="64"/>
  <c r="BJ25" i="64"/>
  <c r="BJ26" i="64"/>
  <c r="BJ27" i="64"/>
  <c r="BJ21" i="64"/>
  <c r="BJ22" i="64"/>
  <c r="BJ23" i="64"/>
  <c r="BJ24" i="64"/>
  <c r="BJ20" i="64"/>
  <c r="BI95" i="64"/>
  <c r="BI94" i="64"/>
  <c r="BI93" i="64"/>
  <c r="BI92" i="64"/>
  <c r="BI91" i="64"/>
  <c r="BI90" i="64"/>
  <c r="BI89" i="64"/>
  <c r="BI88" i="64"/>
  <c r="BI87" i="64"/>
  <c r="BI86" i="64"/>
  <c r="BI85" i="64"/>
  <c r="BI84" i="64"/>
  <c r="BJ82" i="64"/>
  <c r="BJ83" i="64"/>
  <c r="BI82" i="64"/>
  <c r="BI83" i="64"/>
  <c r="BI81" i="64"/>
  <c r="BI80" i="64"/>
  <c r="BI79" i="64"/>
  <c r="BI78" i="64"/>
  <c r="BI77" i="64"/>
  <c r="BI76" i="64"/>
  <c r="BI75" i="64"/>
  <c r="BI74" i="64"/>
  <c r="BI73" i="64"/>
  <c r="BI72" i="64"/>
  <c r="BI71" i="64"/>
  <c r="BI70" i="64"/>
  <c r="BI69" i="64"/>
  <c r="BI68" i="64"/>
  <c r="BI60" i="64"/>
  <c r="BI59" i="64"/>
  <c r="BI58" i="64"/>
  <c r="BI56" i="64"/>
  <c r="BI57" i="64"/>
  <c r="BI55" i="64"/>
  <c r="BI54" i="64"/>
  <c r="BI53" i="64"/>
  <c r="BI52" i="64"/>
  <c r="BI51" i="64"/>
  <c r="BI50" i="64"/>
  <c r="BI49" i="64"/>
  <c r="BI48" i="64"/>
  <c r="BI47" i="64"/>
  <c r="BI46" i="64"/>
  <c r="BI45" i="64"/>
  <c r="BI40" i="64"/>
  <c r="BI38" i="64"/>
  <c r="BI44" i="64"/>
  <c r="BI43" i="64"/>
  <c r="BI42" i="64"/>
  <c r="BI41" i="64"/>
  <c r="BI39" i="64"/>
  <c r="BI37" i="64"/>
  <c r="BI36" i="64"/>
  <c r="BI35" i="64"/>
  <c r="BI34" i="64"/>
  <c r="BI33" i="64"/>
  <c r="BI32" i="64"/>
  <c r="BI31" i="64"/>
  <c r="BI30" i="64"/>
  <c r="BI29" i="64"/>
  <c r="BI28" i="64"/>
  <c r="BI27" i="64"/>
  <c r="BI26" i="64"/>
  <c r="BI25" i="64"/>
  <c r="BI24" i="64"/>
  <c r="BI23" i="64"/>
  <c r="BI22" i="64"/>
  <c r="BI21" i="64"/>
  <c r="BI20" i="64"/>
  <c r="D58" i="63"/>
  <c r="D57" i="63"/>
  <c r="D56" i="63"/>
  <c r="D55" i="63"/>
  <c r="G45" i="63"/>
  <c r="F45" i="63"/>
  <c r="G52" i="63"/>
  <c r="F52" i="63"/>
  <c r="E52" i="63"/>
  <c r="G51" i="63"/>
  <c r="F51" i="63"/>
  <c r="E51" i="63"/>
  <c r="G50" i="63"/>
  <c r="F50" i="63"/>
  <c r="E50" i="63"/>
  <c r="G49" i="63"/>
  <c r="F49" i="63"/>
  <c r="E49" i="63"/>
  <c r="G48" i="63"/>
  <c r="F48" i="63"/>
  <c r="E48" i="63"/>
  <c r="G47" i="63"/>
  <c r="F47" i="63"/>
  <c r="E47" i="63"/>
  <c r="G46" i="63"/>
  <c r="F46" i="63"/>
  <c r="E46" i="63"/>
  <c r="E45" i="63"/>
  <c r="G44" i="63"/>
  <c r="F44" i="63"/>
  <c r="E44" i="63"/>
  <c r="G43" i="63"/>
  <c r="F43" i="63"/>
  <c r="E43" i="63"/>
  <c r="H43" i="63" s="1"/>
  <c r="G41" i="63"/>
  <c r="F41" i="63"/>
  <c r="E41" i="63"/>
  <c r="G40" i="63"/>
  <c r="F40" i="63"/>
  <c r="E40" i="63"/>
  <c r="G39" i="63"/>
  <c r="F39" i="63"/>
  <c r="E39" i="63"/>
  <c r="D52" i="63"/>
  <c r="H52" i="63" s="1"/>
  <c r="D51" i="63"/>
  <c r="H51" i="63" s="1"/>
  <c r="D50" i="63"/>
  <c r="D49" i="63"/>
  <c r="D48" i="63"/>
  <c r="D47" i="63"/>
  <c r="D46" i="63"/>
  <c r="D45" i="63"/>
  <c r="D44" i="63"/>
  <c r="H44" i="63" s="1"/>
  <c r="D43" i="63"/>
  <c r="D41" i="63"/>
  <c r="D40" i="63"/>
  <c r="H40" i="63" s="1"/>
  <c r="D39" i="63"/>
  <c r="H39" i="63" s="1"/>
  <c r="D12" i="63"/>
  <c r="F38" i="63"/>
  <c r="G38" i="63"/>
  <c r="E38" i="63"/>
  <c r="D38" i="63"/>
  <c r="D9" i="63"/>
  <c r="I110" i="60"/>
  <c r="G110" i="60"/>
  <c r="F102" i="60"/>
  <c r="F101" i="60"/>
  <c r="F100" i="60"/>
  <c r="F99" i="60"/>
  <c r="F98" i="60"/>
  <c r="F97" i="60"/>
  <c r="G102" i="60"/>
  <c r="G101" i="60"/>
  <c r="G100" i="60"/>
  <c r="G99" i="60"/>
  <c r="H101" i="60"/>
  <c r="H102" i="60"/>
  <c r="I102" i="60"/>
  <c r="I101" i="60"/>
  <c r="I99" i="60"/>
  <c r="H99" i="60"/>
  <c r="H100" i="60"/>
  <c r="I100" i="60"/>
  <c r="H50" i="63" l="1"/>
  <c r="H41" i="63"/>
  <c r="H48" i="63"/>
  <c r="H45" i="63"/>
  <c r="H38" i="63"/>
  <c r="H46" i="63"/>
  <c r="H47" i="63"/>
  <c r="H49" i="63"/>
  <c r="M52" i="60"/>
  <c r="BI19" i="64" l="1"/>
  <c r="BI18" i="64"/>
  <c r="BJ18" i="64"/>
  <c r="BI16" i="64"/>
  <c r="BJ16" i="64"/>
  <c r="BI17" i="64"/>
  <c r="BJ17" i="64"/>
  <c r="BI14" i="64"/>
  <c r="BJ14" i="64"/>
  <c r="BI15" i="64"/>
  <c r="BJ15" i="64"/>
  <c r="BI13" i="64"/>
  <c r="BJ13" i="64"/>
  <c r="BI12" i="64"/>
  <c r="BJ12" i="64"/>
  <c r="BI11" i="64"/>
  <c r="BJ11" i="64"/>
  <c r="BI10" i="64"/>
  <c r="BJ10" i="64"/>
  <c r="BJ9" i="64"/>
  <c r="BI9" i="64"/>
  <c r="I174" i="60" l="1"/>
  <c r="H174" i="60"/>
  <c r="G174" i="60"/>
  <c r="F174" i="60"/>
  <c r="I173" i="60"/>
  <c r="H173" i="60"/>
  <c r="G173" i="60"/>
  <c r="F173" i="60"/>
  <c r="I172" i="60"/>
  <c r="H172" i="60"/>
  <c r="G172" i="60"/>
  <c r="F172" i="60"/>
  <c r="I166" i="60"/>
  <c r="H166" i="60"/>
  <c r="G166" i="60"/>
  <c r="F166" i="60"/>
  <c r="I165" i="60"/>
  <c r="H165" i="60"/>
  <c r="G165" i="60"/>
  <c r="F165" i="60"/>
  <c r="I164" i="60"/>
  <c r="H164" i="60"/>
  <c r="G164" i="60"/>
  <c r="F164" i="60"/>
  <c r="I158" i="60"/>
  <c r="H158" i="60"/>
  <c r="G158" i="60"/>
  <c r="F158" i="60"/>
  <c r="I157" i="60"/>
  <c r="H157" i="60"/>
  <c r="G157" i="60"/>
  <c r="F157" i="60"/>
  <c r="I156" i="60"/>
  <c r="H156" i="60"/>
  <c r="G156" i="60"/>
  <c r="F156" i="60"/>
  <c r="I155" i="60"/>
  <c r="H155" i="60"/>
  <c r="G155" i="60"/>
  <c r="F155" i="60"/>
  <c r="I154" i="60"/>
  <c r="H154" i="60"/>
  <c r="G154" i="60"/>
  <c r="F154" i="60"/>
  <c r="I148" i="60"/>
  <c r="I147" i="60"/>
  <c r="G148" i="60"/>
  <c r="G147" i="60"/>
  <c r="H148" i="60"/>
  <c r="H147" i="60"/>
  <c r="F148" i="60"/>
  <c r="F147" i="60"/>
  <c r="I146" i="60"/>
  <c r="H146" i="60"/>
  <c r="G146" i="60"/>
  <c r="F146" i="60"/>
  <c r="F145" i="60"/>
  <c r="I145" i="60"/>
  <c r="H145" i="60"/>
  <c r="G145" i="60"/>
  <c r="I138" i="60"/>
  <c r="I139" i="60"/>
  <c r="I137" i="60"/>
  <c r="G138" i="60"/>
  <c r="G139" i="60"/>
  <c r="G137" i="60"/>
  <c r="H138" i="60"/>
  <c r="H139" i="60"/>
  <c r="H137" i="60"/>
  <c r="F138" i="60"/>
  <c r="F139" i="60"/>
  <c r="F137" i="60"/>
  <c r="I136" i="60"/>
  <c r="H136" i="60"/>
  <c r="G136" i="60"/>
  <c r="F136" i="60"/>
  <c r="I130" i="60"/>
  <c r="H130" i="60"/>
  <c r="G130" i="60"/>
  <c r="F130" i="60"/>
  <c r="I129" i="60"/>
  <c r="H129" i="60"/>
  <c r="G129" i="60"/>
  <c r="F129" i="60"/>
  <c r="I128" i="60"/>
  <c r="H128" i="60"/>
  <c r="G128" i="60"/>
  <c r="F128" i="60"/>
  <c r="I122" i="60"/>
  <c r="H122" i="60"/>
  <c r="G122" i="60"/>
  <c r="F122" i="60"/>
  <c r="I121" i="60"/>
  <c r="H121" i="60"/>
  <c r="G121" i="60"/>
  <c r="F121" i="60"/>
  <c r="I115" i="60"/>
  <c r="H115" i="60"/>
  <c r="G115" i="60"/>
  <c r="F115" i="60"/>
  <c r="I114" i="60"/>
  <c r="H114" i="60"/>
  <c r="G114" i="60"/>
  <c r="F114" i="60"/>
  <c r="I113" i="60"/>
  <c r="H113" i="60"/>
  <c r="G113" i="60"/>
  <c r="F113" i="60"/>
  <c r="I112" i="60"/>
  <c r="H112" i="60"/>
  <c r="G112" i="60"/>
  <c r="F112" i="60"/>
  <c r="I111" i="60"/>
  <c r="H111" i="60"/>
  <c r="G111" i="60"/>
  <c r="F111" i="60"/>
  <c r="H110" i="60"/>
  <c r="F110" i="60"/>
  <c r="I109" i="60"/>
  <c r="H109" i="60"/>
  <c r="G109" i="60"/>
  <c r="F109" i="60"/>
  <c r="I108" i="60"/>
  <c r="H108" i="60"/>
  <c r="G108" i="60"/>
  <c r="F108" i="60"/>
  <c r="G98" i="60"/>
  <c r="I98" i="60"/>
  <c r="H98" i="60"/>
  <c r="I96" i="60"/>
  <c r="H96" i="60"/>
  <c r="G96" i="60"/>
  <c r="F96" i="60"/>
  <c r="I97" i="60"/>
  <c r="H97" i="60"/>
  <c r="G97" i="60"/>
  <c r="I95" i="60"/>
  <c r="H95" i="60"/>
  <c r="G95" i="60"/>
  <c r="F95" i="60"/>
  <c r="I89" i="60"/>
  <c r="H89" i="60"/>
  <c r="G89" i="60"/>
  <c r="F89" i="60"/>
  <c r="I88" i="60"/>
  <c r="H88" i="60"/>
  <c r="G88" i="60"/>
  <c r="F88" i="60"/>
  <c r="I87" i="60"/>
  <c r="H87" i="60"/>
  <c r="G87" i="60"/>
  <c r="F87" i="60"/>
  <c r="I86" i="60"/>
  <c r="H86" i="60"/>
  <c r="G86" i="60"/>
  <c r="F86" i="60"/>
  <c r="I85" i="60"/>
  <c r="H85" i="60"/>
  <c r="G85" i="60"/>
  <c r="F85" i="60"/>
  <c r="I84" i="60"/>
  <c r="H84" i="60"/>
  <c r="G84" i="60"/>
  <c r="F84" i="60"/>
  <c r="I83" i="60"/>
  <c r="H83" i="60"/>
  <c r="G83" i="60"/>
  <c r="F83" i="60"/>
  <c r="L63" i="60"/>
  <c r="I63" i="60"/>
  <c r="H63" i="60"/>
  <c r="G63" i="60"/>
  <c r="F63" i="60"/>
  <c r="I73" i="60"/>
  <c r="H73" i="60"/>
  <c r="G73" i="60"/>
  <c r="F73" i="60"/>
  <c r="I72" i="60"/>
  <c r="H72" i="60"/>
  <c r="G72" i="60"/>
  <c r="F72" i="60"/>
  <c r="I71" i="60"/>
  <c r="H71" i="60"/>
  <c r="G71" i="60"/>
  <c r="F71" i="60"/>
  <c r="I70" i="60"/>
  <c r="H70" i="60"/>
  <c r="G70" i="60"/>
  <c r="F70" i="60"/>
  <c r="I69" i="60"/>
  <c r="H69" i="60"/>
  <c r="G69" i="60"/>
  <c r="F69" i="60"/>
  <c r="I68" i="60"/>
  <c r="H68" i="60"/>
  <c r="G68" i="60"/>
  <c r="F68" i="60"/>
  <c r="I67" i="60"/>
  <c r="H67" i="60"/>
  <c r="G67" i="60"/>
  <c r="F67" i="60"/>
  <c r="I66" i="60"/>
  <c r="H66" i="60"/>
  <c r="G66" i="60"/>
  <c r="F66" i="60"/>
  <c r="I65" i="60"/>
  <c r="H65" i="60"/>
  <c r="G65" i="60"/>
  <c r="F65" i="60"/>
  <c r="I64" i="60"/>
  <c r="H64" i="60"/>
  <c r="G64" i="60"/>
  <c r="F64" i="60"/>
  <c r="I62" i="60"/>
  <c r="H62" i="60"/>
  <c r="G62" i="60"/>
  <c r="F62" i="60"/>
  <c r="I61" i="60"/>
  <c r="H61" i="60"/>
  <c r="G61" i="60"/>
  <c r="F61" i="60"/>
  <c r="I60" i="60"/>
  <c r="H60" i="60"/>
  <c r="G60" i="60"/>
  <c r="F60" i="60"/>
  <c r="I59" i="60"/>
  <c r="H59" i="60"/>
  <c r="G59" i="60"/>
  <c r="F59" i="60"/>
  <c r="I58" i="60"/>
  <c r="H58" i="60"/>
  <c r="G58" i="60"/>
  <c r="F58" i="60"/>
  <c r="I57" i="60"/>
  <c r="H57" i="60"/>
  <c r="G57" i="60"/>
  <c r="F57" i="60"/>
  <c r="I51" i="60"/>
  <c r="H51" i="60"/>
  <c r="G51" i="60"/>
  <c r="I50" i="60"/>
  <c r="H50" i="60"/>
  <c r="G50" i="60"/>
  <c r="I49" i="60"/>
  <c r="H49" i="60"/>
  <c r="G49" i="60"/>
  <c r="F51" i="60"/>
  <c r="F50" i="60"/>
  <c r="F49" i="60"/>
  <c r="I43" i="60"/>
  <c r="I42" i="60"/>
  <c r="H43" i="60"/>
  <c r="H42" i="60"/>
  <c r="G43" i="60"/>
  <c r="G42" i="60"/>
  <c r="F43" i="60"/>
  <c r="F42" i="60"/>
  <c r="I31" i="60"/>
  <c r="I32" i="60"/>
  <c r="I33" i="60"/>
  <c r="I34" i="60"/>
  <c r="I35" i="60"/>
  <c r="I36" i="60"/>
  <c r="I30" i="60"/>
  <c r="H34" i="60"/>
  <c r="H35" i="60"/>
  <c r="H36" i="60"/>
  <c r="H31" i="60"/>
  <c r="H32" i="60"/>
  <c r="H33" i="60"/>
  <c r="H30" i="60"/>
  <c r="G31" i="60"/>
  <c r="G32" i="60"/>
  <c r="G33" i="60"/>
  <c r="G34" i="60"/>
  <c r="G35" i="60"/>
  <c r="G36" i="60"/>
  <c r="G30" i="60"/>
  <c r="F36" i="60"/>
  <c r="F31" i="60"/>
  <c r="F32" i="60"/>
  <c r="F33" i="60"/>
  <c r="F34" i="60"/>
  <c r="F35" i="60"/>
  <c r="F30" i="60"/>
  <c r="I23" i="60"/>
  <c r="I24" i="60"/>
  <c r="I22" i="60"/>
  <c r="G24" i="60"/>
  <c r="H23" i="60"/>
  <c r="H24" i="60"/>
  <c r="H22" i="60"/>
  <c r="G23" i="60"/>
  <c r="G22" i="60"/>
  <c r="F23" i="60"/>
  <c r="F24" i="60"/>
  <c r="F22" i="60"/>
  <c r="I15" i="60"/>
  <c r="I16" i="60"/>
  <c r="I14" i="60"/>
  <c r="I13" i="60"/>
  <c r="H16" i="60"/>
  <c r="H15" i="60"/>
  <c r="H14" i="60"/>
  <c r="H13" i="60"/>
  <c r="G16" i="60"/>
  <c r="G15" i="60"/>
  <c r="G14" i="60"/>
  <c r="G13" i="60"/>
  <c r="F16" i="60"/>
  <c r="F15" i="60"/>
  <c r="F14" i="60"/>
  <c r="F13" i="60"/>
  <c r="AD71" i="58"/>
  <c r="AD70" i="58"/>
  <c r="Y71" i="58"/>
  <c r="Z71" i="58"/>
  <c r="Z70" i="58"/>
  <c r="AG71" i="58"/>
  <c r="AG70" i="58"/>
  <c r="AG61" i="58"/>
  <c r="AG60" i="58"/>
  <c r="AG57" i="58"/>
  <c r="AG58" i="58"/>
  <c r="AG59" i="58"/>
  <c r="AG56" i="58"/>
  <c r="AG54" i="58"/>
  <c r="AG55" i="58"/>
  <c r="AG50" i="58"/>
  <c r="AG51" i="58"/>
  <c r="AG52" i="58"/>
  <c r="AG53" i="58"/>
  <c r="AG49" i="58"/>
  <c r="AG47" i="58"/>
  <c r="AG48" i="58"/>
  <c r="AG45" i="58"/>
  <c r="AG46" i="58"/>
  <c r="AG42" i="58"/>
  <c r="AG43" i="58"/>
  <c r="AG44" i="58"/>
  <c r="BG16" i="43"/>
  <c r="AG41" i="58"/>
  <c r="AG36" i="58"/>
  <c r="AG37" i="58"/>
  <c r="AG38" i="58"/>
  <c r="AG39" i="58"/>
  <c r="AG40" i="58"/>
  <c r="AG35" i="58"/>
  <c r="AG34" i="58"/>
  <c r="BG36" i="41"/>
  <c r="BF36" i="41"/>
  <c r="BG35" i="41"/>
  <c r="BF35" i="41"/>
  <c r="BG34" i="41"/>
  <c r="BF34" i="41"/>
  <c r="BG33" i="41"/>
  <c r="AG30" i="58" s="1"/>
  <c r="BF33" i="41"/>
  <c r="BG32" i="41"/>
  <c r="AG29" i="58" s="1"/>
  <c r="BF32" i="41"/>
  <c r="BG31" i="41"/>
  <c r="AG28" i="58" s="1"/>
  <c r="BF31" i="41"/>
  <c r="BG30" i="41"/>
  <c r="BF30" i="41"/>
  <c r="BG29" i="41"/>
  <c r="AG26" i="58" s="1"/>
  <c r="BF29" i="41"/>
  <c r="BG28" i="41"/>
  <c r="BF28" i="41"/>
  <c r="BG27" i="41"/>
  <c r="BF27" i="41"/>
  <c r="BF25" i="41"/>
  <c r="BG25" i="41"/>
  <c r="BG24" i="41"/>
  <c r="BF24" i="41"/>
  <c r="BG22" i="41"/>
  <c r="AG19" i="58" s="1"/>
  <c r="AG14" i="58"/>
  <c r="AG15" i="58"/>
  <c r="AG16" i="58"/>
  <c r="AG17" i="58"/>
  <c r="AG18" i="58"/>
  <c r="AG20" i="58"/>
  <c r="AG21" i="58"/>
  <c r="AG22" i="58"/>
  <c r="AG23" i="58"/>
  <c r="AG24" i="58"/>
  <c r="AG25" i="58"/>
  <c r="AG27" i="58"/>
  <c r="AG31" i="58"/>
  <c r="AG32" i="58"/>
  <c r="AG33" i="58"/>
  <c r="AG13" i="58"/>
  <c r="AG98" i="58"/>
  <c r="AG99" i="58"/>
  <c r="AG97" i="58"/>
  <c r="AD98" i="58"/>
  <c r="AD99" i="58"/>
  <c r="AD97" i="58"/>
  <c r="AG96" i="58"/>
  <c r="AD96" i="58"/>
  <c r="Z95" i="58"/>
  <c r="Z94" i="58"/>
  <c r="Y95" i="58"/>
  <c r="Y94" i="58"/>
  <c r="AG95" i="58"/>
  <c r="AG94" i="58"/>
  <c r="AD95" i="58"/>
  <c r="AD94" i="58"/>
  <c r="AG92" i="58"/>
  <c r="AG93" i="58"/>
  <c r="AG91" i="58"/>
  <c r="AD92" i="58"/>
  <c r="AD93" i="58"/>
  <c r="AD91" i="58"/>
  <c r="AG89" i="58"/>
  <c r="AG90" i="58"/>
  <c r="AD90" i="58"/>
  <c r="AD89" i="58"/>
  <c r="AG88" i="58"/>
  <c r="AD88" i="58"/>
  <c r="BG19" i="50"/>
  <c r="BG18" i="50"/>
  <c r="BG17" i="50"/>
  <c r="AG85" i="58" s="1"/>
  <c r="Z85" i="58"/>
  <c r="Y87" i="58"/>
  <c r="Y86" i="58"/>
  <c r="Y85" i="58"/>
  <c r="Z87" i="58"/>
  <c r="Z86" i="58"/>
  <c r="AG86" i="58"/>
  <c r="AG87" i="58"/>
  <c r="AD86" i="58"/>
  <c r="AD87" i="58"/>
  <c r="AD85" i="58"/>
  <c r="Z81" i="58"/>
  <c r="Z82" i="58"/>
  <c r="Z83" i="58"/>
  <c r="Z84" i="58"/>
  <c r="Z80" i="58"/>
  <c r="Y81" i="58"/>
  <c r="Y82" i="58"/>
  <c r="Y83" i="58"/>
  <c r="Y84" i="58"/>
  <c r="Y80" i="58"/>
  <c r="AG81" i="58"/>
  <c r="AG82" i="58"/>
  <c r="AG83" i="58"/>
  <c r="AG84" i="58"/>
  <c r="AD81" i="58"/>
  <c r="AD82" i="58"/>
  <c r="AD83" i="58"/>
  <c r="AD84" i="58"/>
  <c r="AG80" i="58"/>
  <c r="AD80" i="58"/>
  <c r="Z77" i="58"/>
  <c r="Y77" i="58"/>
  <c r="AG77" i="58"/>
  <c r="AG78" i="58"/>
  <c r="AG79" i="58"/>
  <c r="AD77" i="58"/>
  <c r="AD78" i="58"/>
  <c r="AD79" i="58"/>
  <c r="AG76" i="58"/>
  <c r="AD76" i="58"/>
  <c r="AG75" i="58"/>
  <c r="Z76" i="58"/>
  <c r="Y76" i="58"/>
  <c r="AD75" i="58"/>
  <c r="AG73" i="58"/>
  <c r="AG74" i="58"/>
  <c r="AD73" i="58"/>
  <c r="AD74" i="58"/>
  <c r="AG72" i="58"/>
  <c r="AD72" i="58"/>
  <c r="AG63" i="58"/>
  <c r="AG64" i="58"/>
  <c r="AG65" i="58"/>
  <c r="AG66" i="58"/>
  <c r="AG67" i="58"/>
  <c r="AG68" i="58"/>
  <c r="AG69" i="58"/>
  <c r="AD63" i="58"/>
  <c r="AD64" i="58"/>
  <c r="AD65" i="58"/>
  <c r="AD66" i="58"/>
  <c r="AD67" i="58"/>
  <c r="AD68" i="58"/>
  <c r="AD69" i="58"/>
  <c r="AG62" i="58"/>
  <c r="AD62" i="58"/>
  <c r="Z64" i="58"/>
  <c r="Z63" i="58"/>
  <c r="Y70" i="58"/>
  <c r="Y64" i="58"/>
  <c r="Y63" i="58"/>
  <c r="Y62" i="58"/>
  <c r="Z62" i="58"/>
  <c r="X60" i="58"/>
  <c r="Y60" i="58" s="1"/>
  <c r="AD61" i="58"/>
  <c r="AD60" i="58"/>
  <c r="AD57" i="58"/>
  <c r="AD58" i="58"/>
  <c r="AD59" i="58"/>
  <c r="AD56" i="58"/>
  <c r="AD54" i="58"/>
  <c r="AD55" i="58"/>
  <c r="AD50" i="58"/>
  <c r="AD51" i="58"/>
  <c r="AD52" i="58"/>
  <c r="AD53" i="58"/>
  <c r="AD49" i="58"/>
  <c r="Y42" i="58"/>
  <c r="Z42" i="58"/>
  <c r="Z19" i="58"/>
  <c r="Z44" i="58"/>
  <c r="Y44" i="58"/>
  <c r="AD46" i="58"/>
  <c r="AD47" i="58"/>
  <c r="AD48" i="58"/>
  <c r="AD42" i="58"/>
  <c r="AD43" i="58"/>
  <c r="AD44" i="58"/>
  <c r="AD45" i="58"/>
  <c r="AD41" i="58"/>
  <c r="AD38" i="58"/>
  <c r="AD39" i="58"/>
  <c r="AD40" i="58"/>
  <c r="AD35" i="58"/>
  <c r="AD36" i="58"/>
  <c r="AD37" i="58"/>
  <c r="AD34" i="58"/>
  <c r="AD14" i="58"/>
  <c r="AD15" i="58"/>
  <c r="AD16" i="58"/>
  <c r="AD17" i="58"/>
  <c r="AD18" i="58"/>
  <c r="AD19" i="58"/>
  <c r="AD20" i="58"/>
  <c r="AD21" i="58"/>
  <c r="AD22" i="58"/>
  <c r="AD23" i="58"/>
  <c r="AD24" i="58"/>
  <c r="AD25" i="58"/>
  <c r="AD26" i="58"/>
  <c r="AD27" i="58"/>
  <c r="AD28" i="58"/>
  <c r="AD29" i="58"/>
  <c r="AD30" i="58"/>
  <c r="AD31" i="58"/>
  <c r="AD32" i="58"/>
  <c r="AD33" i="58"/>
  <c r="AD13" i="58"/>
  <c r="Y19" i="58"/>
  <c r="T95" i="58"/>
  <c r="T94" i="58"/>
  <c r="T81" i="58"/>
  <c r="T82" i="58"/>
  <c r="T83" i="58"/>
  <c r="T84" i="58"/>
  <c r="T80" i="58"/>
  <c r="T77" i="58"/>
  <c r="T76" i="58"/>
  <c r="T86" i="58"/>
  <c r="T87" i="58"/>
  <c r="T85" i="58"/>
  <c r="T75" i="58"/>
  <c r="T71" i="58"/>
  <c r="T70" i="58"/>
  <c r="T63" i="58"/>
  <c r="T64" i="58"/>
  <c r="T62" i="58"/>
  <c r="T44" i="58" l="1"/>
  <c r="T43" i="58"/>
  <c r="T42" i="58"/>
  <c r="T19" i="58"/>
  <c r="BD16" i="46" l="1"/>
  <c r="AY19" i="50" l="1"/>
  <c r="AY18" i="50"/>
  <c r="AU18" i="50"/>
  <c r="AU19" i="50"/>
  <c r="AM19" i="50"/>
  <c r="AM18" i="50"/>
  <c r="AU17" i="50" l="1"/>
  <c r="AM17" i="50"/>
  <c r="AY17" i="50"/>
  <c r="AM21" i="42" l="1"/>
  <c r="AM20" i="42" l="1"/>
  <c r="AY17" i="48" l="1"/>
  <c r="AY16" i="48"/>
  <c r="AW16" i="48"/>
  <c r="BC17" i="45" l="1"/>
  <c r="C29" i="66" l="1"/>
  <c r="C28" i="66"/>
  <c r="C27" i="66"/>
  <c r="C26" i="66"/>
  <c r="C25" i="66"/>
  <c r="C24" i="66"/>
  <c r="C23" i="66"/>
  <c r="C22" i="66"/>
  <c r="C21" i="66"/>
  <c r="C20" i="66"/>
  <c r="C19" i="66"/>
  <c r="C18" i="66"/>
  <c r="C17" i="66"/>
  <c r="C16" i="66"/>
  <c r="C15" i="66"/>
  <c r="C14" i="66"/>
  <c r="C13" i="66"/>
  <c r="C12" i="66"/>
  <c r="C11" i="66"/>
  <c r="C10" i="66"/>
  <c r="AR32" i="41" l="1"/>
  <c r="AR31" i="41"/>
  <c r="AR29" i="41"/>
  <c r="AR28" i="41"/>
  <c r="AR27" i="41"/>
  <c r="AP32" i="41"/>
  <c r="AP31" i="41"/>
  <c r="AP29" i="41"/>
  <c r="AP28" i="41"/>
  <c r="AP27" i="41"/>
  <c r="AN32" i="41"/>
  <c r="AN31" i="41"/>
  <c r="AN29" i="41"/>
  <c r="AN28" i="41"/>
  <c r="AN27" i="41"/>
  <c r="AJ32" i="41"/>
  <c r="AJ31" i="41"/>
  <c r="AJ29" i="41"/>
  <c r="AJ28" i="41"/>
  <c r="AJ27" i="41"/>
  <c r="AH32" i="41"/>
  <c r="AH31" i="41"/>
  <c r="AH29" i="41"/>
  <c r="AH28" i="41"/>
  <c r="AH27" i="41"/>
  <c r="AR20" i="41"/>
  <c r="AR18" i="41"/>
  <c r="AR17" i="41"/>
  <c r="AP20" i="41"/>
  <c r="AP18" i="41"/>
  <c r="AP17" i="41"/>
  <c r="AN20" i="41"/>
  <c r="AN18" i="41"/>
  <c r="AN17" i="41"/>
  <c r="AJ20" i="41"/>
  <c r="AJ18" i="41"/>
  <c r="AJ17" i="41"/>
  <c r="AH20" i="41"/>
  <c r="AH18" i="41"/>
  <c r="AH17" i="41"/>
  <c r="AR16" i="41"/>
  <c r="AP16" i="41"/>
  <c r="AN16" i="41"/>
  <c r="AJ16" i="41"/>
  <c r="AH16" i="41"/>
  <c r="E47" i="69" l="1"/>
  <c r="E48" i="69"/>
  <c r="E46" i="69"/>
  <c r="E45" i="69"/>
  <c r="E44" i="69"/>
  <c r="E43" i="69"/>
  <c r="E42" i="69"/>
  <c r="E41" i="69"/>
  <c r="E40" i="69"/>
  <c r="E39" i="69"/>
  <c r="E36" i="69"/>
  <c r="E35" i="69"/>
  <c r="G73" i="64"/>
  <c r="G72" i="64"/>
  <c r="F73" i="64"/>
  <c r="F72" i="64"/>
  <c r="E38" i="69" s="1"/>
  <c r="G71" i="64"/>
  <c r="F71" i="64"/>
  <c r="E37" i="69" s="1"/>
  <c r="E34" i="69"/>
  <c r="E33" i="69"/>
  <c r="G65" i="64"/>
  <c r="F65" i="64"/>
  <c r="G60" i="64"/>
  <c r="G59" i="64"/>
  <c r="G58" i="64"/>
  <c r="F59" i="64"/>
  <c r="E31" i="69" s="1"/>
  <c r="F60" i="64"/>
  <c r="E32" i="69" s="1"/>
  <c r="F58" i="64"/>
  <c r="E30" i="69" s="1"/>
  <c r="E25" i="69"/>
  <c r="E26" i="69"/>
  <c r="E27" i="69"/>
  <c r="E28" i="69"/>
  <c r="E29" i="69"/>
  <c r="E24" i="69"/>
  <c r="E23" i="69"/>
  <c r="E22" i="69"/>
  <c r="E21" i="69"/>
  <c r="E20" i="69"/>
  <c r="E19" i="69"/>
  <c r="E18" i="69"/>
  <c r="E17" i="69"/>
  <c r="E16" i="69"/>
  <c r="E15" i="69"/>
  <c r="E14" i="69"/>
  <c r="E13" i="69"/>
  <c r="D12" i="69"/>
  <c r="E12" i="69"/>
  <c r="B15" i="70"/>
  <c r="B14" i="70"/>
  <c r="B13" i="70"/>
  <c r="B12" i="70"/>
  <c r="B11" i="70"/>
  <c r="E10" i="69"/>
  <c r="E11" i="69"/>
  <c r="D46" i="69" l="1"/>
  <c r="D47" i="69"/>
  <c r="D48" i="69"/>
  <c r="D23" i="69"/>
  <c r="D24" i="69"/>
  <c r="D30" i="69"/>
  <c r="D35" i="69"/>
  <c r="D43" i="69"/>
  <c r="D44" i="69"/>
  <c r="D45" i="69"/>
  <c r="D22" i="69"/>
  <c r="D21" i="69"/>
  <c r="D19" i="69"/>
  <c r="D17" i="69"/>
  <c r="D14" i="69"/>
  <c r="D15" i="69"/>
  <c r="D16" i="69"/>
  <c r="D13" i="69"/>
  <c r="D10" i="69"/>
  <c r="C48" i="69"/>
  <c r="C47" i="69"/>
  <c r="C46" i="69"/>
  <c r="B46" i="69"/>
  <c r="C45" i="69"/>
  <c r="C44" i="69"/>
  <c r="C43" i="69"/>
  <c r="C35" i="69"/>
  <c r="C30" i="69"/>
  <c r="C24" i="69"/>
  <c r="C23" i="69"/>
  <c r="B23" i="69"/>
  <c r="C22" i="69"/>
  <c r="C21" i="69"/>
  <c r="C19" i="69"/>
  <c r="C17" i="69"/>
  <c r="B17" i="69"/>
  <c r="C16" i="69"/>
  <c r="C15" i="69"/>
  <c r="C14" i="69"/>
  <c r="B14" i="69"/>
  <c r="C13" i="69"/>
  <c r="C12" i="69"/>
  <c r="C10" i="69"/>
  <c r="B10" i="69"/>
  <c r="C30" i="67"/>
  <c r="C29" i="67"/>
  <c r="C28" i="67"/>
  <c r="B28" i="67"/>
  <c r="C27" i="67"/>
  <c r="C26" i="67"/>
  <c r="C25" i="67"/>
  <c r="C24" i="67"/>
  <c r="C23" i="67"/>
  <c r="C22" i="67"/>
  <c r="C21" i="67"/>
  <c r="B21" i="67"/>
  <c r="C20" i="67"/>
  <c r="C19" i="67"/>
  <c r="C18" i="67"/>
  <c r="C17" i="67"/>
  <c r="B17" i="67"/>
  <c r="C16" i="67"/>
  <c r="C15" i="67"/>
  <c r="C14" i="67"/>
  <c r="B14" i="67"/>
  <c r="C13" i="67"/>
  <c r="C12" i="67"/>
  <c r="C11" i="67"/>
  <c r="B11" i="67"/>
  <c r="Z60" i="58" l="1"/>
  <c r="Y94" i="64" l="1"/>
  <c r="F47" i="69" s="1"/>
  <c r="Y95" i="64"/>
  <c r="F48" i="69" s="1"/>
  <c r="Y93" i="64"/>
  <c r="F46" i="69" s="1"/>
  <c r="Y92" i="64"/>
  <c r="F45" i="69" s="1"/>
  <c r="Y91" i="64"/>
  <c r="Y90" i="64"/>
  <c r="Y89" i="64"/>
  <c r="Y88" i="64"/>
  <c r="Y87" i="64"/>
  <c r="Y86" i="64"/>
  <c r="Y85" i="64"/>
  <c r="Y84" i="64"/>
  <c r="Y83" i="64"/>
  <c r="Y82" i="64"/>
  <c r="Y81" i="64"/>
  <c r="Y80" i="64"/>
  <c r="Y79" i="64"/>
  <c r="Y78" i="64"/>
  <c r="Y77" i="64"/>
  <c r="Y76" i="64"/>
  <c r="Y75" i="64"/>
  <c r="Y74" i="64"/>
  <c r="Y73" i="64"/>
  <c r="F39" i="69" s="1"/>
  <c r="Y72" i="64"/>
  <c r="F38" i="69" s="1"/>
  <c r="Y67" i="64"/>
  <c r="Y66" i="64"/>
  <c r="Y65" i="64"/>
  <c r="F34" i="69" s="1"/>
  <c r="Y64" i="64"/>
  <c r="Y62" i="64"/>
  <c r="Y61" i="64"/>
  <c r="Y60" i="64"/>
  <c r="F32" i="69" s="1"/>
  <c r="Y59" i="64"/>
  <c r="F31" i="69" s="1"/>
  <c r="Y58" i="64"/>
  <c r="F30" i="69" s="1"/>
  <c r="Y57" i="64"/>
  <c r="F29" i="69" s="1"/>
  <c r="AA56" i="64"/>
  <c r="H28" i="69" s="1"/>
  <c r="Z56" i="64"/>
  <c r="G28" i="69" s="1"/>
  <c r="Y56" i="64"/>
  <c r="F28" i="69" s="1"/>
  <c r="Y54" i="64"/>
  <c r="F26" i="69" s="1"/>
  <c r="Y55" i="64"/>
  <c r="F27" i="69" s="1"/>
  <c r="Y53" i="64"/>
  <c r="F25" i="69" s="1"/>
  <c r="Y52" i="64"/>
  <c r="F24" i="69" s="1"/>
  <c r="Y51" i="64"/>
  <c r="Y48" i="64"/>
  <c r="Y49" i="64"/>
  <c r="Y50" i="64"/>
  <c r="Y46" i="64"/>
  <c r="Y47" i="64"/>
  <c r="Y45" i="64"/>
  <c r="F23" i="69" s="1"/>
  <c r="Y43" i="64"/>
  <c r="Y44" i="64"/>
  <c r="Y42" i="64"/>
  <c r="F22" i="69" s="1"/>
  <c r="Y41" i="64"/>
  <c r="F21" i="69" s="1"/>
  <c r="Y40" i="64"/>
  <c r="F20" i="69" s="1"/>
  <c r="Y39" i="64"/>
  <c r="F19" i="69" s="1"/>
  <c r="Y38" i="64"/>
  <c r="F18" i="69" s="1"/>
  <c r="Y37" i="64"/>
  <c r="F17" i="69" s="1"/>
  <c r="Y36" i="64"/>
  <c r="Y31" i="64"/>
  <c r="Y32" i="64"/>
  <c r="Y33" i="64"/>
  <c r="Y34" i="64"/>
  <c r="Y35" i="64"/>
  <c r="Y30" i="64"/>
  <c r="F14" i="69" s="1"/>
  <c r="Y29" i="64"/>
  <c r="Y26" i="64"/>
  <c r="F13" i="69" s="1"/>
  <c r="Y27" i="64"/>
  <c r="Y28" i="64"/>
  <c r="Y19" i="64"/>
  <c r="Y18" i="64"/>
  <c r="Y17" i="64"/>
  <c r="Y16" i="64"/>
  <c r="Y15" i="64"/>
  <c r="Y14" i="64"/>
  <c r="X95" i="64"/>
  <c r="W95" i="64"/>
  <c r="U95" i="64"/>
  <c r="T95" i="64"/>
  <c r="S95" i="64"/>
  <c r="R95" i="64"/>
  <c r="Q95" i="64"/>
  <c r="X94" i="64"/>
  <c r="W94" i="64"/>
  <c r="U94" i="64"/>
  <c r="T94" i="64"/>
  <c r="S94" i="64"/>
  <c r="R94" i="64"/>
  <c r="Q94" i="64"/>
  <c r="X93" i="64"/>
  <c r="W93" i="64"/>
  <c r="U93" i="64"/>
  <c r="T93" i="64"/>
  <c r="S93" i="64"/>
  <c r="R93" i="64"/>
  <c r="Q93" i="64"/>
  <c r="X92" i="64"/>
  <c r="W92" i="64"/>
  <c r="U92" i="64"/>
  <c r="T92" i="64"/>
  <c r="S92" i="64"/>
  <c r="R92" i="64"/>
  <c r="Q92" i="64"/>
  <c r="X91" i="64"/>
  <c r="W91" i="64"/>
  <c r="V91" i="64"/>
  <c r="U91" i="64"/>
  <c r="T91" i="64"/>
  <c r="S91" i="64"/>
  <c r="R91" i="64"/>
  <c r="Q91" i="64"/>
  <c r="X90" i="64"/>
  <c r="W90" i="64"/>
  <c r="V90" i="64"/>
  <c r="U90" i="64"/>
  <c r="T90" i="64"/>
  <c r="S90" i="64"/>
  <c r="R90" i="64"/>
  <c r="Q90" i="64"/>
  <c r="X89" i="64"/>
  <c r="W89" i="64"/>
  <c r="U89" i="64"/>
  <c r="T89" i="64"/>
  <c r="S89" i="64"/>
  <c r="R89" i="64"/>
  <c r="Q89" i="64"/>
  <c r="X88" i="64"/>
  <c r="W88" i="64"/>
  <c r="U88" i="64"/>
  <c r="T88" i="64"/>
  <c r="S88" i="64"/>
  <c r="R88" i="64"/>
  <c r="Q88" i="64"/>
  <c r="W87" i="64"/>
  <c r="U87" i="64"/>
  <c r="T87" i="64"/>
  <c r="S87" i="64"/>
  <c r="R87" i="64"/>
  <c r="Q87" i="64"/>
  <c r="X86" i="64"/>
  <c r="W86" i="64"/>
  <c r="U86" i="64"/>
  <c r="T86" i="64"/>
  <c r="S86" i="64"/>
  <c r="R86" i="64"/>
  <c r="Q86" i="64"/>
  <c r="X85" i="64"/>
  <c r="W85" i="64"/>
  <c r="U85" i="64"/>
  <c r="T85" i="64"/>
  <c r="S85" i="64"/>
  <c r="R85" i="64"/>
  <c r="Q85" i="64"/>
  <c r="X84" i="64"/>
  <c r="W84" i="64"/>
  <c r="U84" i="64"/>
  <c r="T84" i="64"/>
  <c r="S84" i="64"/>
  <c r="R84" i="64"/>
  <c r="Q84" i="64"/>
  <c r="X83" i="64"/>
  <c r="W83" i="64"/>
  <c r="V83" i="64"/>
  <c r="U83" i="64"/>
  <c r="T83" i="64"/>
  <c r="S83" i="64"/>
  <c r="R83" i="64"/>
  <c r="Q83" i="64"/>
  <c r="X82" i="64"/>
  <c r="W82" i="64"/>
  <c r="V82" i="64"/>
  <c r="U82" i="64"/>
  <c r="T82" i="64"/>
  <c r="S82" i="64"/>
  <c r="R82" i="64"/>
  <c r="Q82" i="64"/>
  <c r="X81" i="64"/>
  <c r="W81" i="64"/>
  <c r="V81" i="64"/>
  <c r="U81" i="64"/>
  <c r="T81" i="64"/>
  <c r="S81" i="64"/>
  <c r="R81" i="64"/>
  <c r="Q81" i="64"/>
  <c r="X80" i="64"/>
  <c r="W80" i="64"/>
  <c r="V80" i="64"/>
  <c r="U80" i="64"/>
  <c r="T80" i="64"/>
  <c r="S80" i="64"/>
  <c r="R80" i="64"/>
  <c r="Q80" i="64"/>
  <c r="X79" i="64"/>
  <c r="W79" i="64"/>
  <c r="V79" i="64"/>
  <c r="U79" i="64"/>
  <c r="T79" i="64"/>
  <c r="S79" i="64"/>
  <c r="R79" i="64"/>
  <c r="Q79" i="64"/>
  <c r="X78" i="64"/>
  <c r="W78" i="64"/>
  <c r="V78" i="64"/>
  <c r="U78" i="64"/>
  <c r="T78" i="64"/>
  <c r="S78" i="64"/>
  <c r="R78" i="64"/>
  <c r="Q78" i="64"/>
  <c r="X77" i="64"/>
  <c r="W77" i="64"/>
  <c r="V77" i="64"/>
  <c r="U77" i="64"/>
  <c r="T77" i="64"/>
  <c r="S77" i="64"/>
  <c r="R77" i="64"/>
  <c r="Q77" i="64"/>
  <c r="X76" i="64"/>
  <c r="W76" i="64"/>
  <c r="V76" i="64"/>
  <c r="U76" i="64"/>
  <c r="T76" i="64"/>
  <c r="S76" i="64"/>
  <c r="R76" i="64"/>
  <c r="Q76" i="64"/>
  <c r="X75" i="64"/>
  <c r="W75" i="64"/>
  <c r="U75" i="64"/>
  <c r="T75" i="64"/>
  <c r="S75" i="64"/>
  <c r="R75" i="64"/>
  <c r="Q75" i="64"/>
  <c r="X74" i="64"/>
  <c r="W74" i="64"/>
  <c r="U74" i="64"/>
  <c r="T74" i="64"/>
  <c r="S74" i="64"/>
  <c r="R74" i="64"/>
  <c r="Q74" i="64"/>
  <c r="X73" i="64"/>
  <c r="Q72" i="64"/>
  <c r="R72" i="64"/>
  <c r="S72" i="64"/>
  <c r="T72" i="64"/>
  <c r="U72" i="64"/>
  <c r="V72" i="64"/>
  <c r="W72" i="64"/>
  <c r="X72" i="64"/>
  <c r="Q73" i="64"/>
  <c r="R73" i="64"/>
  <c r="S73" i="64"/>
  <c r="T73" i="64"/>
  <c r="U73" i="64"/>
  <c r="V73" i="64"/>
  <c r="W73" i="64"/>
  <c r="Q67" i="64"/>
  <c r="R67" i="64"/>
  <c r="S67" i="64"/>
  <c r="T67" i="64"/>
  <c r="U67" i="64"/>
  <c r="V67" i="64"/>
  <c r="W67" i="64"/>
  <c r="X67" i="64"/>
  <c r="X66" i="64"/>
  <c r="W66" i="64"/>
  <c r="V66" i="64"/>
  <c r="U66" i="64"/>
  <c r="T66" i="64"/>
  <c r="S66" i="64"/>
  <c r="R66" i="64"/>
  <c r="Q66" i="64"/>
  <c r="Q65" i="64"/>
  <c r="R65" i="64"/>
  <c r="S65" i="64"/>
  <c r="T65" i="64"/>
  <c r="U65" i="64"/>
  <c r="W65" i="64"/>
  <c r="X65" i="64"/>
  <c r="R63" i="64"/>
  <c r="T63" i="64"/>
  <c r="W63" i="64"/>
  <c r="X63" i="64"/>
  <c r="Q64" i="64"/>
  <c r="R64" i="64"/>
  <c r="S64" i="64"/>
  <c r="T64" i="64"/>
  <c r="U64" i="64"/>
  <c r="W64" i="64"/>
  <c r="X64" i="64"/>
  <c r="Q60" i="64"/>
  <c r="R60" i="64"/>
  <c r="S60" i="64"/>
  <c r="T60" i="64"/>
  <c r="U60" i="64"/>
  <c r="V60" i="64"/>
  <c r="W60" i="64"/>
  <c r="X60" i="64"/>
  <c r="Q61" i="64"/>
  <c r="R61" i="64"/>
  <c r="S61" i="64"/>
  <c r="T61" i="64"/>
  <c r="U61" i="64"/>
  <c r="W61" i="64"/>
  <c r="X61" i="64"/>
  <c r="Q62" i="64"/>
  <c r="R62" i="64"/>
  <c r="S62" i="64"/>
  <c r="T62" i="64"/>
  <c r="U62" i="64"/>
  <c r="W62" i="64"/>
  <c r="X62" i="64"/>
  <c r="Q59" i="64"/>
  <c r="R59" i="64"/>
  <c r="S59" i="64"/>
  <c r="T59" i="64"/>
  <c r="U59" i="64"/>
  <c r="V59" i="64"/>
  <c r="W59" i="64"/>
  <c r="X59" i="64"/>
  <c r="X58" i="64"/>
  <c r="W58" i="64"/>
  <c r="V58" i="64"/>
  <c r="U58" i="64"/>
  <c r="T58" i="64"/>
  <c r="S58" i="64"/>
  <c r="R58" i="64"/>
  <c r="Q58" i="64"/>
  <c r="X57" i="64"/>
  <c r="W57" i="64"/>
  <c r="U57" i="64"/>
  <c r="T57" i="64"/>
  <c r="S57" i="64"/>
  <c r="R57" i="64"/>
  <c r="Q57" i="64"/>
  <c r="U56" i="64"/>
  <c r="W56" i="64"/>
  <c r="X56" i="64"/>
  <c r="U55" i="64"/>
  <c r="W55" i="64"/>
  <c r="X55" i="64"/>
  <c r="N55" i="64"/>
  <c r="AJ55" i="64" s="1"/>
  <c r="O55" i="64"/>
  <c r="AU55" i="64" s="1"/>
  <c r="P55" i="64"/>
  <c r="BF55" i="64" s="1"/>
  <c r="Q55" i="64"/>
  <c r="T55" i="64"/>
  <c r="S55" i="64"/>
  <c r="R55" i="64"/>
  <c r="M55" i="64"/>
  <c r="T56" i="64"/>
  <c r="S56" i="64"/>
  <c r="R56" i="64"/>
  <c r="Q56" i="64"/>
  <c r="P56" i="64"/>
  <c r="BF56" i="64" s="1"/>
  <c r="O56" i="64"/>
  <c r="AU56" i="64" s="1"/>
  <c r="N56" i="64"/>
  <c r="AJ56" i="64" s="1"/>
  <c r="M56" i="64"/>
  <c r="X54" i="64"/>
  <c r="W54" i="64"/>
  <c r="U54" i="64"/>
  <c r="T54" i="64"/>
  <c r="S54" i="64"/>
  <c r="R54" i="64"/>
  <c r="Q54" i="64"/>
  <c r="X53" i="64"/>
  <c r="W53" i="64"/>
  <c r="U53" i="64"/>
  <c r="T53" i="64"/>
  <c r="S53" i="64"/>
  <c r="R53" i="64"/>
  <c r="Q53" i="64"/>
  <c r="W52" i="64"/>
  <c r="U52" i="64"/>
  <c r="T52" i="64"/>
  <c r="S52" i="64"/>
  <c r="R52" i="64"/>
  <c r="Q52" i="64"/>
  <c r="T46" i="64"/>
  <c r="T47" i="64"/>
  <c r="T48" i="64"/>
  <c r="T49" i="64"/>
  <c r="T50" i="64"/>
  <c r="T51" i="64"/>
  <c r="T45" i="64"/>
  <c r="X51" i="64"/>
  <c r="W51" i="64"/>
  <c r="U51" i="64"/>
  <c r="S51" i="64"/>
  <c r="R51" i="64"/>
  <c r="Q51" i="64"/>
  <c r="X50" i="64"/>
  <c r="W50" i="64"/>
  <c r="U50" i="64"/>
  <c r="S50" i="64"/>
  <c r="R50" i="64"/>
  <c r="Q50" i="64"/>
  <c r="X49" i="64"/>
  <c r="W49" i="64"/>
  <c r="U49" i="64"/>
  <c r="S49" i="64"/>
  <c r="R49" i="64"/>
  <c r="Q49" i="64"/>
  <c r="X48" i="64"/>
  <c r="W48" i="64"/>
  <c r="U48" i="64"/>
  <c r="S48" i="64"/>
  <c r="R48" i="64"/>
  <c r="Q48" i="64"/>
  <c r="X47" i="64"/>
  <c r="W47" i="64"/>
  <c r="U47" i="64"/>
  <c r="S47" i="64"/>
  <c r="R47" i="64"/>
  <c r="Q47" i="64"/>
  <c r="X46" i="64"/>
  <c r="W46" i="64"/>
  <c r="U46" i="64"/>
  <c r="S46" i="64"/>
  <c r="R46" i="64"/>
  <c r="Q46" i="64"/>
  <c r="X45" i="64"/>
  <c r="W45" i="64"/>
  <c r="U45" i="64"/>
  <c r="S45" i="64"/>
  <c r="R45" i="64"/>
  <c r="Q45" i="64"/>
  <c r="X44" i="64"/>
  <c r="W44" i="64"/>
  <c r="U44" i="64"/>
  <c r="T44" i="64"/>
  <c r="S44" i="64"/>
  <c r="R44" i="64"/>
  <c r="Q44" i="64"/>
  <c r="X43" i="64"/>
  <c r="W43" i="64"/>
  <c r="U43" i="64"/>
  <c r="T43" i="64"/>
  <c r="S43" i="64"/>
  <c r="R43" i="64"/>
  <c r="Q43" i="64"/>
  <c r="X42" i="64"/>
  <c r="W42" i="64"/>
  <c r="U42" i="64"/>
  <c r="T42" i="64"/>
  <c r="S42" i="64"/>
  <c r="R42" i="64"/>
  <c r="Q42" i="64"/>
  <c r="X41" i="64"/>
  <c r="W41" i="64"/>
  <c r="U41" i="64"/>
  <c r="T41" i="64"/>
  <c r="S41" i="64"/>
  <c r="R41" i="64"/>
  <c r="Q41" i="64"/>
  <c r="X40" i="64"/>
  <c r="W40" i="64"/>
  <c r="V40" i="64"/>
  <c r="U40" i="64"/>
  <c r="T40" i="64"/>
  <c r="S40" i="64"/>
  <c r="R40" i="64"/>
  <c r="Q40" i="64"/>
  <c r="X38" i="64"/>
  <c r="W38" i="64"/>
  <c r="V38" i="64"/>
  <c r="U38" i="64"/>
  <c r="T38" i="64"/>
  <c r="S38" i="64"/>
  <c r="R38" i="64"/>
  <c r="Q38" i="64"/>
  <c r="X39" i="64"/>
  <c r="W39" i="64"/>
  <c r="U39" i="64"/>
  <c r="T39" i="64"/>
  <c r="S39" i="64"/>
  <c r="R39" i="64"/>
  <c r="Q39" i="64"/>
  <c r="X37" i="64"/>
  <c r="W37" i="64"/>
  <c r="U37" i="64"/>
  <c r="T37" i="64"/>
  <c r="S37" i="64"/>
  <c r="R37" i="64"/>
  <c r="Q37" i="64"/>
  <c r="Q29" i="64"/>
  <c r="R29" i="64"/>
  <c r="S29" i="64"/>
  <c r="T29" i="64"/>
  <c r="U29" i="64"/>
  <c r="W29" i="64"/>
  <c r="X29" i="64"/>
  <c r="X36" i="64"/>
  <c r="W36" i="64"/>
  <c r="U36" i="64"/>
  <c r="T36" i="64"/>
  <c r="S36" i="64"/>
  <c r="R36" i="64"/>
  <c r="Q36" i="64"/>
  <c r="X35" i="64"/>
  <c r="W35" i="64"/>
  <c r="U35" i="64"/>
  <c r="T35" i="64"/>
  <c r="S35" i="64"/>
  <c r="R35" i="64"/>
  <c r="Q35" i="64"/>
  <c r="X34" i="64"/>
  <c r="W34" i="64"/>
  <c r="U34" i="64"/>
  <c r="T34" i="64"/>
  <c r="S34" i="64"/>
  <c r="R34" i="64"/>
  <c r="Q34" i="64"/>
  <c r="X33" i="64"/>
  <c r="W33" i="64"/>
  <c r="U33" i="64"/>
  <c r="T33" i="64"/>
  <c r="S33" i="64"/>
  <c r="R33" i="64"/>
  <c r="Q33" i="64"/>
  <c r="X32" i="64"/>
  <c r="W32" i="64"/>
  <c r="U32" i="64"/>
  <c r="T32" i="64"/>
  <c r="S32" i="64"/>
  <c r="R32" i="64"/>
  <c r="Q32" i="64"/>
  <c r="X31" i="64"/>
  <c r="W31" i="64"/>
  <c r="U31" i="64"/>
  <c r="T31" i="64"/>
  <c r="S31" i="64"/>
  <c r="R31" i="64"/>
  <c r="Q31" i="64"/>
  <c r="X30" i="64"/>
  <c r="W30" i="64"/>
  <c r="U30" i="64"/>
  <c r="T30" i="64"/>
  <c r="S30" i="64"/>
  <c r="R30" i="64"/>
  <c r="Q30" i="64"/>
  <c r="X28" i="64"/>
  <c r="W28" i="64"/>
  <c r="U28" i="64"/>
  <c r="T28" i="64"/>
  <c r="S28" i="64"/>
  <c r="R28" i="64"/>
  <c r="Q28" i="64"/>
  <c r="X27" i="64"/>
  <c r="W27" i="64"/>
  <c r="U27" i="64"/>
  <c r="T27" i="64"/>
  <c r="S27" i="64"/>
  <c r="R27" i="64"/>
  <c r="Q27" i="64"/>
  <c r="X26" i="64"/>
  <c r="W26" i="64"/>
  <c r="U26" i="64"/>
  <c r="T26" i="64"/>
  <c r="S26" i="64"/>
  <c r="R26" i="64"/>
  <c r="Q26" i="64"/>
  <c r="X25" i="64"/>
  <c r="T25" i="64"/>
  <c r="S25" i="64"/>
  <c r="R25" i="64"/>
  <c r="Q25" i="64"/>
  <c r="X24" i="64"/>
  <c r="T24" i="64"/>
  <c r="S24" i="64"/>
  <c r="R24" i="64"/>
  <c r="Q24" i="64"/>
  <c r="X23" i="64"/>
  <c r="T23" i="64"/>
  <c r="S23" i="64"/>
  <c r="R23" i="64"/>
  <c r="Q23" i="64"/>
  <c r="X22" i="64"/>
  <c r="T22" i="64"/>
  <c r="S22" i="64"/>
  <c r="R22" i="64"/>
  <c r="Q22" i="64"/>
  <c r="X21" i="64"/>
  <c r="T21" i="64"/>
  <c r="S21" i="64"/>
  <c r="R21" i="64"/>
  <c r="Q21" i="64"/>
  <c r="X20" i="64"/>
  <c r="T20" i="64"/>
  <c r="S20" i="64"/>
  <c r="R20" i="64"/>
  <c r="Q20" i="64"/>
  <c r="X19" i="64"/>
  <c r="W19" i="64"/>
  <c r="V19" i="64"/>
  <c r="U19" i="64"/>
  <c r="T19" i="64"/>
  <c r="S19" i="64"/>
  <c r="R19" i="64"/>
  <c r="Q19" i="64"/>
  <c r="Q16" i="64"/>
  <c r="R16" i="64"/>
  <c r="S16" i="64"/>
  <c r="T16" i="64"/>
  <c r="U16" i="64"/>
  <c r="W16" i="64"/>
  <c r="X16" i="64"/>
  <c r="Q17" i="64"/>
  <c r="R17" i="64"/>
  <c r="S17" i="64"/>
  <c r="T17" i="64"/>
  <c r="U17" i="64"/>
  <c r="W17" i="64"/>
  <c r="X17" i="64"/>
  <c r="Q18" i="64"/>
  <c r="R18" i="64"/>
  <c r="S18" i="64"/>
  <c r="T18" i="64"/>
  <c r="U18" i="64"/>
  <c r="W18" i="64"/>
  <c r="X18" i="64"/>
  <c r="X15" i="64"/>
  <c r="W15" i="64"/>
  <c r="U15" i="64"/>
  <c r="T15" i="64"/>
  <c r="S15" i="64"/>
  <c r="R15" i="64"/>
  <c r="Q15" i="64"/>
  <c r="Q14" i="64"/>
  <c r="R14" i="64"/>
  <c r="S14" i="64"/>
  <c r="T14" i="64"/>
  <c r="U14" i="64"/>
  <c r="W14" i="64"/>
  <c r="X14" i="64"/>
  <c r="Q13" i="64"/>
  <c r="R13" i="64"/>
  <c r="S13" i="64"/>
  <c r="T13" i="64"/>
  <c r="X13" i="64"/>
  <c r="Q10" i="64"/>
  <c r="R10" i="64"/>
  <c r="S10" i="64"/>
  <c r="T10" i="64"/>
  <c r="X10" i="64"/>
  <c r="Q11" i="64"/>
  <c r="R11" i="64"/>
  <c r="S11" i="64"/>
  <c r="T11" i="64"/>
  <c r="X11" i="64"/>
  <c r="Q12" i="64"/>
  <c r="R12" i="64"/>
  <c r="S12" i="64"/>
  <c r="T12" i="64"/>
  <c r="X12" i="64"/>
  <c r="P95" i="64"/>
  <c r="BF95" i="64" s="1"/>
  <c r="O95" i="64"/>
  <c r="AU95" i="64" s="1"/>
  <c r="N95" i="64"/>
  <c r="AJ95" i="64" s="1"/>
  <c r="M95" i="64"/>
  <c r="P94" i="64"/>
  <c r="BF94" i="64" s="1"/>
  <c r="O94" i="64"/>
  <c r="AU94" i="64" s="1"/>
  <c r="N94" i="64"/>
  <c r="AJ94" i="64" s="1"/>
  <c r="M94" i="64"/>
  <c r="P93" i="64"/>
  <c r="BF93" i="64" s="1"/>
  <c r="O93" i="64"/>
  <c r="AU93" i="64" s="1"/>
  <c r="N93" i="64"/>
  <c r="AJ93" i="64" s="1"/>
  <c r="M93" i="64"/>
  <c r="P92" i="64"/>
  <c r="BF92" i="64" s="1"/>
  <c r="O92" i="64"/>
  <c r="AU92" i="64" s="1"/>
  <c r="N92" i="64"/>
  <c r="AJ92" i="64" s="1"/>
  <c r="M92" i="64"/>
  <c r="P91" i="64"/>
  <c r="BF91" i="64" s="1"/>
  <c r="O91" i="64"/>
  <c r="AU91" i="64" s="1"/>
  <c r="N91" i="64"/>
  <c r="AJ91" i="64" s="1"/>
  <c r="M91" i="64"/>
  <c r="P90" i="64"/>
  <c r="BF90" i="64" s="1"/>
  <c r="O90" i="64"/>
  <c r="AU90" i="64" s="1"/>
  <c r="N90" i="64"/>
  <c r="AJ90" i="64" s="1"/>
  <c r="M90" i="64"/>
  <c r="P89" i="64"/>
  <c r="BF89" i="64" s="1"/>
  <c r="O89" i="64"/>
  <c r="AU89" i="64" s="1"/>
  <c r="N89" i="64"/>
  <c r="AJ89" i="64" s="1"/>
  <c r="M89" i="64"/>
  <c r="P88" i="64"/>
  <c r="BF88" i="64" s="1"/>
  <c r="O88" i="64"/>
  <c r="AU88" i="64" s="1"/>
  <c r="N88" i="64"/>
  <c r="AJ88" i="64" s="1"/>
  <c r="M88" i="64"/>
  <c r="P87" i="64"/>
  <c r="BF87" i="64" s="1"/>
  <c r="O87" i="64"/>
  <c r="AU87" i="64" s="1"/>
  <c r="N87" i="64"/>
  <c r="AJ87" i="64" s="1"/>
  <c r="M87" i="64"/>
  <c r="P86" i="64"/>
  <c r="BF86" i="64" s="1"/>
  <c r="O86" i="64"/>
  <c r="AU86" i="64" s="1"/>
  <c r="N86" i="64"/>
  <c r="AJ86" i="64" s="1"/>
  <c r="M86" i="64"/>
  <c r="P85" i="64"/>
  <c r="BF85" i="64" s="1"/>
  <c r="O85" i="64"/>
  <c r="AU85" i="64" s="1"/>
  <c r="N85" i="64"/>
  <c r="AJ85" i="64" s="1"/>
  <c r="M85" i="64"/>
  <c r="P84" i="64"/>
  <c r="BF84" i="64" s="1"/>
  <c r="O84" i="64"/>
  <c r="AU84" i="64" s="1"/>
  <c r="N84" i="64"/>
  <c r="AJ84" i="64" s="1"/>
  <c r="M84" i="64"/>
  <c r="J94" i="64"/>
  <c r="K94" i="64"/>
  <c r="L94" i="64"/>
  <c r="J95" i="64"/>
  <c r="K95" i="64"/>
  <c r="L95" i="64"/>
  <c r="L93" i="64"/>
  <c r="K93" i="64"/>
  <c r="J93" i="64"/>
  <c r="L92" i="64"/>
  <c r="K92" i="64"/>
  <c r="J92" i="64"/>
  <c r="L91" i="64"/>
  <c r="K91" i="64"/>
  <c r="J91" i="64"/>
  <c r="L90" i="64"/>
  <c r="K90" i="64"/>
  <c r="J90" i="64"/>
  <c r="J88" i="64"/>
  <c r="K88" i="64"/>
  <c r="L88" i="64"/>
  <c r="J89" i="64"/>
  <c r="K89" i="64"/>
  <c r="L89" i="64"/>
  <c r="L87" i="64"/>
  <c r="K87" i="64"/>
  <c r="J87" i="64"/>
  <c r="L86" i="64"/>
  <c r="K86" i="64"/>
  <c r="J86" i="64"/>
  <c r="L85" i="64"/>
  <c r="K85" i="64"/>
  <c r="J85" i="64"/>
  <c r="L84" i="64"/>
  <c r="K84" i="64"/>
  <c r="J84" i="64"/>
  <c r="J81" i="64"/>
  <c r="K81" i="64"/>
  <c r="L81" i="64"/>
  <c r="J82" i="64"/>
  <c r="K82" i="64"/>
  <c r="L82" i="64"/>
  <c r="J83" i="64"/>
  <c r="K83" i="64"/>
  <c r="L83" i="64"/>
  <c r="J78" i="64"/>
  <c r="K78" i="64"/>
  <c r="L78" i="64"/>
  <c r="J79" i="64"/>
  <c r="K79" i="64"/>
  <c r="L79" i="64"/>
  <c r="J80" i="64"/>
  <c r="K80" i="64"/>
  <c r="L80" i="64"/>
  <c r="J77" i="64"/>
  <c r="K77" i="64"/>
  <c r="L77" i="64"/>
  <c r="J75" i="64"/>
  <c r="K75" i="64"/>
  <c r="L75" i="64"/>
  <c r="J76" i="64"/>
  <c r="K76" i="64"/>
  <c r="L76" i="64"/>
  <c r="L74" i="64"/>
  <c r="K74" i="64"/>
  <c r="J74" i="64"/>
  <c r="J70" i="64"/>
  <c r="K70" i="64"/>
  <c r="L70" i="64"/>
  <c r="J71" i="64"/>
  <c r="K71" i="64"/>
  <c r="L71" i="64"/>
  <c r="J72" i="64"/>
  <c r="K72" i="64"/>
  <c r="L72" i="64"/>
  <c r="J73" i="64"/>
  <c r="K73" i="64"/>
  <c r="L73" i="64"/>
  <c r="J67" i="64"/>
  <c r="K67" i="64"/>
  <c r="L67" i="64"/>
  <c r="J68" i="64"/>
  <c r="K68" i="64"/>
  <c r="L68" i="64"/>
  <c r="J69" i="64"/>
  <c r="K69" i="64"/>
  <c r="L69" i="64"/>
  <c r="L66" i="64"/>
  <c r="K66" i="64"/>
  <c r="J66" i="64"/>
  <c r="J64" i="64"/>
  <c r="K64" i="64"/>
  <c r="L64" i="64"/>
  <c r="J65" i="64"/>
  <c r="K65" i="64"/>
  <c r="L65" i="64"/>
  <c r="J59" i="64"/>
  <c r="K59" i="64"/>
  <c r="L59" i="64"/>
  <c r="J60" i="64"/>
  <c r="K60" i="64"/>
  <c r="L60" i="64"/>
  <c r="J61" i="64"/>
  <c r="K61" i="64"/>
  <c r="L61" i="64"/>
  <c r="J62" i="64"/>
  <c r="K62" i="64"/>
  <c r="L62" i="64"/>
  <c r="J63" i="64"/>
  <c r="K63" i="64"/>
  <c r="L63" i="64"/>
  <c r="L58" i="64"/>
  <c r="K58" i="64"/>
  <c r="J58" i="64"/>
  <c r="J56" i="64"/>
  <c r="K56" i="64"/>
  <c r="L56" i="64"/>
  <c r="J57" i="64"/>
  <c r="K57" i="64"/>
  <c r="L57" i="64"/>
  <c r="J55" i="64"/>
  <c r="K55" i="64"/>
  <c r="L55" i="64"/>
  <c r="J54" i="64"/>
  <c r="K54" i="64"/>
  <c r="L54" i="64"/>
  <c r="J53" i="64"/>
  <c r="K53" i="64"/>
  <c r="L53" i="64"/>
  <c r="L52" i="64"/>
  <c r="K52" i="64"/>
  <c r="J52" i="64"/>
  <c r="J49" i="64"/>
  <c r="K49" i="64"/>
  <c r="L49" i="64"/>
  <c r="J50" i="64"/>
  <c r="K50" i="64"/>
  <c r="L50" i="64"/>
  <c r="J51" i="64"/>
  <c r="K51" i="64"/>
  <c r="L51" i="64"/>
  <c r="J46" i="64"/>
  <c r="K46" i="64"/>
  <c r="L46" i="64"/>
  <c r="J47" i="64"/>
  <c r="K47" i="64"/>
  <c r="L47" i="64"/>
  <c r="J48" i="64"/>
  <c r="K48" i="64"/>
  <c r="L48" i="64"/>
  <c r="L45" i="64"/>
  <c r="K45" i="64"/>
  <c r="J45" i="64"/>
  <c r="J42" i="64"/>
  <c r="K42" i="64"/>
  <c r="L42" i="64"/>
  <c r="J43" i="64"/>
  <c r="K43" i="64"/>
  <c r="L43" i="64"/>
  <c r="J44" i="64"/>
  <c r="K44" i="64"/>
  <c r="L44" i="64"/>
  <c r="L40" i="64"/>
  <c r="K40" i="64"/>
  <c r="J40" i="64"/>
  <c r="L38" i="64"/>
  <c r="K38" i="64"/>
  <c r="J38" i="64"/>
  <c r="L41" i="64"/>
  <c r="K41" i="64"/>
  <c r="J41" i="64"/>
  <c r="L39" i="64"/>
  <c r="K39" i="64"/>
  <c r="J39" i="64"/>
  <c r="L37" i="64"/>
  <c r="K37" i="64"/>
  <c r="J37" i="64"/>
  <c r="J34" i="64"/>
  <c r="K34" i="64"/>
  <c r="L34" i="64"/>
  <c r="J35" i="64"/>
  <c r="K35" i="64"/>
  <c r="L35" i="64"/>
  <c r="J36" i="64"/>
  <c r="K36" i="64"/>
  <c r="L36" i="64"/>
  <c r="J31" i="64"/>
  <c r="K31" i="64"/>
  <c r="L31" i="64"/>
  <c r="J32" i="64"/>
  <c r="K32" i="64"/>
  <c r="L32" i="64"/>
  <c r="J33" i="64"/>
  <c r="K33" i="64"/>
  <c r="L33" i="64"/>
  <c r="J30" i="64"/>
  <c r="K30" i="64"/>
  <c r="L30" i="64"/>
  <c r="J27" i="64"/>
  <c r="K27" i="64"/>
  <c r="L27" i="64"/>
  <c r="J28" i="64"/>
  <c r="K28" i="64"/>
  <c r="L28" i="64"/>
  <c r="J29" i="64"/>
  <c r="K29" i="64"/>
  <c r="L29" i="64"/>
  <c r="K23" i="64"/>
  <c r="L23" i="64"/>
  <c r="K24" i="64"/>
  <c r="L24" i="64"/>
  <c r="K25" i="64"/>
  <c r="L25" i="64"/>
  <c r="J26" i="64"/>
  <c r="K26" i="64"/>
  <c r="L26" i="64"/>
  <c r="K21" i="64"/>
  <c r="L21" i="64"/>
  <c r="K22" i="64"/>
  <c r="L22" i="64"/>
  <c r="L20" i="64"/>
  <c r="K20" i="64"/>
  <c r="I94" i="64"/>
  <c r="I95" i="64"/>
  <c r="I93" i="64"/>
  <c r="I92" i="64"/>
  <c r="I91" i="64"/>
  <c r="I90" i="64"/>
  <c r="I85" i="64"/>
  <c r="I86" i="64"/>
  <c r="I87" i="64"/>
  <c r="I88" i="64"/>
  <c r="I89" i="64"/>
  <c r="I84" i="64"/>
  <c r="I81" i="64"/>
  <c r="I79" i="64"/>
  <c r="I76" i="64"/>
  <c r="I77" i="64"/>
  <c r="I78" i="64"/>
  <c r="I74" i="64"/>
  <c r="I75" i="64"/>
  <c r="I67" i="64"/>
  <c r="I68" i="64"/>
  <c r="I69" i="64"/>
  <c r="I70" i="64"/>
  <c r="I71" i="64"/>
  <c r="I72" i="64"/>
  <c r="I73" i="64"/>
  <c r="I66" i="64"/>
  <c r="I61" i="64"/>
  <c r="I62" i="64"/>
  <c r="I63" i="64"/>
  <c r="I64" i="64"/>
  <c r="I65" i="64"/>
  <c r="I60" i="64"/>
  <c r="I59" i="64"/>
  <c r="I58" i="64"/>
  <c r="I53" i="64"/>
  <c r="I54" i="64"/>
  <c r="I55" i="64"/>
  <c r="I56" i="64"/>
  <c r="I57" i="64"/>
  <c r="I52" i="64"/>
  <c r="I46" i="64"/>
  <c r="I47" i="64"/>
  <c r="I48" i="64"/>
  <c r="I49" i="64"/>
  <c r="I50" i="64"/>
  <c r="I51" i="64"/>
  <c r="I45" i="64"/>
  <c r="I42" i="64"/>
  <c r="I43" i="64"/>
  <c r="I44" i="64"/>
  <c r="I39" i="64"/>
  <c r="I40" i="64"/>
  <c r="I41" i="64"/>
  <c r="I38" i="64"/>
  <c r="I37" i="64"/>
  <c r="I36" i="64"/>
  <c r="I32" i="64"/>
  <c r="I33" i="64"/>
  <c r="I34" i="64"/>
  <c r="I35" i="64"/>
  <c r="I31" i="64"/>
  <c r="I30" i="64"/>
  <c r="I26" i="64"/>
  <c r="I27" i="64"/>
  <c r="I28" i="64"/>
  <c r="I29" i="64"/>
  <c r="I22" i="64"/>
  <c r="I23" i="64"/>
  <c r="I24" i="64"/>
  <c r="I25" i="64"/>
  <c r="I21" i="64"/>
  <c r="I9" i="64"/>
  <c r="I20" i="64"/>
  <c r="H94" i="64"/>
  <c r="H95" i="64"/>
  <c r="H93" i="64"/>
  <c r="H92" i="64"/>
  <c r="H91" i="64"/>
  <c r="H90" i="64"/>
  <c r="H87" i="64"/>
  <c r="H88" i="64"/>
  <c r="H89" i="64"/>
  <c r="H85" i="64"/>
  <c r="H86" i="64"/>
  <c r="H84" i="64"/>
  <c r="H79" i="64"/>
  <c r="H75" i="64"/>
  <c r="H76" i="64"/>
  <c r="H77" i="64"/>
  <c r="H78" i="64"/>
  <c r="H73" i="64"/>
  <c r="H74" i="64"/>
  <c r="H67" i="64"/>
  <c r="H68" i="64"/>
  <c r="H69" i="64"/>
  <c r="H70" i="64"/>
  <c r="H71" i="64"/>
  <c r="H72" i="64"/>
  <c r="H66" i="64"/>
  <c r="H63" i="64"/>
  <c r="H64" i="64"/>
  <c r="H65" i="64"/>
  <c r="H60" i="64"/>
  <c r="H61" i="64"/>
  <c r="H62" i="64"/>
  <c r="H59" i="64"/>
  <c r="H58" i="64"/>
  <c r="H55" i="64"/>
  <c r="H56" i="64"/>
  <c r="H57" i="64"/>
  <c r="H53" i="64"/>
  <c r="H54" i="64"/>
  <c r="H52" i="64"/>
  <c r="H50" i="64"/>
  <c r="H51" i="64"/>
  <c r="H46" i="64"/>
  <c r="H47" i="64"/>
  <c r="H48" i="64"/>
  <c r="H49" i="64"/>
  <c r="H45" i="64"/>
  <c r="H42" i="64"/>
  <c r="H43" i="64"/>
  <c r="H44" i="64"/>
  <c r="H38" i="64"/>
  <c r="H39" i="64"/>
  <c r="H40" i="64"/>
  <c r="H41" i="64"/>
  <c r="H37" i="64"/>
  <c r="H34" i="64"/>
  <c r="H35" i="64"/>
  <c r="H36" i="64"/>
  <c r="H32" i="64"/>
  <c r="H33" i="64"/>
  <c r="H31" i="64"/>
  <c r="H30" i="64"/>
  <c r="H27" i="64"/>
  <c r="H28" i="64"/>
  <c r="H29" i="64"/>
  <c r="H26" i="64"/>
  <c r="X9" i="64"/>
  <c r="R9" i="64"/>
  <c r="S9" i="64"/>
  <c r="T9" i="64"/>
  <c r="Q9" i="64"/>
  <c r="V13" i="58"/>
  <c r="V14" i="58"/>
  <c r="F15" i="69" l="1"/>
  <c r="F11" i="69"/>
  <c r="F42" i="69"/>
  <c r="F16" i="69"/>
  <c r="F41" i="69"/>
  <c r="F43" i="69"/>
  <c r="BK91" i="64"/>
  <c r="BK92" i="64"/>
  <c r="BK93" i="64"/>
  <c r="F35" i="69"/>
  <c r="F40" i="69"/>
  <c r="F44" i="69"/>
  <c r="BK60" i="64"/>
  <c r="BK15" i="64"/>
  <c r="BK23" i="64"/>
  <c r="BK28" i="64"/>
  <c r="BL65" i="64"/>
  <c r="BM65" i="64" s="1"/>
  <c r="BJ67" i="64"/>
  <c r="BL49" i="64"/>
  <c r="BL29" i="64"/>
  <c r="BL48" i="64"/>
  <c r="BL64" i="64"/>
  <c r="BM64" i="64" s="1"/>
  <c r="BK95" i="64"/>
  <c r="BK90" i="64"/>
  <c r="BL90" i="64"/>
  <c r="BM90" i="64" s="1"/>
  <c r="BL91" i="64"/>
  <c r="BK29" i="64"/>
  <c r="BK13" i="64"/>
  <c r="BK16" i="64"/>
  <c r="BL47" i="64"/>
  <c r="BK12" i="64"/>
  <c r="BK18" i="64"/>
  <c r="BK20" i="64"/>
  <c r="BK30" i="64"/>
  <c r="BJ19" i="64"/>
  <c r="BL19" i="64" s="1"/>
  <c r="BL26" i="64"/>
  <c r="BL27" i="64"/>
  <c r="BL28" i="64"/>
  <c r="BL30" i="64"/>
  <c r="BL31" i="64"/>
  <c r="BL32" i="64"/>
  <c r="BL33" i="64"/>
  <c r="BL34" i="64"/>
  <c r="BL35" i="64"/>
  <c r="BL36" i="64"/>
  <c r="BL37" i="64"/>
  <c r="BM37" i="64" s="1"/>
  <c r="BL39" i="64"/>
  <c r="BL38" i="64"/>
  <c r="BL40" i="64"/>
  <c r="BL41" i="64"/>
  <c r="BL42" i="64"/>
  <c r="BL43" i="64"/>
  <c r="BL44" i="64"/>
  <c r="BL45" i="64"/>
  <c r="BL52" i="64"/>
  <c r="BM52" i="64" s="1"/>
  <c r="BL54" i="64"/>
  <c r="BM54" i="64" s="1"/>
  <c r="BL55" i="64"/>
  <c r="BM55" i="64" s="1"/>
  <c r="BL57" i="64"/>
  <c r="BM57" i="64" s="1"/>
  <c r="BL58" i="64"/>
  <c r="BM58" i="64" s="1"/>
  <c r="BL73" i="64"/>
  <c r="BM73" i="64" s="1"/>
  <c r="BL72" i="64"/>
  <c r="BM72" i="64" s="1"/>
  <c r="BK38" i="64"/>
  <c r="BK45" i="64"/>
  <c r="BL51" i="64"/>
  <c r="BM51" i="64" s="1"/>
  <c r="BL67" i="64"/>
  <c r="BM67" i="64" s="1"/>
  <c r="BK19" i="64"/>
  <c r="BK39" i="64"/>
  <c r="BK42" i="64"/>
  <c r="BL46" i="64"/>
  <c r="BK54" i="64"/>
  <c r="BK9" i="64"/>
  <c r="BK49" i="64"/>
  <c r="BL50" i="64"/>
  <c r="BM50" i="64" s="1"/>
  <c r="BL60" i="64"/>
  <c r="BL63" i="64"/>
  <c r="BM63" i="64" s="1"/>
  <c r="BK67" i="64"/>
  <c r="BK26" i="64"/>
  <c r="BK48" i="64"/>
  <c r="BL56" i="64"/>
  <c r="BM56" i="64" s="1"/>
  <c r="BK80" i="64"/>
  <c r="BK81" i="64"/>
  <c r="BK82" i="64"/>
  <c r="BK83" i="64"/>
  <c r="BK88" i="64"/>
  <c r="BK89" i="64"/>
  <c r="BL53" i="64"/>
  <c r="BK41" i="64"/>
  <c r="BK53" i="64"/>
  <c r="BL59" i="64"/>
  <c r="BL66" i="64"/>
  <c r="BM66" i="64" s="1"/>
  <c r="BL76" i="64"/>
  <c r="BM76" i="64" s="1"/>
  <c r="BL77" i="64"/>
  <c r="BL78" i="64"/>
  <c r="BL79" i="64"/>
  <c r="BL80" i="64"/>
  <c r="BL81" i="64"/>
  <c r="BL82" i="64"/>
  <c r="BL83" i="64"/>
  <c r="BL84" i="64"/>
  <c r="BM84" i="64" s="1"/>
  <c r="BL85" i="64"/>
  <c r="BM85" i="64" s="1"/>
  <c r="BL86" i="64"/>
  <c r="BM86" i="64" s="1"/>
  <c r="BL87" i="64"/>
  <c r="BM87" i="64" s="1"/>
  <c r="BL88" i="64"/>
  <c r="BL89" i="64"/>
  <c r="L19" i="64"/>
  <c r="L18" i="64"/>
  <c r="L17" i="64"/>
  <c r="L16" i="64"/>
  <c r="L15" i="64"/>
  <c r="L14" i="64"/>
  <c r="L13" i="64"/>
  <c r="L12" i="64"/>
  <c r="L11" i="64"/>
  <c r="L10" i="64"/>
  <c r="L9" i="64"/>
  <c r="N18" i="64"/>
  <c r="AJ18" i="64" s="1"/>
  <c r="O18" i="64"/>
  <c r="AU18" i="64" s="1"/>
  <c r="P18" i="64"/>
  <c r="BF18" i="64" s="1"/>
  <c r="M18" i="64"/>
  <c r="N17" i="64"/>
  <c r="AJ17" i="64" s="1"/>
  <c r="O17" i="64"/>
  <c r="AU17" i="64" s="1"/>
  <c r="P17" i="64"/>
  <c r="BF17" i="64" s="1"/>
  <c r="M17" i="64"/>
  <c r="N16" i="64"/>
  <c r="AJ16" i="64" s="1"/>
  <c r="O16" i="64"/>
  <c r="AU16" i="64" s="1"/>
  <c r="P16" i="64"/>
  <c r="BF16" i="64" s="1"/>
  <c r="M16" i="64"/>
  <c r="P15" i="64"/>
  <c r="BF15" i="64" s="1"/>
  <c r="N15" i="64"/>
  <c r="AJ15" i="64" s="1"/>
  <c r="O15" i="64"/>
  <c r="AU15" i="64" s="1"/>
  <c r="M15" i="64"/>
  <c r="P19" i="64"/>
  <c r="BF19" i="64" s="1"/>
  <c r="N19" i="64"/>
  <c r="AJ19" i="64" s="1"/>
  <c r="O19" i="64"/>
  <c r="AU19" i="64" s="1"/>
  <c r="M19" i="64"/>
  <c r="H19" i="64"/>
  <c r="H18" i="64"/>
  <c r="H17" i="64"/>
  <c r="H16" i="64"/>
  <c r="K15" i="64"/>
  <c r="J15" i="64"/>
  <c r="BL15" i="64" s="1"/>
  <c r="I15" i="64"/>
  <c r="H15" i="64"/>
  <c r="K19" i="64"/>
  <c r="J19" i="64"/>
  <c r="J18" i="64"/>
  <c r="BL18" i="64" s="1"/>
  <c r="K17" i="64"/>
  <c r="K18" i="64"/>
  <c r="J17" i="64"/>
  <c r="K16" i="64"/>
  <c r="J16" i="64"/>
  <c r="BL16" i="64" s="1"/>
  <c r="I19" i="64"/>
  <c r="I17" i="64"/>
  <c r="I18" i="64"/>
  <c r="I16" i="64"/>
  <c r="B93" i="64"/>
  <c r="B45" i="64"/>
  <c r="B37" i="64"/>
  <c r="B30" i="64"/>
  <c r="B9" i="64"/>
  <c r="C95" i="64"/>
  <c r="C94" i="64"/>
  <c r="C93" i="64"/>
  <c r="C92" i="64"/>
  <c r="C90" i="64"/>
  <c r="C84" i="64"/>
  <c r="C66" i="64"/>
  <c r="C58" i="64"/>
  <c r="C52" i="64"/>
  <c r="C45" i="64"/>
  <c r="C42" i="64"/>
  <c r="C41" i="64"/>
  <c r="C39" i="64"/>
  <c r="C37" i="64"/>
  <c r="C34" i="64"/>
  <c r="C32" i="64"/>
  <c r="C30" i="64"/>
  <c r="C26" i="64"/>
  <c r="C20" i="64"/>
  <c r="C9" i="64"/>
  <c r="H14" i="64"/>
  <c r="I14" i="64"/>
  <c r="J14" i="64"/>
  <c r="BL14" i="64" s="1"/>
  <c r="K14" i="64"/>
  <c r="I13" i="64"/>
  <c r="K13" i="64"/>
  <c r="I12" i="64"/>
  <c r="K12" i="64"/>
  <c r="I11" i="64"/>
  <c r="K11" i="64"/>
  <c r="I10" i="64"/>
  <c r="K10" i="64"/>
  <c r="K9" i="64"/>
  <c r="H81" i="64"/>
  <c r="M81" i="64"/>
  <c r="N81" i="64"/>
  <c r="AJ81" i="64" s="1"/>
  <c r="O81" i="64"/>
  <c r="AU81" i="64" s="1"/>
  <c r="P81" i="64"/>
  <c r="BF81" i="64" s="1"/>
  <c r="M82" i="64"/>
  <c r="N82" i="64"/>
  <c r="AJ82" i="64" s="1"/>
  <c r="O82" i="64"/>
  <c r="AU82" i="64" s="1"/>
  <c r="P82" i="64"/>
  <c r="BF82" i="64" s="1"/>
  <c r="M83" i="64"/>
  <c r="N83" i="64"/>
  <c r="AJ83" i="64" s="1"/>
  <c r="O83" i="64"/>
  <c r="AU83" i="64" s="1"/>
  <c r="P83" i="64"/>
  <c r="BF83" i="64" s="1"/>
  <c r="P75" i="64"/>
  <c r="BF75" i="64" s="1"/>
  <c r="O75" i="64"/>
  <c r="AU75" i="64" s="1"/>
  <c r="N75" i="64"/>
  <c r="AJ75" i="64" s="1"/>
  <c r="M75" i="64"/>
  <c r="P74" i="64"/>
  <c r="BF74" i="64" s="1"/>
  <c r="O74" i="64"/>
  <c r="AU74" i="64" s="1"/>
  <c r="N74" i="64"/>
  <c r="AJ74" i="64" s="1"/>
  <c r="M74" i="64"/>
  <c r="M76" i="64"/>
  <c r="M77" i="64"/>
  <c r="P80" i="64"/>
  <c r="BF80" i="64" s="1"/>
  <c r="O80" i="64"/>
  <c r="AU80" i="64" s="1"/>
  <c r="N80" i="64"/>
  <c r="AJ80" i="64" s="1"/>
  <c r="M80" i="64"/>
  <c r="P79" i="64"/>
  <c r="BF79" i="64" s="1"/>
  <c r="O79" i="64"/>
  <c r="AU79" i="64" s="1"/>
  <c r="N79" i="64"/>
  <c r="AJ79" i="64" s="1"/>
  <c r="M79" i="64"/>
  <c r="P78" i="64"/>
  <c r="BF78" i="64" s="1"/>
  <c r="O78" i="64"/>
  <c r="AU78" i="64" s="1"/>
  <c r="N78" i="64"/>
  <c r="AJ78" i="64" s="1"/>
  <c r="M78" i="64"/>
  <c r="P77" i="64"/>
  <c r="BF77" i="64" s="1"/>
  <c r="O77" i="64"/>
  <c r="AU77" i="64" s="1"/>
  <c r="N77" i="64"/>
  <c r="AJ77" i="64" s="1"/>
  <c r="P76" i="64"/>
  <c r="BF76" i="64" s="1"/>
  <c r="O76" i="64"/>
  <c r="AU76" i="64" s="1"/>
  <c r="N76" i="64"/>
  <c r="AJ76" i="64" s="1"/>
  <c r="M73" i="64"/>
  <c r="N73" i="64"/>
  <c r="AJ73" i="64" s="1"/>
  <c r="O73" i="64"/>
  <c r="AU73" i="64" s="1"/>
  <c r="P73" i="64"/>
  <c r="BF73" i="64" s="1"/>
  <c r="M67" i="64"/>
  <c r="N67" i="64"/>
  <c r="AJ67" i="64" s="1"/>
  <c r="O67" i="64"/>
  <c r="AU67" i="64" s="1"/>
  <c r="P67" i="64"/>
  <c r="BF67" i="64" s="1"/>
  <c r="M68" i="64"/>
  <c r="N68" i="64"/>
  <c r="AJ68" i="64" s="1"/>
  <c r="O68" i="64"/>
  <c r="AU68" i="64" s="1"/>
  <c r="P68" i="64"/>
  <c r="BF68" i="64" s="1"/>
  <c r="M69" i="64"/>
  <c r="N69" i="64"/>
  <c r="AJ69" i="64" s="1"/>
  <c r="O69" i="64"/>
  <c r="AU69" i="64" s="1"/>
  <c r="P69" i="64"/>
  <c r="BF69" i="64" s="1"/>
  <c r="M70" i="64"/>
  <c r="N70" i="64"/>
  <c r="AJ70" i="64" s="1"/>
  <c r="O70" i="64"/>
  <c r="AU70" i="64" s="1"/>
  <c r="P70" i="64"/>
  <c r="BF70" i="64" s="1"/>
  <c r="M71" i="64"/>
  <c r="N71" i="64"/>
  <c r="AJ71" i="64" s="1"/>
  <c r="O71" i="64"/>
  <c r="AU71" i="64" s="1"/>
  <c r="P71" i="64"/>
  <c r="BF71" i="64" s="1"/>
  <c r="M72" i="64"/>
  <c r="N72" i="64"/>
  <c r="AJ72" i="64" s="1"/>
  <c r="O72" i="64"/>
  <c r="AU72" i="64" s="1"/>
  <c r="P72" i="64"/>
  <c r="BF72" i="64" s="1"/>
  <c r="N66" i="64"/>
  <c r="AJ66" i="64" s="1"/>
  <c r="O66" i="64"/>
  <c r="AU66" i="64" s="1"/>
  <c r="P66" i="64"/>
  <c r="BF66" i="64" s="1"/>
  <c r="M66" i="64"/>
  <c r="P65" i="64"/>
  <c r="BF65" i="64" s="1"/>
  <c r="O65" i="64"/>
  <c r="AU65" i="64" s="1"/>
  <c r="N65" i="64"/>
  <c r="AJ65" i="64" s="1"/>
  <c r="M65" i="64"/>
  <c r="P64" i="64"/>
  <c r="BF64" i="64" s="1"/>
  <c r="O64" i="64"/>
  <c r="AU64" i="64" s="1"/>
  <c r="N64" i="64"/>
  <c r="AJ64" i="64" s="1"/>
  <c r="M64" i="64"/>
  <c r="P63" i="64"/>
  <c r="BF63" i="64" s="1"/>
  <c r="O63" i="64"/>
  <c r="AU63" i="64" s="1"/>
  <c r="N63" i="64"/>
  <c r="AJ63" i="64" s="1"/>
  <c r="M63" i="64"/>
  <c r="P62" i="64"/>
  <c r="BF62" i="64" s="1"/>
  <c r="O62" i="64"/>
  <c r="AU62" i="64" s="1"/>
  <c r="N62" i="64"/>
  <c r="AJ62" i="64" s="1"/>
  <c r="M62" i="64"/>
  <c r="P61" i="64"/>
  <c r="BF61" i="64" s="1"/>
  <c r="O61" i="64"/>
  <c r="AU61" i="64" s="1"/>
  <c r="N61" i="64"/>
  <c r="AJ61" i="64" s="1"/>
  <c r="M61" i="64"/>
  <c r="P60" i="64"/>
  <c r="BF60" i="64" s="1"/>
  <c r="O60" i="64"/>
  <c r="AU60" i="64" s="1"/>
  <c r="N60" i="64"/>
  <c r="AJ60" i="64" s="1"/>
  <c r="M60" i="64"/>
  <c r="P59" i="64"/>
  <c r="BF59" i="64" s="1"/>
  <c r="O59" i="64"/>
  <c r="AU59" i="64" s="1"/>
  <c r="N59" i="64"/>
  <c r="AJ59" i="64" s="1"/>
  <c r="M59" i="64"/>
  <c r="N58" i="64"/>
  <c r="AJ58" i="64" s="1"/>
  <c r="O58" i="64"/>
  <c r="AU58" i="64" s="1"/>
  <c r="P58" i="64"/>
  <c r="BF58" i="64" s="1"/>
  <c r="M58" i="64"/>
  <c r="N57" i="64"/>
  <c r="AJ57" i="64" s="1"/>
  <c r="O57" i="64"/>
  <c r="AU57" i="64" s="1"/>
  <c r="P57" i="64"/>
  <c r="BF57" i="64" s="1"/>
  <c r="M57" i="64"/>
  <c r="P54" i="64"/>
  <c r="BF54" i="64" s="1"/>
  <c r="O54" i="64"/>
  <c r="AU54" i="64" s="1"/>
  <c r="N54" i="64"/>
  <c r="AJ54" i="64" s="1"/>
  <c r="M54" i="64"/>
  <c r="P53" i="64"/>
  <c r="BF53" i="64" s="1"/>
  <c r="O53" i="64"/>
  <c r="AU53" i="64" s="1"/>
  <c r="N53" i="64"/>
  <c r="AJ53" i="64" s="1"/>
  <c r="M53" i="64"/>
  <c r="P52" i="64"/>
  <c r="BF52" i="64" s="1"/>
  <c r="O52" i="64"/>
  <c r="AU52" i="64" s="1"/>
  <c r="N52" i="64"/>
  <c r="AJ52" i="64" s="1"/>
  <c r="M52" i="64"/>
  <c r="M51" i="64"/>
  <c r="N51" i="64"/>
  <c r="AJ51" i="64" s="1"/>
  <c r="O51" i="64"/>
  <c r="AU51" i="64" s="1"/>
  <c r="P51" i="64"/>
  <c r="BF51" i="64" s="1"/>
  <c r="M46" i="64"/>
  <c r="N46" i="64"/>
  <c r="AJ46" i="64" s="1"/>
  <c r="O46" i="64"/>
  <c r="AU46" i="64" s="1"/>
  <c r="P46" i="64"/>
  <c r="BF46" i="64" s="1"/>
  <c r="M47" i="64"/>
  <c r="N47" i="64"/>
  <c r="AJ47" i="64" s="1"/>
  <c r="O47" i="64"/>
  <c r="AU47" i="64" s="1"/>
  <c r="P47" i="64"/>
  <c r="BF47" i="64" s="1"/>
  <c r="M48" i="64"/>
  <c r="N48" i="64"/>
  <c r="AJ48" i="64" s="1"/>
  <c r="O48" i="64"/>
  <c r="AU48" i="64" s="1"/>
  <c r="P48" i="64"/>
  <c r="BF48" i="64" s="1"/>
  <c r="M49" i="64"/>
  <c r="N49" i="64"/>
  <c r="AJ49" i="64" s="1"/>
  <c r="O49" i="64"/>
  <c r="AU49" i="64" s="1"/>
  <c r="P49" i="64"/>
  <c r="BF49" i="64" s="1"/>
  <c r="M50" i="64"/>
  <c r="N50" i="64"/>
  <c r="AJ50" i="64" s="1"/>
  <c r="O50" i="64"/>
  <c r="AU50" i="64" s="1"/>
  <c r="P50" i="64"/>
  <c r="BF50" i="64" s="1"/>
  <c r="P45" i="64"/>
  <c r="BF45" i="64" s="1"/>
  <c r="O45" i="64"/>
  <c r="AU45" i="64" s="1"/>
  <c r="N45" i="64"/>
  <c r="AJ45" i="64" s="1"/>
  <c r="M45" i="64"/>
  <c r="P44" i="64"/>
  <c r="BF44" i="64" s="1"/>
  <c r="O44" i="64"/>
  <c r="AU44" i="64" s="1"/>
  <c r="N44" i="64"/>
  <c r="AJ44" i="64" s="1"/>
  <c r="M44" i="64"/>
  <c r="P43" i="64"/>
  <c r="BF43" i="64" s="1"/>
  <c r="O43" i="64"/>
  <c r="AU43" i="64" s="1"/>
  <c r="N43" i="64"/>
  <c r="AJ43" i="64" s="1"/>
  <c r="M43" i="64"/>
  <c r="P42" i="64"/>
  <c r="BF42" i="64" s="1"/>
  <c r="O42" i="64"/>
  <c r="AU42" i="64" s="1"/>
  <c r="N42" i="64"/>
  <c r="AJ42" i="64" s="1"/>
  <c r="M42" i="64"/>
  <c r="M41" i="64"/>
  <c r="N41" i="64"/>
  <c r="AJ41" i="64" s="1"/>
  <c r="O41" i="64"/>
  <c r="AU41" i="64" s="1"/>
  <c r="P41" i="64"/>
  <c r="BF41" i="64" s="1"/>
  <c r="P40" i="64"/>
  <c r="BF40" i="64" s="1"/>
  <c r="O40" i="64"/>
  <c r="AU40" i="64" s="1"/>
  <c r="N40" i="64"/>
  <c r="AJ40" i="64" s="1"/>
  <c r="M40" i="64"/>
  <c r="P38" i="64"/>
  <c r="BF38" i="64" s="1"/>
  <c r="O38" i="64"/>
  <c r="AU38" i="64" s="1"/>
  <c r="N38" i="64"/>
  <c r="AJ38" i="64" s="1"/>
  <c r="M38" i="64"/>
  <c r="P39" i="64"/>
  <c r="BF39" i="64" s="1"/>
  <c r="O39" i="64"/>
  <c r="AU39" i="64" s="1"/>
  <c r="N39" i="64"/>
  <c r="AJ39" i="64" s="1"/>
  <c r="M39" i="64"/>
  <c r="P37" i="64"/>
  <c r="BF37" i="64" s="1"/>
  <c r="O37" i="64"/>
  <c r="AU37" i="64" s="1"/>
  <c r="N37" i="64"/>
  <c r="AJ37" i="64" s="1"/>
  <c r="M37" i="64"/>
  <c r="M35" i="64"/>
  <c r="N35" i="64"/>
  <c r="AJ35" i="64" s="1"/>
  <c r="O35" i="64"/>
  <c r="AU35" i="64" s="1"/>
  <c r="P35" i="64"/>
  <c r="BF35" i="64" s="1"/>
  <c r="M36" i="64"/>
  <c r="N36" i="64"/>
  <c r="AJ36" i="64" s="1"/>
  <c r="O36" i="64"/>
  <c r="AU36" i="64" s="1"/>
  <c r="P36" i="64"/>
  <c r="BF36" i="64" s="1"/>
  <c r="M31" i="64"/>
  <c r="N31" i="64"/>
  <c r="AJ31" i="64" s="1"/>
  <c r="O31" i="64"/>
  <c r="AU31" i="64" s="1"/>
  <c r="P31" i="64"/>
  <c r="BF31" i="64" s="1"/>
  <c r="M32" i="64"/>
  <c r="N32" i="64"/>
  <c r="AJ32" i="64" s="1"/>
  <c r="O32" i="64"/>
  <c r="AU32" i="64" s="1"/>
  <c r="P32" i="64"/>
  <c r="BF32" i="64" s="1"/>
  <c r="M33" i="64"/>
  <c r="N33" i="64"/>
  <c r="AJ33" i="64" s="1"/>
  <c r="O33" i="64"/>
  <c r="AU33" i="64" s="1"/>
  <c r="P33" i="64"/>
  <c r="BF33" i="64" s="1"/>
  <c r="M34" i="64"/>
  <c r="N34" i="64"/>
  <c r="AJ34" i="64" s="1"/>
  <c r="O34" i="64"/>
  <c r="AU34" i="64" s="1"/>
  <c r="P34" i="64"/>
  <c r="BF34" i="64" s="1"/>
  <c r="P30" i="64"/>
  <c r="BF30" i="64" s="1"/>
  <c r="O30" i="64"/>
  <c r="AU30" i="64" s="1"/>
  <c r="N30" i="64"/>
  <c r="AJ30" i="64" s="1"/>
  <c r="M30" i="64"/>
  <c r="P29" i="64"/>
  <c r="BF29" i="64" s="1"/>
  <c r="O29" i="64"/>
  <c r="AU29" i="64" s="1"/>
  <c r="N29" i="64"/>
  <c r="AJ29" i="64" s="1"/>
  <c r="M29" i="64"/>
  <c r="P28" i="64"/>
  <c r="BF28" i="64" s="1"/>
  <c r="O28" i="64"/>
  <c r="AU28" i="64" s="1"/>
  <c r="N28" i="64"/>
  <c r="AJ28" i="64" s="1"/>
  <c r="M28" i="64"/>
  <c r="N10" i="64"/>
  <c r="AJ10" i="64" s="1"/>
  <c r="O10" i="64"/>
  <c r="AU10" i="64" s="1"/>
  <c r="P10" i="64"/>
  <c r="BF10" i="64" s="1"/>
  <c r="N11" i="64"/>
  <c r="AJ11" i="64" s="1"/>
  <c r="O11" i="64"/>
  <c r="AU11" i="64" s="1"/>
  <c r="P11" i="64"/>
  <c r="BF11" i="64" s="1"/>
  <c r="N12" i="64"/>
  <c r="AJ12" i="64" s="1"/>
  <c r="O12" i="64"/>
  <c r="AU12" i="64" s="1"/>
  <c r="P12" i="64"/>
  <c r="BF12" i="64" s="1"/>
  <c r="N13" i="64"/>
  <c r="AJ13" i="64" s="1"/>
  <c r="O13" i="64"/>
  <c r="AU13" i="64" s="1"/>
  <c r="P13" i="64"/>
  <c r="BF13" i="64" s="1"/>
  <c r="M14" i="64"/>
  <c r="N14" i="64"/>
  <c r="AJ14" i="64" s="1"/>
  <c r="O14" i="64"/>
  <c r="AU14" i="64" s="1"/>
  <c r="P14" i="64"/>
  <c r="BF14" i="64" s="1"/>
  <c r="N20" i="64"/>
  <c r="AJ20" i="64" s="1"/>
  <c r="O20" i="64"/>
  <c r="AU20" i="64" s="1"/>
  <c r="P20" i="64"/>
  <c r="BF20" i="64" s="1"/>
  <c r="N21" i="64"/>
  <c r="AJ21" i="64" s="1"/>
  <c r="O21" i="64"/>
  <c r="AU21" i="64" s="1"/>
  <c r="P21" i="64"/>
  <c r="BF21" i="64" s="1"/>
  <c r="N22" i="64"/>
  <c r="AJ22" i="64" s="1"/>
  <c r="O22" i="64"/>
  <c r="AU22" i="64" s="1"/>
  <c r="P22" i="64"/>
  <c r="BF22" i="64" s="1"/>
  <c r="N23" i="64"/>
  <c r="AJ23" i="64" s="1"/>
  <c r="O23" i="64"/>
  <c r="AU23" i="64" s="1"/>
  <c r="P23" i="64"/>
  <c r="BF23" i="64" s="1"/>
  <c r="N24" i="64"/>
  <c r="AJ24" i="64" s="1"/>
  <c r="O24" i="64"/>
  <c r="AU24" i="64" s="1"/>
  <c r="P24" i="64"/>
  <c r="BF24" i="64" s="1"/>
  <c r="N25" i="64"/>
  <c r="AJ25" i="64" s="1"/>
  <c r="O25" i="64"/>
  <c r="AU25" i="64" s="1"/>
  <c r="P25" i="64"/>
  <c r="BF25" i="64" s="1"/>
  <c r="M26" i="64"/>
  <c r="N26" i="64"/>
  <c r="AJ26" i="64" s="1"/>
  <c r="O26" i="64"/>
  <c r="AU26" i="64" s="1"/>
  <c r="P26" i="64"/>
  <c r="BF26" i="64" s="1"/>
  <c r="M27" i="64"/>
  <c r="N27" i="64"/>
  <c r="AJ27" i="64" s="1"/>
  <c r="O27" i="64"/>
  <c r="AU27" i="64" s="1"/>
  <c r="P27" i="64"/>
  <c r="BF27" i="64" s="1"/>
  <c r="N9" i="64"/>
  <c r="AJ9" i="64" s="1"/>
  <c r="O9" i="64"/>
  <c r="AU9" i="64" s="1"/>
  <c r="P9" i="64"/>
  <c r="BF9" i="64" s="1"/>
  <c r="E94" i="64"/>
  <c r="E95" i="64"/>
  <c r="E93" i="64"/>
  <c r="E92" i="64"/>
  <c r="E90" i="64"/>
  <c r="E84" i="64"/>
  <c r="E66" i="64"/>
  <c r="E58" i="64"/>
  <c r="E52" i="64"/>
  <c r="E45" i="64"/>
  <c r="E42" i="64"/>
  <c r="E41" i="64"/>
  <c r="E39" i="64"/>
  <c r="E37" i="64"/>
  <c r="E34" i="64"/>
  <c r="E32" i="64"/>
  <c r="E30" i="64"/>
  <c r="E26" i="64"/>
  <c r="E20" i="64"/>
  <c r="E9" i="64"/>
  <c r="D94" i="64"/>
  <c r="D95" i="64"/>
  <c r="D93" i="64"/>
  <c r="D92" i="64"/>
  <c r="D90" i="64"/>
  <c r="D84" i="64"/>
  <c r="D66" i="64"/>
  <c r="D58" i="64"/>
  <c r="D52" i="64"/>
  <c r="D45" i="64"/>
  <c r="D42" i="64"/>
  <c r="D41" i="64"/>
  <c r="D39" i="64"/>
  <c r="D37" i="64"/>
  <c r="D34" i="64"/>
  <c r="D32" i="64"/>
  <c r="D30" i="64"/>
  <c r="D26" i="64"/>
  <c r="D20" i="64"/>
  <c r="D9" i="64"/>
  <c r="V29" i="66"/>
  <c r="U29" i="66"/>
  <c r="T29" i="66"/>
  <c r="V28" i="66"/>
  <c r="W27" i="66" s="1"/>
  <c r="U28" i="66"/>
  <c r="T28" i="66"/>
  <c r="V27" i="66"/>
  <c r="U27" i="66"/>
  <c r="T27" i="66"/>
  <c r="V26" i="66"/>
  <c r="U26" i="66"/>
  <c r="T26" i="66"/>
  <c r="V25" i="66"/>
  <c r="U25" i="66"/>
  <c r="T25" i="66"/>
  <c r="V24" i="66"/>
  <c r="U24" i="66"/>
  <c r="T24" i="66"/>
  <c r="V23" i="66"/>
  <c r="W20" i="66" s="1"/>
  <c r="U23" i="66"/>
  <c r="T23" i="66"/>
  <c r="V22" i="66"/>
  <c r="U22" i="66"/>
  <c r="T22" i="66"/>
  <c r="V21" i="66"/>
  <c r="U21" i="66"/>
  <c r="T21" i="66"/>
  <c r="V20" i="66"/>
  <c r="U20" i="66"/>
  <c r="T20" i="66"/>
  <c r="V19" i="66"/>
  <c r="U19" i="66"/>
  <c r="T19" i="66"/>
  <c r="V18" i="66"/>
  <c r="U18" i="66"/>
  <c r="T18" i="66"/>
  <c r="V17" i="66"/>
  <c r="U17" i="66"/>
  <c r="T17" i="66"/>
  <c r="V16" i="66"/>
  <c r="W16" i="66" s="1"/>
  <c r="U16" i="66"/>
  <c r="T16" i="66"/>
  <c r="V15" i="66"/>
  <c r="U15" i="66"/>
  <c r="T15" i="66"/>
  <c r="V14" i="66"/>
  <c r="U14" i="66"/>
  <c r="T14" i="66"/>
  <c r="W13" i="66"/>
  <c r="V13" i="66"/>
  <c r="U13" i="66"/>
  <c r="T13" i="66"/>
  <c r="V12" i="66"/>
  <c r="U12" i="66"/>
  <c r="T12" i="66"/>
  <c r="V11" i="66"/>
  <c r="W10" i="66" s="1"/>
  <c r="W30" i="66" s="1"/>
  <c r="U11" i="66"/>
  <c r="T11" i="66"/>
  <c r="T30" i="66" s="1"/>
  <c r="V10" i="66"/>
  <c r="U10" i="66"/>
  <c r="T10" i="66"/>
  <c r="BM91" i="64"/>
  <c r="BM45" i="64"/>
  <c r="BM39" i="64"/>
  <c r="BK61" i="64" l="1"/>
  <c r="BK10" i="64"/>
  <c r="BK43" i="64"/>
  <c r="BK24" i="64"/>
  <c r="BK65" i="64"/>
  <c r="BK36" i="64"/>
  <c r="BK66" i="64"/>
  <c r="BK11" i="64"/>
  <c r="BK85" i="64"/>
  <c r="BK77" i="64"/>
  <c r="BK34" i="64"/>
  <c r="BK56" i="64"/>
  <c r="BK57" i="64"/>
  <c r="BK46" i="64"/>
  <c r="BK87" i="64"/>
  <c r="BK79" i="64"/>
  <c r="BK59" i="64"/>
  <c r="BK35" i="64"/>
  <c r="BK22" i="64"/>
  <c r="BK37" i="64"/>
  <c r="BK86" i="64"/>
  <c r="BK78" i="64"/>
  <c r="BK55" i="64"/>
  <c r="BK72" i="64"/>
  <c r="BK14" i="64"/>
  <c r="BK33" i="64"/>
  <c r="BK21" i="64"/>
  <c r="BK31" i="64"/>
  <c r="BL17" i="64"/>
  <c r="BK47" i="64"/>
  <c r="BK84" i="64"/>
  <c r="BK76" i="64"/>
  <c r="BK52" i="64"/>
  <c r="BK51" i="64"/>
  <c r="BK17" i="64"/>
  <c r="BK75" i="64"/>
  <c r="BK50" i="64"/>
  <c r="BK58" i="64"/>
  <c r="BK27" i="64"/>
  <c r="BK74" i="64"/>
  <c r="BK32" i="64"/>
  <c r="BK94" i="64"/>
  <c r="BK62" i="64"/>
  <c r="BK64" i="64"/>
  <c r="BK73" i="64"/>
  <c r="BK44" i="64"/>
  <c r="BK25" i="64"/>
  <c r="BK40" i="64"/>
  <c r="BM19" i="64"/>
  <c r="BM81" i="64"/>
  <c r="BM79" i="64"/>
  <c r="BN90" i="64"/>
  <c r="BM29" i="64"/>
  <c r="BM89" i="64"/>
  <c r="BM53" i="64"/>
  <c r="BN52" i="64" s="1"/>
  <c r="BM38" i="64"/>
  <c r="BN37" i="64" s="1"/>
  <c r="BM41" i="64"/>
  <c r="BN41" i="64" s="1"/>
  <c r="BM32" i="64"/>
  <c r="BM47" i="64"/>
  <c r="BM59" i="64"/>
  <c r="BM49" i="64"/>
  <c r="BM77" i="64"/>
  <c r="BM35" i="64"/>
  <c r="BM31" i="64"/>
  <c r="BM30" i="64"/>
  <c r="BN30" i="64" s="1"/>
  <c r="BM15" i="64"/>
  <c r="BM16" i="64"/>
  <c r="BM34" i="64"/>
  <c r="BM33" i="64"/>
  <c r="BM28" i="64"/>
  <c r="BM36" i="64"/>
  <c r="BM40" i="64"/>
  <c r="BN39" i="64" s="1"/>
  <c r="BM48" i="64"/>
  <c r="BM60" i="64"/>
  <c r="BM78" i="64"/>
  <c r="BM27" i="64"/>
  <c r="BM42" i="64"/>
  <c r="BM43" i="64"/>
  <c r="BM44" i="64"/>
  <c r="BM46" i="64"/>
  <c r="BM88" i="64"/>
  <c r="D19" i="67" l="1"/>
  <c r="D50" i="67" s="1"/>
  <c r="I21" i="69"/>
  <c r="I14" i="69"/>
  <c r="D14" i="67"/>
  <c r="D45" i="67" s="1"/>
  <c r="I17" i="69"/>
  <c r="D17" i="67"/>
  <c r="D48" i="67" s="1"/>
  <c r="I24" i="69"/>
  <c r="D22" i="67"/>
  <c r="D53" i="67" s="1"/>
  <c r="I19" i="69"/>
  <c r="D18" i="67"/>
  <c r="D49" i="67" s="1"/>
  <c r="I44" i="69"/>
  <c r="D26" i="67"/>
  <c r="D57" i="67" s="1"/>
  <c r="BN32" i="64"/>
  <c r="BN34" i="64"/>
  <c r="BN45" i="64"/>
  <c r="BN84" i="64"/>
  <c r="BN42" i="64"/>
  <c r="BO37" i="64" s="1"/>
  <c r="BM18" i="64"/>
  <c r="BM17" i="64"/>
  <c r="BM14" i="64"/>
  <c r="BM26" i="64"/>
  <c r="BN26" i="64" s="1"/>
  <c r="D25" i="67" l="1"/>
  <c r="D56" i="67" s="1"/>
  <c r="I43" i="69"/>
  <c r="I23" i="69"/>
  <c r="D21" i="67"/>
  <c r="D52" i="67" s="1"/>
  <c r="I13" i="69"/>
  <c r="D13" i="67"/>
  <c r="D44" i="67" s="1"/>
  <c r="D16" i="67"/>
  <c r="D47" i="67" s="1"/>
  <c r="I16" i="69"/>
  <c r="BO30" i="64"/>
  <c r="D15" i="67"/>
  <c r="D46" i="67" s="1"/>
  <c r="I15" i="69"/>
  <c r="C13" i="70"/>
  <c r="J17" i="69"/>
  <c r="E17" i="67"/>
  <c r="D68" i="67" s="1"/>
  <c r="I22" i="69"/>
  <c r="D20" i="67"/>
  <c r="D51" i="67" s="1"/>
  <c r="K69" i="60"/>
  <c r="C12" i="70" l="1"/>
  <c r="E14" i="67"/>
  <c r="D67" i="67" s="1"/>
  <c r="J14" i="69"/>
  <c r="Y33" i="58"/>
  <c r="AA29" i="64" s="1"/>
  <c r="Y23" i="58"/>
  <c r="W32" i="58"/>
  <c r="W33" i="58"/>
  <c r="C33" i="62"/>
  <c r="C32" i="62"/>
  <c r="C31" i="62"/>
  <c r="C60" i="62"/>
  <c r="C57" i="62"/>
  <c r="C50" i="62"/>
  <c r="C30" i="62"/>
  <c r="C46" i="62"/>
  <c r="F78" i="63"/>
  <c r="E78" i="63"/>
  <c r="D78" i="63"/>
  <c r="F77" i="63"/>
  <c r="E77" i="63"/>
  <c r="D77" i="63"/>
  <c r="F76" i="63"/>
  <c r="E76" i="63"/>
  <c r="D76" i="63"/>
  <c r="F75" i="63"/>
  <c r="E75" i="63"/>
  <c r="D75" i="63"/>
  <c r="F74" i="63"/>
  <c r="E74" i="63"/>
  <c r="D74" i="63"/>
  <c r="F73" i="63"/>
  <c r="E73" i="63"/>
  <c r="D73" i="63"/>
  <c r="F72" i="63"/>
  <c r="E72" i="63"/>
  <c r="D72" i="63"/>
  <c r="F71" i="63"/>
  <c r="E71" i="63"/>
  <c r="D71" i="63"/>
  <c r="F70" i="63"/>
  <c r="E70" i="63"/>
  <c r="D70" i="63"/>
  <c r="F69" i="63"/>
  <c r="E69" i="63"/>
  <c r="D69" i="63"/>
  <c r="F68" i="63"/>
  <c r="E68" i="63"/>
  <c r="D68" i="63"/>
  <c r="F67" i="63"/>
  <c r="E67" i="63"/>
  <c r="D67" i="63"/>
  <c r="F66" i="63"/>
  <c r="E66" i="63"/>
  <c r="D66" i="63"/>
  <c r="F65" i="63"/>
  <c r="E65" i="63"/>
  <c r="D65" i="63"/>
  <c r="F64" i="63"/>
  <c r="E64" i="63"/>
  <c r="D64" i="63"/>
  <c r="F63" i="63"/>
  <c r="E63" i="63"/>
  <c r="D63" i="63"/>
  <c r="D29" i="62"/>
  <c r="D30" i="63"/>
  <c r="D29" i="63"/>
  <c r="D28" i="63"/>
  <c r="D27" i="63"/>
  <c r="D34" i="63"/>
  <c r="E79" i="63" l="1"/>
  <c r="AE23" i="58"/>
  <c r="AA18" i="64"/>
  <c r="C62" i="62"/>
  <c r="F79" i="63"/>
  <c r="D79" i="63"/>
  <c r="AT23" i="43"/>
  <c r="U139" i="60" l="1"/>
  <c r="T139" i="60"/>
  <c r="R139" i="60"/>
  <c r="P139" i="60"/>
  <c r="O139" i="60"/>
  <c r="N139" i="60"/>
  <c r="U138" i="60"/>
  <c r="T138" i="60"/>
  <c r="R138" i="60"/>
  <c r="P138" i="60"/>
  <c r="O138" i="60"/>
  <c r="N138" i="60"/>
  <c r="U137" i="60"/>
  <c r="T137" i="60"/>
  <c r="R137" i="60"/>
  <c r="P137" i="60"/>
  <c r="O137" i="60"/>
  <c r="N137" i="60"/>
  <c r="L138" i="60"/>
  <c r="L139" i="60"/>
  <c r="L137" i="60"/>
  <c r="K138" i="60"/>
  <c r="K139" i="60"/>
  <c r="K137" i="60"/>
  <c r="E84" i="60"/>
  <c r="E85" i="60"/>
  <c r="E86" i="60"/>
  <c r="E87" i="60"/>
  <c r="Z58" i="60" l="1"/>
  <c r="AV18" i="47"/>
  <c r="AU18" i="47"/>
  <c r="AM18" i="47"/>
  <c r="W18" i="47"/>
  <c r="AE18" i="47"/>
  <c r="R64" i="58" s="1"/>
  <c r="AE19" i="43"/>
  <c r="R44" i="58" s="1"/>
  <c r="M71" i="59"/>
  <c r="S137" i="60" s="1"/>
  <c r="M72" i="59"/>
  <c r="S138" i="60" s="1"/>
  <c r="M73" i="59"/>
  <c r="S139" i="60" s="1"/>
  <c r="K73" i="59"/>
  <c r="Q139" i="60" s="1"/>
  <c r="K71" i="59"/>
  <c r="Q137" i="60" s="1"/>
  <c r="K72" i="59"/>
  <c r="Q138" i="60" s="1"/>
  <c r="AZ17" i="50" l="1"/>
  <c r="BH17" i="50" s="1"/>
  <c r="AX17" i="50"/>
  <c r="BF17" i="50" s="1"/>
  <c r="AW17" i="50"/>
  <c r="BE17" i="50" s="1"/>
  <c r="AE21" i="42"/>
  <c r="AE20" i="42" l="1"/>
  <c r="AB19" i="42" l="1"/>
  <c r="AE17" i="52" l="1"/>
  <c r="R77" i="58" s="1"/>
  <c r="R87" i="58" l="1"/>
  <c r="R86" i="58"/>
  <c r="R85" i="58"/>
  <c r="N99" i="58"/>
  <c r="M99" i="58"/>
  <c r="L99" i="58"/>
  <c r="K99" i="58"/>
  <c r="J99" i="58"/>
  <c r="I99" i="58"/>
  <c r="H99" i="58"/>
  <c r="G99" i="58"/>
  <c r="F99" i="58"/>
  <c r="E99" i="58"/>
  <c r="D99" i="58"/>
  <c r="N98" i="58"/>
  <c r="M98" i="58"/>
  <c r="L98" i="58"/>
  <c r="K98" i="58"/>
  <c r="J98" i="58"/>
  <c r="I98" i="58"/>
  <c r="H98" i="58"/>
  <c r="G98" i="58"/>
  <c r="F98" i="58"/>
  <c r="E98" i="58"/>
  <c r="D98" i="58"/>
  <c r="N97" i="58"/>
  <c r="M97" i="58"/>
  <c r="L97" i="58"/>
  <c r="K97" i="58"/>
  <c r="J97" i="58"/>
  <c r="I97" i="58"/>
  <c r="H97" i="58"/>
  <c r="G97" i="58"/>
  <c r="F97" i="58"/>
  <c r="E97" i="58"/>
  <c r="D97" i="58"/>
  <c r="N96" i="58"/>
  <c r="M96" i="58"/>
  <c r="L96" i="58"/>
  <c r="K96" i="58"/>
  <c r="J96" i="58"/>
  <c r="I96" i="58"/>
  <c r="H96" i="58"/>
  <c r="G96" i="58"/>
  <c r="F96" i="58"/>
  <c r="E96" i="58"/>
  <c r="D96" i="58"/>
  <c r="N95" i="58"/>
  <c r="M95" i="58"/>
  <c r="L95" i="58"/>
  <c r="K95" i="58"/>
  <c r="J95" i="58"/>
  <c r="I95" i="58"/>
  <c r="H95" i="58"/>
  <c r="G95" i="58"/>
  <c r="F95" i="58"/>
  <c r="E95" i="58"/>
  <c r="D95" i="58"/>
  <c r="N94" i="58"/>
  <c r="M94" i="58"/>
  <c r="L94" i="58"/>
  <c r="K94" i="58"/>
  <c r="J94" i="58"/>
  <c r="I94" i="58"/>
  <c r="H94" i="58"/>
  <c r="G94" i="58"/>
  <c r="F94" i="58"/>
  <c r="E94" i="58"/>
  <c r="D94" i="58"/>
  <c r="N93" i="58"/>
  <c r="M93" i="58"/>
  <c r="L93" i="58"/>
  <c r="K93" i="58"/>
  <c r="J93" i="58"/>
  <c r="I93" i="58"/>
  <c r="H93" i="58"/>
  <c r="G93" i="58"/>
  <c r="F93" i="58"/>
  <c r="E93" i="58"/>
  <c r="D93" i="58"/>
  <c r="N92" i="58"/>
  <c r="M92" i="58"/>
  <c r="L92" i="58"/>
  <c r="K92" i="58"/>
  <c r="J92" i="58"/>
  <c r="I92" i="58"/>
  <c r="H92" i="58"/>
  <c r="G92" i="58"/>
  <c r="F92" i="58"/>
  <c r="E92" i="58"/>
  <c r="D92" i="58"/>
  <c r="N91" i="58"/>
  <c r="M91" i="58"/>
  <c r="L91" i="58"/>
  <c r="K91" i="58"/>
  <c r="J91" i="58"/>
  <c r="I91" i="58"/>
  <c r="H91" i="58"/>
  <c r="G91" i="58"/>
  <c r="F91" i="58"/>
  <c r="E91" i="58"/>
  <c r="D91" i="58"/>
  <c r="N90" i="58"/>
  <c r="M90" i="58"/>
  <c r="L90" i="58"/>
  <c r="K90" i="58"/>
  <c r="J90" i="58"/>
  <c r="I90" i="58"/>
  <c r="H90" i="58"/>
  <c r="G90" i="58"/>
  <c r="F90" i="58"/>
  <c r="E90" i="58"/>
  <c r="D90" i="58"/>
  <c r="N89" i="58"/>
  <c r="M89" i="58"/>
  <c r="L89" i="58"/>
  <c r="K89" i="58"/>
  <c r="J89" i="58"/>
  <c r="I89" i="58"/>
  <c r="H89" i="58"/>
  <c r="G89" i="58"/>
  <c r="F89" i="58"/>
  <c r="E89" i="58"/>
  <c r="D89" i="58"/>
  <c r="N88" i="58"/>
  <c r="M88" i="58"/>
  <c r="L88" i="58"/>
  <c r="K88" i="58"/>
  <c r="J88" i="58"/>
  <c r="I88" i="58"/>
  <c r="H88" i="58"/>
  <c r="G88" i="58"/>
  <c r="F88" i="58"/>
  <c r="E88" i="58"/>
  <c r="D88" i="58"/>
  <c r="W87" i="58" l="1"/>
  <c r="X87" i="58" s="1"/>
  <c r="W86" i="58"/>
  <c r="X86" i="58" s="1"/>
  <c r="W85" i="58"/>
  <c r="X85" i="58" s="1"/>
  <c r="U87" i="58"/>
  <c r="U86" i="58"/>
  <c r="U85" i="58"/>
  <c r="S87" i="58"/>
  <c r="S86" i="58"/>
  <c r="S85" i="58"/>
  <c r="Q86" i="58"/>
  <c r="Q87" i="58"/>
  <c r="Q85" i="58"/>
  <c r="P85" i="58"/>
  <c r="P86" i="58"/>
  <c r="P87" i="58"/>
  <c r="O86" i="58"/>
  <c r="O87" i="58"/>
  <c r="O85" i="58"/>
  <c r="N87" i="58"/>
  <c r="M87" i="58"/>
  <c r="L87" i="58"/>
  <c r="K87" i="58"/>
  <c r="J87" i="58"/>
  <c r="I87" i="58"/>
  <c r="H87" i="58"/>
  <c r="G87" i="58"/>
  <c r="F87" i="58"/>
  <c r="N86" i="58"/>
  <c r="M86" i="58"/>
  <c r="L86" i="58"/>
  <c r="K86" i="58"/>
  <c r="J86" i="58"/>
  <c r="I86" i="58"/>
  <c r="H86" i="58"/>
  <c r="G86" i="58"/>
  <c r="F86" i="58"/>
  <c r="N85" i="58"/>
  <c r="M85" i="58"/>
  <c r="L85" i="58"/>
  <c r="K85" i="58"/>
  <c r="J85" i="58"/>
  <c r="I85" i="58"/>
  <c r="H85" i="58"/>
  <c r="G85" i="58"/>
  <c r="F85" i="58"/>
  <c r="N84" i="58"/>
  <c r="M84" i="58"/>
  <c r="L84" i="58"/>
  <c r="K84" i="58"/>
  <c r="J84" i="58"/>
  <c r="I84" i="58"/>
  <c r="H84" i="58"/>
  <c r="G84" i="58"/>
  <c r="F84" i="58"/>
  <c r="N83" i="58"/>
  <c r="M83" i="58"/>
  <c r="L83" i="58"/>
  <c r="K83" i="58"/>
  <c r="J83" i="58"/>
  <c r="I83" i="58"/>
  <c r="H83" i="58"/>
  <c r="G83" i="58"/>
  <c r="F83" i="58"/>
  <c r="E83" i="58"/>
  <c r="D83" i="58"/>
  <c r="N79" i="58"/>
  <c r="M79" i="58"/>
  <c r="L79" i="58"/>
  <c r="K79" i="58"/>
  <c r="J79" i="58"/>
  <c r="I79" i="58"/>
  <c r="H79" i="58"/>
  <c r="G79" i="58"/>
  <c r="F79" i="58"/>
  <c r="E79" i="58"/>
  <c r="D79" i="58"/>
  <c r="N78" i="58"/>
  <c r="M78" i="58"/>
  <c r="L78" i="58"/>
  <c r="K78" i="58"/>
  <c r="J78" i="58"/>
  <c r="I78" i="58"/>
  <c r="H78" i="58"/>
  <c r="G78" i="58"/>
  <c r="F78" i="58"/>
  <c r="E78" i="58"/>
  <c r="D78" i="58"/>
  <c r="E85" i="58"/>
  <c r="D85" i="58"/>
  <c r="N82" i="58"/>
  <c r="M82" i="58"/>
  <c r="L82" i="58"/>
  <c r="K82" i="58"/>
  <c r="J82" i="58"/>
  <c r="I82" i="58"/>
  <c r="H82" i="58"/>
  <c r="G82" i="58"/>
  <c r="F82" i="58"/>
  <c r="E82" i="58"/>
  <c r="D82" i="58"/>
  <c r="N81" i="58"/>
  <c r="M81" i="58"/>
  <c r="L81" i="58"/>
  <c r="K81" i="58"/>
  <c r="J81" i="58"/>
  <c r="I81" i="58"/>
  <c r="H81" i="58"/>
  <c r="G81" i="58"/>
  <c r="F81" i="58"/>
  <c r="E81" i="58"/>
  <c r="D81" i="58"/>
  <c r="N80" i="58"/>
  <c r="M80" i="58"/>
  <c r="L80" i="58"/>
  <c r="K80" i="58"/>
  <c r="J80" i="58"/>
  <c r="I80" i="58"/>
  <c r="H80" i="58"/>
  <c r="G80" i="58"/>
  <c r="F80" i="58"/>
  <c r="E80" i="58"/>
  <c r="D80" i="58"/>
  <c r="N77" i="58"/>
  <c r="M77" i="58"/>
  <c r="L77" i="58"/>
  <c r="K77" i="58"/>
  <c r="J77" i="58"/>
  <c r="I77" i="58"/>
  <c r="H77" i="58"/>
  <c r="G77" i="58"/>
  <c r="F77" i="58"/>
  <c r="E77" i="58"/>
  <c r="D77" i="58"/>
  <c r="N76" i="58"/>
  <c r="M76" i="58"/>
  <c r="L76" i="58"/>
  <c r="K76" i="58"/>
  <c r="J76" i="58"/>
  <c r="I76" i="58"/>
  <c r="H76" i="58"/>
  <c r="G76" i="58"/>
  <c r="F76" i="58"/>
  <c r="E76" i="58"/>
  <c r="D76" i="58"/>
  <c r="N75" i="58"/>
  <c r="M75" i="58"/>
  <c r="L75" i="58"/>
  <c r="K75" i="58"/>
  <c r="J75" i="58"/>
  <c r="I75" i="58"/>
  <c r="H75" i="58"/>
  <c r="G75" i="58"/>
  <c r="F75" i="58"/>
  <c r="E75" i="58"/>
  <c r="D75" i="58"/>
  <c r="N74" i="58"/>
  <c r="M74" i="58"/>
  <c r="L74" i="58"/>
  <c r="K74" i="58"/>
  <c r="J74" i="58"/>
  <c r="I74" i="58"/>
  <c r="H74" i="58"/>
  <c r="G74" i="58"/>
  <c r="F74" i="58"/>
  <c r="E74" i="58"/>
  <c r="D74" i="58"/>
  <c r="N73" i="58"/>
  <c r="M73" i="58"/>
  <c r="L73" i="58"/>
  <c r="K73" i="58"/>
  <c r="J73" i="58"/>
  <c r="I73" i="58"/>
  <c r="H73" i="58"/>
  <c r="G73" i="58"/>
  <c r="F73" i="58"/>
  <c r="E73" i="58"/>
  <c r="D73" i="58"/>
  <c r="N72" i="58"/>
  <c r="M72" i="58"/>
  <c r="L72" i="58"/>
  <c r="K72" i="58"/>
  <c r="J72" i="58"/>
  <c r="I72" i="58"/>
  <c r="H72" i="58"/>
  <c r="G72" i="58"/>
  <c r="F72" i="58"/>
  <c r="E72" i="58"/>
  <c r="D72" i="58"/>
  <c r="N71" i="58"/>
  <c r="M71" i="58"/>
  <c r="L71" i="58"/>
  <c r="K71" i="58"/>
  <c r="J71" i="58"/>
  <c r="I71" i="58"/>
  <c r="H71" i="58"/>
  <c r="G71" i="58"/>
  <c r="F71" i="58"/>
  <c r="E71" i="58"/>
  <c r="D71" i="58"/>
  <c r="N70" i="58"/>
  <c r="M70" i="58"/>
  <c r="L70" i="58"/>
  <c r="K70" i="58"/>
  <c r="J70" i="58"/>
  <c r="I70" i="58"/>
  <c r="H70" i="58"/>
  <c r="G70" i="58"/>
  <c r="F70" i="58"/>
  <c r="E70" i="58"/>
  <c r="D70" i="58"/>
  <c r="N69" i="58"/>
  <c r="M69" i="58"/>
  <c r="L69" i="58"/>
  <c r="K69" i="58"/>
  <c r="J69" i="58"/>
  <c r="I69" i="58"/>
  <c r="H69" i="58"/>
  <c r="G69" i="58"/>
  <c r="F69" i="58"/>
  <c r="E69" i="58"/>
  <c r="D69" i="58"/>
  <c r="N68" i="58"/>
  <c r="M68" i="58"/>
  <c r="L68" i="58"/>
  <c r="K68" i="58"/>
  <c r="J68" i="58"/>
  <c r="I68" i="58"/>
  <c r="H68" i="58"/>
  <c r="G68" i="58"/>
  <c r="F68" i="58"/>
  <c r="E68" i="58"/>
  <c r="D68" i="58"/>
  <c r="N67" i="58"/>
  <c r="M67" i="58"/>
  <c r="L67" i="58"/>
  <c r="K67" i="58"/>
  <c r="J67" i="58"/>
  <c r="I67" i="58"/>
  <c r="H67" i="58"/>
  <c r="G67" i="58"/>
  <c r="F67" i="58"/>
  <c r="E67" i="58"/>
  <c r="D67" i="58"/>
  <c r="N66" i="58"/>
  <c r="M66" i="58"/>
  <c r="L66" i="58"/>
  <c r="K66" i="58"/>
  <c r="J66" i="58"/>
  <c r="I66" i="58"/>
  <c r="H66" i="58"/>
  <c r="G66" i="58"/>
  <c r="F66" i="58"/>
  <c r="E66" i="58"/>
  <c r="D66" i="58"/>
  <c r="N65" i="58"/>
  <c r="M65" i="58"/>
  <c r="L65" i="58"/>
  <c r="K65" i="58"/>
  <c r="J65" i="58"/>
  <c r="I65" i="58"/>
  <c r="H65" i="58"/>
  <c r="G65" i="58"/>
  <c r="F65" i="58"/>
  <c r="E65" i="58"/>
  <c r="D65" i="58"/>
  <c r="N64" i="58"/>
  <c r="M64" i="58"/>
  <c r="L64" i="58"/>
  <c r="K64" i="58"/>
  <c r="J64" i="58"/>
  <c r="I64" i="58"/>
  <c r="H64" i="58"/>
  <c r="G64" i="58"/>
  <c r="F64" i="58"/>
  <c r="E64" i="58"/>
  <c r="D64" i="58"/>
  <c r="N63" i="58"/>
  <c r="M63" i="58"/>
  <c r="L63" i="58"/>
  <c r="K63" i="58"/>
  <c r="J63" i="58"/>
  <c r="I63" i="58"/>
  <c r="H63" i="58"/>
  <c r="G63" i="58"/>
  <c r="F63" i="58"/>
  <c r="E63" i="58"/>
  <c r="D63" i="58"/>
  <c r="N62" i="58"/>
  <c r="M62" i="58"/>
  <c r="L62" i="58"/>
  <c r="K62" i="58"/>
  <c r="J62" i="58"/>
  <c r="I62" i="58"/>
  <c r="H62" i="58"/>
  <c r="G62" i="58"/>
  <c r="F62" i="58"/>
  <c r="E62" i="58"/>
  <c r="D62" i="58"/>
  <c r="N61" i="58"/>
  <c r="M61" i="58"/>
  <c r="L61" i="58"/>
  <c r="K61" i="58"/>
  <c r="J61" i="58"/>
  <c r="I61" i="58"/>
  <c r="H61" i="58"/>
  <c r="G61" i="58"/>
  <c r="F61" i="58"/>
  <c r="E61" i="58"/>
  <c r="D61" i="58"/>
  <c r="N59" i="58"/>
  <c r="M59" i="58"/>
  <c r="L59" i="58"/>
  <c r="K59" i="58"/>
  <c r="J59" i="58"/>
  <c r="I59" i="58"/>
  <c r="H59" i="58"/>
  <c r="G59" i="58"/>
  <c r="F59" i="58"/>
  <c r="E59" i="58"/>
  <c r="D59" i="58"/>
  <c r="N60" i="58"/>
  <c r="M60" i="58"/>
  <c r="L60" i="58"/>
  <c r="K60" i="58"/>
  <c r="J60" i="58"/>
  <c r="I60" i="58"/>
  <c r="H60" i="58"/>
  <c r="G60" i="58"/>
  <c r="F60" i="58"/>
  <c r="E60" i="58"/>
  <c r="D60" i="58"/>
  <c r="N58" i="58"/>
  <c r="M58" i="58"/>
  <c r="L58" i="58"/>
  <c r="K58" i="58"/>
  <c r="J58" i="58"/>
  <c r="I58" i="58"/>
  <c r="H58" i="58"/>
  <c r="G58" i="58"/>
  <c r="F58" i="58"/>
  <c r="E58" i="58"/>
  <c r="D58" i="58"/>
  <c r="N57" i="58"/>
  <c r="M57" i="58"/>
  <c r="L57" i="58"/>
  <c r="K57" i="58"/>
  <c r="J57" i="58"/>
  <c r="I57" i="58"/>
  <c r="H57" i="58"/>
  <c r="G57" i="58"/>
  <c r="F57" i="58"/>
  <c r="E57" i="58"/>
  <c r="D57" i="58"/>
  <c r="N56" i="58"/>
  <c r="M56" i="58"/>
  <c r="L56" i="58"/>
  <c r="K56" i="58"/>
  <c r="J56" i="58"/>
  <c r="I56" i="58"/>
  <c r="H56" i="58"/>
  <c r="G56" i="58"/>
  <c r="F56" i="58"/>
  <c r="E56" i="58"/>
  <c r="D56" i="58"/>
  <c r="J55" i="58"/>
  <c r="I55" i="58"/>
  <c r="H55" i="58"/>
  <c r="G55" i="58"/>
  <c r="F55" i="58"/>
  <c r="E55" i="58"/>
  <c r="D55" i="58"/>
  <c r="J54" i="58"/>
  <c r="I54" i="58"/>
  <c r="H54" i="58"/>
  <c r="G54" i="58"/>
  <c r="F54" i="58"/>
  <c r="E54" i="58"/>
  <c r="D54" i="58"/>
  <c r="J53" i="58"/>
  <c r="I53" i="58"/>
  <c r="H53" i="58"/>
  <c r="G53" i="58"/>
  <c r="F53" i="58"/>
  <c r="E53" i="58"/>
  <c r="D53" i="58"/>
  <c r="J52" i="58"/>
  <c r="I52" i="58"/>
  <c r="H52" i="58"/>
  <c r="G52" i="58"/>
  <c r="F52" i="58"/>
  <c r="E52" i="58"/>
  <c r="D52" i="58"/>
  <c r="J51" i="58"/>
  <c r="I51" i="58"/>
  <c r="H51" i="58"/>
  <c r="G51" i="58"/>
  <c r="F51" i="58"/>
  <c r="E51" i="58"/>
  <c r="D51" i="58"/>
  <c r="J50" i="58"/>
  <c r="I50" i="58"/>
  <c r="H50" i="58"/>
  <c r="G50" i="58"/>
  <c r="F50" i="58"/>
  <c r="E50" i="58"/>
  <c r="D50" i="58"/>
  <c r="K50" i="58"/>
  <c r="L50" i="58"/>
  <c r="M50" i="58"/>
  <c r="N50" i="58"/>
  <c r="K51" i="58"/>
  <c r="L51" i="58"/>
  <c r="M51" i="58"/>
  <c r="N51" i="58"/>
  <c r="K52" i="58"/>
  <c r="L52" i="58"/>
  <c r="M52" i="58"/>
  <c r="N52" i="58"/>
  <c r="K53" i="58"/>
  <c r="L53" i="58"/>
  <c r="M53" i="58"/>
  <c r="N53" i="58"/>
  <c r="K54" i="58"/>
  <c r="L54" i="58"/>
  <c r="M54" i="58"/>
  <c r="N54" i="58"/>
  <c r="K55" i="58"/>
  <c r="L55" i="58"/>
  <c r="M55" i="58"/>
  <c r="N55" i="58"/>
  <c r="L49" i="58"/>
  <c r="M49" i="58"/>
  <c r="N49" i="58"/>
  <c r="K49" i="58"/>
  <c r="J49" i="58"/>
  <c r="I49" i="58"/>
  <c r="H49" i="58"/>
  <c r="G49" i="58"/>
  <c r="F49" i="58"/>
  <c r="E49" i="58"/>
  <c r="D49" i="58"/>
  <c r="N48" i="58"/>
  <c r="M48" i="58"/>
  <c r="L48" i="58"/>
  <c r="K48" i="58"/>
  <c r="J48" i="58"/>
  <c r="I48" i="58"/>
  <c r="H48" i="58"/>
  <c r="G48" i="58"/>
  <c r="F48" i="58"/>
  <c r="E48" i="58"/>
  <c r="D48" i="58"/>
  <c r="N47" i="58"/>
  <c r="M47" i="58"/>
  <c r="L47" i="58"/>
  <c r="K47" i="58"/>
  <c r="J47" i="58"/>
  <c r="I47" i="58"/>
  <c r="H47" i="58"/>
  <c r="G47" i="58"/>
  <c r="F47" i="58"/>
  <c r="E47" i="58"/>
  <c r="D47" i="58"/>
  <c r="N46" i="58"/>
  <c r="M46" i="58"/>
  <c r="L46" i="58"/>
  <c r="K46" i="58"/>
  <c r="J46" i="58"/>
  <c r="I46" i="58"/>
  <c r="H46" i="58"/>
  <c r="G46" i="58"/>
  <c r="F46" i="58"/>
  <c r="E46" i="58"/>
  <c r="D46" i="58"/>
  <c r="N45" i="58"/>
  <c r="M45" i="58"/>
  <c r="L45" i="58"/>
  <c r="K45" i="58"/>
  <c r="J45" i="58"/>
  <c r="I45" i="58"/>
  <c r="H45" i="58"/>
  <c r="G45" i="58"/>
  <c r="F45" i="58"/>
  <c r="E45" i="58"/>
  <c r="D45" i="58"/>
  <c r="N44" i="58"/>
  <c r="M44" i="58"/>
  <c r="L44" i="58"/>
  <c r="K44" i="58"/>
  <c r="J44" i="58"/>
  <c r="I44" i="58"/>
  <c r="H44" i="58"/>
  <c r="G44" i="58"/>
  <c r="F44" i="58"/>
  <c r="E44" i="58"/>
  <c r="D44" i="58"/>
  <c r="N43" i="58"/>
  <c r="M43" i="58"/>
  <c r="L43" i="58"/>
  <c r="K43" i="58"/>
  <c r="J43" i="58"/>
  <c r="I43" i="58"/>
  <c r="H43" i="58"/>
  <c r="G43" i="58"/>
  <c r="F43" i="58"/>
  <c r="E43" i="58"/>
  <c r="D43" i="58"/>
  <c r="N42" i="58"/>
  <c r="M42" i="58"/>
  <c r="L42" i="58"/>
  <c r="K42" i="58"/>
  <c r="J42" i="58"/>
  <c r="I42" i="58"/>
  <c r="H42" i="58"/>
  <c r="G42" i="58"/>
  <c r="F42" i="58"/>
  <c r="E42" i="58"/>
  <c r="D42" i="58"/>
  <c r="N41" i="58"/>
  <c r="M41" i="58"/>
  <c r="L41" i="58"/>
  <c r="K41" i="58"/>
  <c r="J41" i="58"/>
  <c r="I41" i="58"/>
  <c r="H41" i="58"/>
  <c r="G41" i="58"/>
  <c r="F41" i="58"/>
  <c r="E41" i="58"/>
  <c r="D41" i="58"/>
  <c r="N40" i="58"/>
  <c r="M40" i="58"/>
  <c r="L40" i="58"/>
  <c r="K40" i="58"/>
  <c r="J40" i="58"/>
  <c r="I40" i="58"/>
  <c r="H40" i="58"/>
  <c r="G40" i="58"/>
  <c r="F40" i="58"/>
  <c r="D40" i="58"/>
  <c r="N39" i="58"/>
  <c r="M39" i="58"/>
  <c r="L39" i="58"/>
  <c r="K39" i="58"/>
  <c r="J39" i="58"/>
  <c r="I39" i="58"/>
  <c r="H39" i="58"/>
  <c r="G39" i="58"/>
  <c r="F39" i="58"/>
  <c r="D39" i="58"/>
  <c r="N38" i="58"/>
  <c r="M38" i="58"/>
  <c r="L38" i="58"/>
  <c r="K38" i="58"/>
  <c r="J38" i="58"/>
  <c r="I38" i="58"/>
  <c r="H38" i="58"/>
  <c r="G38" i="58"/>
  <c r="F38" i="58"/>
  <c r="D38" i="58"/>
  <c r="N37" i="58"/>
  <c r="M37" i="58"/>
  <c r="L37" i="58"/>
  <c r="K37" i="58"/>
  <c r="J37" i="58"/>
  <c r="I37" i="58"/>
  <c r="H37" i="58"/>
  <c r="G37" i="58"/>
  <c r="F37" i="58"/>
  <c r="D37" i="58"/>
  <c r="N36" i="58"/>
  <c r="M36" i="58"/>
  <c r="L36" i="58"/>
  <c r="K36" i="58"/>
  <c r="J36" i="58"/>
  <c r="I36" i="58"/>
  <c r="H36" i="58"/>
  <c r="G36" i="58"/>
  <c r="F36" i="58"/>
  <c r="D36" i="58"/>
  <c r="N35" i="58"/>
  <c r="M35" i="58"/>
  <c r="L35" i="58"/>
  <c r="K35" i="58"/>
  <c r="J35" i="58"/>
  <c r="I35" i="58"/>
  <c r="H35" i="58"/>
  <c r="G35" i="58"/>
  <c r="F35" i="58"/>
  <c r="D35" i="58"/>
  <c r="N34" i="58"/>
  <c r="M34" i="58"/>
  <c r="L34" i="58"/>
  <c r="K34" i="58"/>
  <c r="J34" i="58"/>
  <c r="I34" i="58"/>
  <c r="H34" i="58"/>
  <c r="G34" i="58"/>
  <c r="F34" i="58"/>
  <c r="D34" i="58"/>
  <c r="K14" i="58"/>
  <c r="M10" i="64" s="1"/>
  <c r="L14" i="58"/>
  <c r="M14" i="58"/>
  <c r="N14" i="58"/>
  <c r="K15" i="58"/>
  <c r="M11" i="64" s="1"/>
  <c r="L15" i="58"/>
  <c r="M15" i="58"/>
  <c r="N15" i="58"/>
  <c r="K16" i="58"/>
  <c r="M12" i="64" s="1"/>
  <c r="L16" i="58"/>
  <c r="M16" i="58"/>
  <c r="N16" i="58"/>
  <c r="K17" i="58"/>
  <c r="M13" i="64" s="1"/>
  <c r="L17" i="58"/>
  <c r="M17" i="58"/>
  <c r="N17" i="58"/>
  <c r="K18" i="58"/>
  <c r="L18" i="58"/>
  <c r="M18" i="58"/>
  <c r="N18" i="58"/>
  <c r="K19" i="58"/>
  <c r="L19" i="58"/>
  <c r="M19" i="58"/>
  <c r="N19" i="58"/>
  <c r="K20" i="58"/>
  <c r="L20" i="58"/>
  <c r="M20" i="58"/>
  <c r="N20" i="58"/>
  <c r="K21" i="58"/>
  <c r="L21" i="58"/>
  <c r="M21" i="58"/>
  <c r="N21" i="58"/>
  <c r="K22" i="58"/>
  <c r="L22" i="58"/>
  <c r="M22" i="58"/>
  <c r="N22" i="58"/>
  <c r="K23" i="58"/>
  <c r="L23" i="58"/>
  <c r="M23" i="58"/>
  <c r="N23" i="58"/>
  <c r="K24" i="58"/>
  <c r="M20" i="64" s="1"/>
  <c r="L24" i="58"/>
  <c r="M24" i="58"/>
  <c r="N24" i="58"/>
  <c r="K25" i="58"/>
  <c r="M21" i="64" s="1"/>
  <c r="L25" i="58"/>
  <c r="M25" i="58"/>
  <c r="N25" i="58"/>
  <c r="K26" i="58"/>
  <c r="M22" i="64" s="1"/>
  <c r="L26" i="58"/>
  <c r="M26" i="58"/>
  <c r="N26" i="58"/>
  <c r="K27" i="58"/>
  <c r="M23" i="64" s="1"/>
  <c r="L27" i="58"/>
  <c r="M27" i="58"/>
  <c r="N27" i="58"/>
  <c r="K28" i="58"/>
  <c r="M24" i="64" s="1"/>
  <c r="L28" i="58"/>
  <c r="M28" i="58"/>
  <c r="N28" i="58"/>
  <c r="K29" i="58"/>
  <c r="M25" i="64" s="1"/>
  <c r="L29" i="58"/>
  <c r="M29" i="58"/>
  <c r="N29" i="58"/>
  <c r="K30" i="58"/>
  <c r="L30" i="58"/>
  <c r="M30" i="58"/>
  <c r="N30" i="58"/>
  <c r="K31" i="58"/>
  <c r="L31" i="58"/>
  <c r="M31" i="58"/>
  <c r="N31" i="58"/>
  <c r="K32" i="58"/>
  <c r="L32" i="58"/>
  <c r="M32" i="58"/>
  <c r="N32" i="58"/>
  <c r="K33" i="58"/>
  <c r="L33" i="58"/>
  <c r="M33" i="58"/>
  <c r="N33" i="58"/>
  <c r="L13" i="58"/>
  <c r="M13" i="58"/>
  <c r="N13" i="58"/>
  <c r="K13" i="58"/>
  <c r="M9" i="64" s="1"/>
  <c r="D33" i="58"/>
  <c r="E33" i="58"/>
  <c r="F33" i="58"/>
  <c r="G33" i="58"/>
  <c r="H33" i="58"/>
  <c r="I33" i="58"/>
  <c r="J33" i="58"/>
  <c r="D30" i="58"/>
  <c r="E30" i="58"/>
  <c r="F30" i="58"/>
  <c r="G30" i="58"/>
  <c r="H30" i="58"/>
  <c r="I30" i="58"/>
  <c r="J30" i="58"/>
  <c r="D31" i="58"/>
  <c r="E31" i="58"/>
  <c r="F31" i="58"/>
  <c r="G31" i="58"/>
  <c r="H31" i="58"/>
  <c r="I31" i="58"/>
  <c r="J31" i="58"/>
  <c r="D32" i="58"/>
  <c r="E32" i="58"/>
  <c r="F32" i="58"/>
  <c r="G32" i="58"/>
  <c r="H32" i="58"/>
  <c r="I32" i="58"/>
  <c r="J32" i="58"/>
  <c r="D27" i="58"/>
  <c r="H23" i="64" s="1"/>
  <c r="E27" i="58"/>
  <c r="F27" i="58"/>
  <c r="J23" i="64" s="1"/>
  <c r="BL23" i="64" s="1"/>
  <c r="BM23" i="64" s="1"/>
  <c r="G27" i="58"/>
  <c r="H27" i="58"/>
  <c r="I27" i="58"/>
  <c r="J27" i="58"/>
  <c r="D28" i="58"/>
  <c r="H24" i="64" s="1"/>
  <c r="E28" i="58"/>
  <c r="F28" i="58"/>
  <c r="J24" i="64" s="1"/>
  <c r="BL24" i="64" s="1"/>
  <c r="BM24" i="64" s="1"/>
  <c r="G28" i="58"/>
  <c r="H28" i="58"/>
  <c r="I28" i="58"/>
  <c r="J28" i="58"/>
  <c r="D29" i="58"/>
  <c r="H25" i="64" s="1"/>
  <c r="E29" i="58"/>
  <c r="F29" i="58"/>
  <c r="J25" i="64" s="1"/>
  <c r="BL25" i="64" s="1"/>
  <c r="BM25" i="64" s="1"/>
  <c r="G29" i="58"/>
  <c r="H29" i="58"/>
  <c r="I29" i="58"/>
  <c r="J29" i="58"/>
  <c r="D25" i="58"/>
  <c r="H21" i="64" s="1"/>
  <c r="E25" i="58"/>
  <c r="F25" i="58"/>
  <c r="J21" i="64" s="1"/>
  <c r="BL21" i="64" s="1"/>
  <c r="BM21" i="64" s="1"/>
  <c r="G25" i="58"/>
  <c r="H25" i="58"/>
  <c r="I25" i="58"/>
  <c r="J25" i="58"/>
  <c r="D26" i="58"/>
  <c r="H22" i="64" s="1"/>
  <c r="E26" i="58"/>
  <c r="F26" i="58"/>
  <c r="J22" i="64" s="1"/>
  <c r="BL22" i="64" s="1"/>
  <c r="BM22" i="64" s="1"/>
  <c r="G26" i="58"/>
  <c r="H26" i="58"/>
  <c r="I26" i="58"/>
  <c r="J26" i="58"/>
  <c r="D24" i="58"/>
  <c r="H20" i="64" s="1"/>
  <c r="E24" i="58"/>
  <c r="F24" i="58"/>
  <c r="J20" i="64" s="1"/>
  <c r="BL20" i="64" s="1"/>
  <c r="BM20" i="64" s="1"/>
  <c r="G24" i="58"/>
  <c r="H24" i="58"/>
  <c r="I24" i="58"/>
  <c r="J24" i="58"/>
  <c r="D21" i="58"/>
  <c r="E21" i="58"/>
  <c r="F21" i="58"/>
  <c r="G21" i="58"/>
  <c r="H21" i="58"/>
  <c r="I21" i="58"/>
  <c r="J21" i="58"/>
  <c r="D22" i="58"/>
  <c r="E22" i="58"/>
  <c r="F22" i="58"/>
  <c r="G22" i="58"/>
  <c r="H22" i="58"/>
  <c r="I22" i="58"/>
  <c r="J22" i="58"/>
  <c r="D23" i="58"/>
  <c r="E23" i="58"/>
  <c r="F23" i="58"/>
  <c r="G23" i="58"/>
  <c r="H23" i="58"/>
  <c r="I23" i="58"/>
  <c r="J23" i="58"/>
  <c r="D20" i="58"/>
  <c r="E20" i="58"/>
  <c r="F20" i="58"/>
  <c r="G20" i="58"/>
  <c r="H20" i="58"/>
  <c r="I20" i="58"/>
  <c r="J20" i="58"/>
  <c r="D18" i="58"/>
  <c r="E18" i="58"/>
  <c r="F18" i="58"/>
  <c r="G18" i="58"/>
  <c r="H18" i="58"/>
  <c r="I18" i="58"/>
  <c r="J18" i="58"/>
  <c r="D19" i="58"/>
  <c r="E19" i="58"/>
  <c r="F19" i="58"/>
  <c r="G19" i="58"/>
  <c r="H19" i="58"/>
  <c r="I19" i="58"/>
  <c r="J19" i="58"/>
  <c r="J17" i="58"/>
  <c r="I17" i="58"/>
  <c r="H17" i="58"/>
  <c r="G17" i="58"/>
  <c r="F17" i="58"/>
  <c r="J13" i="64" s="1"/>
  <c r="BL13" i="64" s="1"/>
  <c r="BM13" i="64" s="1"/>
  <c r="E17" i="58"/>
  <c r="D17" i="58"/>
  <c r="H13" i="64" s="1"/>
  <c r="J16" i="58"/>
  <c r="I16" i="58"/>
  <c r="H16" i="58"/>
  <c r="G16" i="58"/>
  <c r="F16" i="58"/>
  <c r="J12" i="64" s="1"/>
  <c r="BL12" i="64" s="1"/>
  <c r="BM12" i="64" s="1"/>
  <c r="E16" i="58"/>
  <c r="D16" i="58"/>
  <c r="H12" i="64" s="1"/>
  <c r="D14" i="58"/>
  <c r="H10" i="64" s="1"/>
  <c r="E14" i="58"/>
  <c r="F14" i="58"/>
  <c r="J10" i="64" s="1"/>
  <c r="BL10" i="64" s="1"/>
  <c r="BM10" i="64" s="1"/>
  <c r="G14" i="58"/>
  <c r="H14" i="58"/>
  <c r="I14" i="58"/>
  <c r="J14" i="58"/>
  <c r="D15" i="58"/>
  <c r="H11" i="64" s="1"/>
  <c r="E15" i="58"/>
  <c r="F15" i="58"/>
  <c r="J11" i="64" s="1"/>
  <c r="BL11" i="64" s="1"/>
  <c r="BM11" i="64" s="1"/>
  <c r="G15" i="58"/>
  <c r="H15" i="58"/>
  <c r="I15" i="58"/>
  <c r="J15" i="58"/>
  <c r="J13" i="58"/>
  <c r="I13" i="58"/>
  <c r="H13" i="58"/>
  <c r="G13" i="58"/>
  <c r="F13" i="58"/>
  <c r="J9" i="64" s="1"/>
  <c r="BL9" i="64" s="1"/>
  <c r="E13" i="58"/>
  <c r="D13" i="58"/>
  <c r="H9" i="64" s="1"/>
  <c r="Z82" i="64" l="1"/>
  <c r="J138" i="60"/>
  <c r="Z83" i="64"/>
  <c r="J139" i="60"/>
  <c r="Z81" i="64"/>
  <c r="G42" i="69" s="1"/>
  <c r="J137" i="60"/>
  <c r="BN20" i="64"/>
  <c r="BM9" i="64"/>
  <c r="BN9" i="64" s="1"/>
  <c r="AA85" i="58"/>
  <c r="G121" i="59"/>
  <c r="F121" i="59"/>
  <c r="E121" i="59"/>
  <c r="R73" i="59"/>
  <c r="R72" i="59"/>
  <c r="R71" i="59"/>
  <c r="N73" i="59"/>
  <c r="N72" i="59"/>
  <c r="N71" i="59"/>
  <c r="L73" i="59"/>
  <c r="L72" i="59"/>
  <c r="L71" i="59"/>
  <c r="J73" i="59"/>
  <c r="J72" i="59"/>
  <c r="J71" i="59"/>
  <c r="C137" i="60"/>
  <c r="C138" i="60"/>
  <c r="C139" i="60"/>
  <c r="D138" i="60"/>
  <c r="D137" i="60"/>
  <c r="D139" i="60"/>
  <c r="AA82" i="64" l="1"/>
  <c r="M138" i="60"/>
  <c r="AA83" i="64"/>
  <c r="M139" i="60"/>
  <c r="M137" i="60"/>
  <c r="AA81" i="64"/>
  <c r="H42" i="69" s="1"/>
  <c r="I12" i="69"/>
  <c r="D12" i="67"/>
  <c r="D43" i="67" s="1"/>
  <c r="I10" i="69"/>
  <c r="BO9" i="64"/>
  <c r="D11" i="67"/>
  <c r="BA17" i="50"/>
  <c r="AE85" i="58" s="1"/>
  <c r="AX19" i="50"/>
  <c r="AV19" i="50"/>
  <c r="AW19" i="50" s="1"/>
  <c r="AT19" i="50"/>
  <c r="AL19" i="50"/>
  <c r="AV18" i="50"/>
  <c r="AT18" i="50"/>
  <c r="AL18" i="50"/>
  <c r="AT17" i="50"/>
  <c r="AL17" i="50"/>
  <c r="H18" i="50"/>
  <c r="I18" i="50"/>
  <c r="H19" i="50"/>
  <c r="I19" i="50"/>
  <c r="I17" i="50"/>
  <c r="H17" i="50"/>
  <c r="G18" i="50"/>
  <c r="Q72" i="59" s="1"/>
  <c r="E138" i="60" s="1"/>
  <c r="G19" i="50"/>
  <c r="Q73" i="59" s="1"/>
  <c r="E139" i="60" s="1"/>
  <c r="G17" i="50"/>
  <c r="Q71" i="59" s="1"/>
  <c r="E137" i="60" s="1"/>
  <c r="F18" i="50"/>
  <c r="P72" i="59" s="1"/>
  <c r="F19" i="50"/>
  <c r="P73" i="59" s="1"/>
  <c r="F17" i="50"/>
  <c r="P71" i="59" s="1"/>
  <c r="E17" i="50"/>
  <c r="D17" i="50"/>
  <c r="E16" i="50"/>
  <c r="O87" i="38"/>
  <c r="O86" i="38"/>
  <c r="O85" i="38"/>
  <c r="D42" i="67" l="1"/>
  <c r="C11" i="70"/>
  <c r="E11" i="67"/>
  <c r="J10" i="69"/>
  <c r="BC18" i="50"/>
  <c r="BE19" i="50"/>
  <c r="AH87" i="58" s="1"/>
  <c r="BF19" i="50"/>
  <c r="AW18" i="50"/>
  <c r="BB17" i="50"/>
  <c r="AX18" i="50"/>
  <c r="BF18" i="50" s="1"/>
  <c r="BA19" i="50"/>
  <c r="AE87" i="58" s="1"/>
  <c r="BB19" i="50"/>
  <c r="AH85" i="58"/>
  <c r="BC17" i="50"/>
  <c r="B5" i="62"/>
  <c r="F39" i="62"/>
  <c r="G126" i="59"/>
  <c r="G125" i="59"/>
  <c r="G124" i="59"/>
  <c r="G123" i="59"/>
  <c r="G122" i="59"/>
  <c r="G120" i="59"/>
  <c r="G119" i="59"/>
  <c r="G118" i="59"/>
  <c r="G117" i="59"/>
  <c r="G116" i="59"/>
  <c r="G115" i="59"/>
  <c r="G114" i="59"/>
  <c r="G113" i="59"/>
  <c r="G112" i="59"/>
  <c r="F126" i="59"/>
  <c r="F125" i="59"/>
  <c r="F124" i="59"/>
  <c r="F123" i="59"/>
  <c r="F122" i="59"/>
  <c r="F120" i="59"/>
  <c r="F119" i="59"/>
  <c r="F118" i="59"/>
  <c r="F117" i="59"/>
  <c r="F116" i="59"/>
  <c r="F115" i="59"/>
  <c r="F114" i="59"/>
  <c r="F113" i="59"/>
  <c r="F112" i="59"/>
  <c r="E126" i="59"/>
  <c r="E125" i="59"/>
  <c r="E124" i="59"/>
  <c r="E123" i="59"/>
  <c r="E122" i="59"/>
  <c r="E120" i="59"/>
  <c r="E119" i="59"/>
  <c r="E118" i="59"/>
  <c r="E117" i="59"/>
  <c r="E116" i="59"/>
  <c r="E115" i="59"/>
  <c r="E114" i="59"/>
  <c r="E113" i="59"/>
  <c r="E112" i="59"/>
  <c r="G111" i="59"/>
  <c r="F111" i="59"/>
  <c r="E111" i="59"/>
  <c r="D66" i="67" l="1"/>
  <c r="BE18" i="50"/>
  <c r="AH86" i="58" s="1"/>
  <c r="BA18" i="50"/>
  <c r="BB18" i="50"/>
  <c r="AE86" i="58"/>
  <c r="B37" i="62"/>
  <c r="B5" i="63"/>
  <c r="G127" i="59"/>
  <c r="F127" i="59"/>
  <c r="E127" i="59"/>
  <c r="U172" i="60" l="1"/>
  <c r="U173" i="60"/>
  <c r="U174" i="60"/>
  <c r="N173" i="60"/>
  <c r="O173" i="60"/>
  <c r="N174" i="60"/>
  <c r="O174" i="60"/>
  <c r="O172" i="60"/>
  <c r="N172" i="60"/>
  <c r="C173" i="60"/>
  <c r="C174" i="60"/>
  <c r="C172" i="60"/>
  <c r="U164" i="60"/>
  <c r="U165" i="60"/>
  <c r="U166" i="60"/>
  <c r="N165" i="60"/>
  <c r="O165" i="60"/>
  <c r="N166" i="60"/>
  <c r="O166" i="60"/>
  <c r="O164" i="60"/>
  <c r="N164" i="60"/>
  <c r="C165" i="60"/>
  <c r="C166" i="60"/>
  <c r="C164" i="60"/>
  <c r="U154" i="60"/>
  <c r="U155" i="60"/>
  <c r="U156" i="60"/>
  <c r="U157" i="60"/>
  <c r="U158" i="60"/>
  <c r="N155" i="60"/>
  <c r="O155" i="60"/>
  <c r="N156" i="60"/>
  <c r="O156" i="60"/>
  <c r="N157" i="60"/>
  <c r="O157" i="60"/>
  <c r="N158" i="60"/>
  <c r="O158" i="60"/>
  <c r="O154" i="60"/>
  <c r="N154" i="60"/>
  <c r="C155" i="60"/>
  <c r="C156" i="60"/>
  <c r="C157" i="60"/>
  <c r="C158" i="60"/>
  <c r="C154" i="60"/>
  <c r="U145" i="60"/>
  <c r="U146" i="60"/>
  <c r="U147" i="60"/>
  <c r="U148" i="60"/>
  <c r="N146" i="60"/>
  <c r="O146" i="60"/>
  <c r="N147" i="60"/>
  <c r="O147" i="60"/>
  <c r="N148" i="60"/>
  <c r="O148" i="60"/>
  <c r="O145" i="60"/>
  <c r="N145" i="60"/>
  <c r="C146" i="60"/>
  <c r="C147" i="60"/>
  <c r="C148" i="60"/>
  <c r="C145" i="60"/>
  <c r="U136" i="60"/>
  <c r="O136" i="60"/>
  <c r="N136" i="60"/>
  <c r="C136" i="60"/>
  <c r="U128" i="60"/>
  <c r="U129" i="60"/>
  <c r="U130" i="60"/>
  <c r="N129" i="60"/>
  <c r="O129" i="60"/>
  <c r="N130" i="60"/>
  <c r="O130" i="60"/>
  <c r="O128" i="60"/>
  <c r="N128" i="60"/>
  <c r="C129" i="60"/>
  <c r="C130" i="60"/>
  <c r="C128" i="60"/>
  <c r="U121" i="60"/>
  <c r="U122" i="60"/>
  <c r="N122" i="60"/>
  <c r="O122" i="60"/>
  <c r="O121" i="60"/>
  <c r="N121" i="60"/>
  <c r="C122" i="60"/>
  <c r="C121" i="60"/>
  <c r="U108" i="60"/>
  <c r="U109" i="60"/>
  <c r="U110" i="60"/>
  <c r="U111" i="60"/>
  <c r="U112" i="60"/>
  <c r="U113" i="60"/>
  <c r="U114" i="60"/>
  <c r="U115" i="60"/>
  <c r="N109" i="60"/>
  <c r="O109" i="60"/>
  <c r="N110" i="60"/>
  <c r="O110" i="60"/>
  <c r="N111" i="60"/>
  <c r="O111" i="60"/>
  <c r="N112" i="60"/>
  <c r="O112" i="60"/>
  <c r="N113" i="60"/>
  <c r="O113" i="60"/>
  <c r="N114" i="60"/>
  <c r="O114" i="60"/>
  <c r="N115" i="60"/>
  <c r="O115" i="60"/>
  <c r="O108" i="60"/>
  <c r="N108" i="60"/>
  <c r="C109" i="60"/>
  <c r="C110" i="60"/>
  <c r="C111" i="60"/>
  <c r="C112" i="60"/>
  <c r="C113" i="60"/>
  <c r="C114" i="60"/>
  <c r="C115" i="60"/>
  <c r="C108" i="60"/>
  <c r="U95" i="60"/>
  <c r="U96" i="60"/>
  <c r="U97" i="60"/>
  <c r="U98" i="60"/>
  <c r="U99" i="60"/>
  <c r="U100" i="60"/>
  <c r="U101" i="60"/>
  <c r="U102" i="60"/>
  <c r="N101" i="60"/>
  <c r="O101" i="60"/>
  <c r="N102" i="60"/>
  <c r="O102" i="60"/>
  <c r="N96" i="60"/>
  <c r="O96" i="60"/>
  <c r="N97" i="60"/>
  <c r="O97" i="60"/>
  <c r="N98" i="60"/>
  <c r="O98" i="60"/>
  <c r="N99" i="60"/>
  <c r="O99" i="60"/>
  <c r="N100" i="60"/>
  <c r="O100" i="60"/>
  <c r="O95" i="60"/>
  <c r="N95" i="60"/>
  <c r="C96" i="60"/>
  <c r="C97" i="60"/>
  <c r="C98" i="60"/>
  <c r="C99" i="60"/>
  <c r="C100" i="60"/>
  <c r="C101" i="60"/>
  <c r="C102" i="60"/>
  <c r="C95" i="60"/>
  <c r="U83" i="60"/>
  <c r="U84" i="60"/>
  <c r="U85" i="60"/>
  <c r="U86" i="60"/>
  <c r="U87" i="60"/>
  <c r="U88" i="60"/>
  <c r="U89" i="60"/>
  <c r="O84" i="60"/>
  <c r="O85" i="60"/>
  <c r="O86" i="60"/>
  <c r="O87" i="60"/>
  <c r="O88" i="60"/>
  <c r="O89" i="60"/>
  <c r="N84" i="60"/>
  <c r="N85" i="60"/>
  <c r="N86" i="60"/>
  <c r="N87" i="60"/>
  <c r="N88" i="60"/>
  <c r="N89" i="60"/>
  <c r="O83" i="60"/>
  <c r="N83" i="60"/>
  <c r="C84" i="60"/>
  <c r="C85" i="60"/>
  <c r="C86" i="60"/>
  <c r="C87" i="60"/>
  <c r="C88" i="60"/>
  <c r="C89" i="60"/>
  <c r="C83" i="60"/>
  <c r="U57" i="60"/>
  <c r="U58" i="60"/>
  <c r="U59" i="60"/>
  <c r="U60" i="60"/>
  <c r="U61" i="60"/>
  <c r="U62" i="60"/>
  <c r="U63" i="60"/>
  <c r="U64" i="60"/>
  <c r="U65" i="60"/>
  <c r="U66" i="60"/>
  <c r="U67" i="60"/>
  <c r="U68" i="60"/>
  <c r="U69" i="60"/>
  <c r="U70" i="60"/>
  <c r="U71" i="60"/>
  <c r="U72" i="60"/>
  <c r="U73" i="60"/>
  <c r="U74" i="60"/>
  <c r="U75" i="60"/>
  <c r="U76" i="60"/>
  <c r="U77" i="60"/>
  <c r="N58" i="60"/>
  <c r="O58" i="60"/>
  <c r="N59" i="60"/>
  <c r="O59" i="60"/>
  <c r="N60" i="60"/>
  <c r="O60" i="60"/>
  <c r="N61" i="60"/>
  <c r="O61" i="60"/>
  <c r="N62" i="60"/>
  <c r="O62" i="60"/>
  <c r="N63" i="60"/>
  <c r="O63" i="60"/>
  <c r="N64" i="60"/>
  <c r="O64" i="60"/>
  <c r="N65" i="60"/>
  <c r="O65" i="60"/>
  <c r="N66" i="60"/>
  <c r="O66" i="60"/>
  <c r="N67" i="60"/>
  <c r="O67" i="60"/>
  <c r="N68" i="60"/>
  <c r="O68" i="60"/>
  <c r="N69" i="60"/>
  <c r="O69" i="60"/>
  <c r="N70" i="60"/>
  <c r="O70" i="60"/>
  <c r="N71" i="60"/>
  <c r="O71" i="60"/>
  <c r="N72" i="60"/>
  <c r="O72" i="60"/>
  <c r="N73" i="60"/>
  <c r="O73" i="60"/>
  <c r="N74" i="60"/>
  <c r="O74" i="60"/>
  <c r="N75" i="60"/>
  <c r="O75" i="60"/>
  <c r="N76" i="60"/>
  <c r="O76" i="60"/>
  <c r="N77" i="60"/>
  <c r="O77" i="60"/>
  <c r="O57" i="60"/>
  <c r="N57" i="60"/>
  <c r="C74" i="60"/>
  <c r="C75" i="60"/>
  <c r="C76" i="60"/>
  <c r="C77" i="60"/>
  <c r="C58" i="60"/>
  <c r="C59" i="60"/>
  <c r="C60" i="60"/>
  <c r="C61" i="60"/>
  <c r="C62" i="60"/>
  <c r="C63" i="60"/>
  <c r="C64" i="60"/>
  <c r="C65" i="60"/>
  <c r="C66" i="60"/>
  <c r="C67" i="60"/>
  <c r="C68" i="60"/>
  <c r="C69" i="60"/>
  <c r="C70" i="60"/>
  <c r="C71" i="60"/>
  <c r="C72" i="60"/>
  <c r="C73" i="60"/>
  <c r="C57" i="60"/>
  <c r="U49" i="60"/>
  <c r="U50" i="60"/>
  <c r="U51" i="60"/>
  <c r="N50" i="60"/>
  <c r="O50" i="60"/>
  <c r="N51" i="60"/>
  <c r="O51" i="60"/>
  <c r="O49" i="60"/>
  <c r="N49" i="60"/>
  <c r="C50" i="60"/>
  <c r="C51" i="60"/>
  <c r="C49" i="60"/>
  <c r="U42" i="60"/>
  <c r="U43" i="60"/>
  <c r="O43" i="60"/>
  <c r="N43" i="60"/>
  <c r="O42" i="60"/>
  <c r="N42" i="60"/>
  <c r="C43" i="60"/>
  <c r="C42" i="60"/>
  <c r="N31" i="60"/>
  <c r="O31" i="60"/>
  <c r="U31" i="60"/>
  <c r="N32" i="60"/>
  <c r="O32" i="60"/>
  <c r="U32" i="60"/>
  <c r="N33" i="60"/>
  <c r="O33" i="60"/>
  <c r="U33" i="60"/>
  <c r="N34" i="60"/>
  <c r="O34" i="60"/>
  <c r="U34" i="60"/>
  <c r="N35" i="60"/>
  <c r="O35" i="60"/>
  <c r="U35" i="60"/>
  <c r="N36" i="60"/>
  <c r="O36" i="60"/>
  <c r="U36" i="60"/>
  <c r="U30" i="60"/>
  <c r="O30" i="60"/>
  <c r="N30" i="60"/>
  <c r="O22" i="60"/>
  <c r="U22" i="60"/>
  <c r="O23" i="60"/>
  <c r="U23" i="60"/>
  <c r="O24" i="60"/>
  <c r="U24" i="60"/>
  <c r="N23" i="60"/>
  <c r="N24" i="60"/>
  <c r="N22" i="60"/>
  <c r="C36" i="60"/>
  <c r="C34" i="60"/>
  <c r="C35" i="60"/>
  <c r="C31" i="60"/>
  <c r="C32" i="60"/>
  <c r="C33" i="60"/>
  <c r="C30" i="60"/>
  <c r="C23" i="60"/>
  <c r="C24" i="60"/>
  <c r="C22" i="60"/>
  <c r="E171" i="60"/>
  <c r="E163" i="60"/>
  <c r="E153" i="60"/>
  <c r="E144" i="60"/>
  <c r="E135" i="60"/>
  <c r="E127" i="60"/>
  <c r="E120" i="60"/>
  <c r="E107" i="60"/>
  <c r="E82" i="60"/>
  <c r="E48" i="60"/>
  <c r="E56" i="60"/>
  <c r="E41" i="60"/>
  <c r="E29" i="60"/>
  <c r="E21" i="60"/>
  <c r="O14" i="60"/>
  <c r="U14" i="60"/>
  <c r="O15" i="60"/>
  <c r="U15" i="60"/>
  <c r="O16" i="60"/>
  <c r="U16" i="60"/>
  <c r="U13" i="60"/>
  <c r="O13" i="60"/>
  <c r="N14" i="60"/>
  <c r="N15" i="60"/>
  <c r="N16" i="60"/>
  <c r="N13" i="60"/>
  <c r="C170" i="60"/>
  <c r="C162" i="60"/>
  <c r="C152" i="60"/>
  <c r="C143" i="60"/>
  <c r="C134" i="60"/>
  <c r="C126" i="60"/>
  <c r="C119" i="60"/>
  <c r="C106" i="60"/>
  <c r="C93" i="60"/>
  <c r="C81" i="60"/>
  <c r="C55" i="60"/>
  <c r="C47" i="60"/>
  <c r="C40" i="60"/>
  <c r="C20" i="60"/>
  <c r="C28" i="60"/>
  <c r="C14" i="60"/>
  <c r="C15" i="60"/>
  <c r="C16" i="60"/>
  <c r="C13" i="60"/>
  <c r="K171" i="60"/>
  <c r="G171" i="60"/>
  <c r="F171" i="60"/>
  <c r="I170" i="60"/>
  <c r="K163" i="60"/>
  <c r="G163" i="60"/>
  <c r="F163" i="60"/>
  <c r="I162" i="60"/>
  <c r="K153" i="60"/>
  <c r="G153" i="60"/>
  <c r="F153" i="60"/>
  <c r="I152" i="60"/>
  <c r="K144" i="60"/>
  <c r="G144" i="60"/>
  <c r="F144" i="60"/>
  <c r="I143" i="60"/>
  <c r="K135" i="60"/>
  <c r="G135" i="60"/>
  <c r="F135" i="60"/>
  <c r="I134" i="60"/>
  <c r="K127" i="60"/>
  <c r="G127" i="60"/>
  <c r="F127" i="60"/>
  <c r="I126" i="60"/>
  <c r="K120" i="60"/>
  <c r="G120" i="60"/>
  <c r="F120" i="60"/>
  <c r="I119" i="60"/>
  <c r="K107" i="60"/>
  <c r="G107" i="60"/>
  <c r="F107" i="60"/>
  <c r="I106" i="60"/>
  <c r="K94" i="60"/>
  <c r="G94" i="60"/>
  <c r="F94" i="60"/>
  <c r="I93" i="60"/>
  <c r="K82" i="60"/>
  <c r="G82" i="60"/>
  <c r="F82" i="60"/>
  <c r="I81" i="60"/>
  <c r="K56" i="60"/>
  <c r="G56" i="60"/>
  <c r="F56" i="60"/>
  <c r="I55" i="60"/>
  <c r="K48" i="60"/>
  <c r="G48" i="60"/>
  <c r="F48" i="60"/>
  <c r="I47" i="60"/>
  <c r="K41" i="60"/>
  <c r="G41" i="60"/>
  <c r="F41" i="60"/>
  <c r="I40" i="60"/>
  <c r="K29" i="60"/>
  <c r="G29" i="60"/>
  <c r="F29" i="60"/>
  <c r="I28" i="60"/>
  <c r="K21" i="60"/>
  <c r="G21" i="60"/>
  <c r="F21" i="60"/>
  <c r="I20" i="60"/>
  <c r="B13" i="60"/>
  <c r="L12" i="60"/>
  <c r="K12" i="60"/>
  <c r="D39" i="62" s="1"/>
  <c r="G12" i="60"/>
  <c r="F12" i="60"/>
  <c r="I11" i="60"/>
  <c r="L135" i="60" l="1"/>
  <c r="E39" i="62"/>
  <c r="B14" i="60"/>
  <c r="B15" i="60" s="1"/>
  <c r="B16" i="60" s="1"/>
  <c r="L48" i="60"/>
  <c r="L144" i="60"/>
  <c r="L56" i="60"/>
  <c r="L153" i="60"/>
  <c r="L82" i="60"/>
  <c r="L163" i="60"/>
  <c r="L94" i="60"/>
  <c r="L171" i="60"/>
  <c r="L107" i="60"/>
  <c r="L21" i="60"/>
  <c r="L120" i="60"/>
  <c r="L29" i="60"/>
  <c r="L127" i="60"/>
  <c r="L41" i="60"/>
  <c r="B22" i="60" l="1"/>
  <c r="B23" i="60" s="1"/>
  <c r="B24" i="60" s="1"/>
  <c r="B30" i="60" s="1"/>
  <c r="B31" i="60" l="1"/>
  <c r="B32" i="60" s="1"/>
  <c r="B33" i="60" s="1"/>
  <c r="B34" i="60" s="1"/>
  <c r="B35" i="60" l="1"/>
  <c r="B36" i="60" l="1"/>
  <c r="B42" i="60" s="1"/>
  <c r="B43" i="60" l="1"/>
  <c r="B49" i="60" s="1"/>
  <c r="B50" i="60" s="1"/>
  <c r="B51" i="60" s="1"/>
  <c r="B57" i="60" s="1"/>
  <c r="B58" i="60" l="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l="1"/>
  <c r="B85" i="60" s="1"/>
  <c r="B86" i="60" s="1"/>
  <c r="B87" i="60" s="1"/>
  <c r="B88" i="60" s="1"/>
  <c r="B89" i="60" l="1"/>
  <c r="B95" i="60" s="1"/>
  <c r="B96" i="60" s="1"/>
  <c r="B97" i="60" s="1"/>
  <c r="B98" i="60" s="1"/>
  <c r="B99" i="60" s="1"/>
  <c r="B100" i="60" s="1"/>
  <c r="B101" i="60" l="1"/>
  <c r="B102" i="60" s="1"/>
  <c r="B108" i="60" s="1"/>
  <c r="B109" i="60" l="1"/>
  <c r="B110" i="60" s="1"/>
  <c r="B111" i="60" s="1"/>
  <c r="B112" i="60" s="1"/>
  <c r="B113" i="60" s="1"/>
  <c r="B114" i="60" s="1"/>
  <c r="B115" i="60" s="1"/>
  <c r="B121" i="60" s="1"/>
  <c r="B122" i="60" l="1"/>
  <c r="B128" i="60" s="1"/>
  <c r="B129" i="60" l="1"/>
  <c r="B130" i="60" s="1"/>
  <c r="B136" i="60" s="1"/>
  <c r="B137" i="60" s="1"/>
  <c r="B138" i="60" s="1"/>
  <c r="B139" i="60" s="1"/>
  <c r="B145" i="60" s="1"/>
  <c r="B146" i="60" l="1"/>
  <c r="Q90" i="59"/>
  <c r="E173" i="60" s="1"/>
  <c r="Q91" i="59"/>
  <c r="E174" i="60" s="1"/>
  <c r="Q89" i="59"/>
  <c r="E172" i="60" s="1"/>
  <c r="F90" i="59"/>
  <c r="F91" i="59"/>
  <c r="F89" i="59"/>
  <c r="F87" i="59"/>
  <c r="F88" i="59"/>
  <c r="F86" i="59"/>
  <c r="F83" i="59"/>
  <c r="F84" i="59"/>
  <c r="F85" i="59"/>
  <c r="B148" i="60" l="1"/>
  <c r="B154" i="60" s="1"/>
  <c r="B147" i="60"/>
  <c r="F79" i="59"/>
  <c r="F80" i="59"/>
  <c r="F81" i="59"/>
  <c r="F82" i="59"/>
  <c r="F78" i="59"/>
  <c r="B155" i="60" l="1"/>
  <c r="B156" i="60" s="1"/>
  <c r="B157" i="60" s="1"/>
  <c r="B158" i="60" s="1"/>
  <c r="B164" i="60" s="1"/>
  <c r="F75" i="59"/>
  <c r="F76" i="59"/>
  <c r="F77" i="59"/>
  <c r="F74" i="59"/>
  <c r="B165" i="60" l="1"/>
  <c r="B166" i="60" s="1"/>
  <c r="B172" i="60" s="1"/>
  <c r="F70" i="59"/>
  <c r="B173" i="60" l="1"/>
  <c r="B174" i="60" s="1"/>
  <c r="F68" i="59"/>
  <c r="F69" i="59"/>
  <c r="F67" i="59"/>
  <c r="F66" i="59" l="1"/>
  <c r="F65" i="59"/>
  <c r="O17" i="56" l="1"/>
  <c r="O16" i="56"/>
  <c r="O20" i="44"/>
  <c r="O21" i="44"/>
  <c r="O22" i="44"/>
  <c r="O17" i="44"/>
  <c r="O18" i="44"/>
  <c r="O19" i="44"/>
  <c r="O16" i="44"/>
  <c r="O17" i="45"/>
  <c r="O18" i="45"/>
  <c r="O16" i="45"/>
  <c r="O20" i="47"/>
  <c r="R61" i="59" s="1"/>
  <c r="O21" i="47"/>
  <c r="R62" i="59" s="1"/>
  <c r="O22" i="47"/>
  <c r="R63" i="59" s="1"/>
  <c r="O23" i="47"/>
  <c r="R64" i="59" s="1"/>
  <c r="O18" i="47"/>
  <c r="R59" i="59" s="1"/>
  <c r="O19" i="47"/>
  <c r="R60" i="59" s="1"/>
  <c r="O17" i="47"/>
  <c r="O16" i="47"/>
  <c r="R57" i="59" s="1"/>
  <c r="R58" i="59"/>
  <c r="F58" i="59"/>
  <c r="F59" i="59"/>
  <c r="F60" i="59"/>
  <c r="F61" i="59"/>
  <c r="F62" i="59"/>
  <c r="F63" i="59"/>
  <c r="F64" i="59"/>
  <c r="F57" i="59"/>
  <c r="F56" i="59" l="1"/>
  <c r="F55" i="59"/>
  <c r="F50" i="59"/>
  <c r="F51" i="59"/>
  <c r="F52" i="59"/>
  <c r="F53" i="59"/>
  <c r="F54" i="59"/>
  <c r="F49" i="59"/>
  <c r="F48" i="59" l="1"/>
  <c r="F43" i="59"/>
  <c r="F44" i="59"/>
  <c r="F45" i="59"/>
  <c r="F46" i="59"/>
  <c r="F47" i="59"/>
  <c r="F42" i="59"/>
  <c r="M22" i="59" l="1"/>
  <c r="S58" i="60" s="1"/>
  <c r="O22" i="42" l="1"/>
  <c r="R48" i="59" s="1"/>
  <c r="O21" i="42"/>
  <c r="R47" i="59" s="1"/>
  <c r="O19" i="42"/>
  <c r="R45" i="59" s="1"/>
  <c r="O20" i="42"/>
  <c r="R46" i="59" s="1"/>
  <c r="O17" i="42"/>
  <c r="R43" i="59" s="1"/>
  <c r="O18" i="42"/>
  <c r="R44" i="59" s="1"/>
  <c r="O16" i="42"/>
  <c r="R42" i="59" s="1"/>
  <c r="O35" i="41"/>
  <c r="O36" i="41"/>
  <c r="O32" i="41"/>
  <c r="O33" i="41"/>
  <c r="O34" i="41"/>
  <c r="O30" i="41"/>
  <c r="O31" i="41"/>
  <c r="O29" i="41"/>
  <c r="O28" i="41"/>
  <c r="O27" i="41"/>
  <c r="O26" i="41"/>
  <c r="O25" i="41"/>
  <c r="O24" i="41"/>
  <c r="O22" i="41"/>
  <c r="O23" i="41"/>
  <c r="O21" i="41"/>
  <c r="O20" i="41"/>
  <c r="O19" i="41"/>
  <c r="O17" i="41"/>
  <c r="O18" i="41"/>
  <c r="O16" i="41"/>
  <c r="R32" i="59" l="1"/>
  <c r="R14" i="59"/>
  <c r="R15" i="59"/>
  <c r="R16" i="59"/>
  <c r="R17" i="59"/>
  <c r="R18" i="59"/>
  <c r="F21" i="59" l="1"/>
  <c r="F22" i="59"/>
  <c r="F23" i="59"/>
  <c r="F24" i="59"/>
  <c r="F25" i="59"/>
  <c r="F26" i="59"/>
  <c r="F27" i="59"/>
  <c r="F28" i="59"/>
  <c r="F29" i="59"/>
  <c r="F30" i="59"/>
  <c r="F31" i="59"/>
  <c r="F32" i="59"/>
  <c r="F33" i="59"/>
  <c r="F34" i="59"/>
  <c r="F35" i="59"/>
  <c r="F36" i="59"/>
  <c r="F37" i="59"/>
  <c r="F38" i="59"/>
  <c r="F39" i="59"/>
  <c r="F40" i="59"/>
  <c r="F41" i="59"/>
  <c r="F19" i="59" l="1"/>
  <c r="F20" i="59"/>
  <c r="F12" i="59" l="1"/>
  <c r="F13" i="59"/>
  <c r="F14" i="59"/>
  <c r="F15" i="59"/>
  <c r="F16" i="59"/>
  <c r="F17" i="59"/>
  <c r="F18" i="59"/>
  <c r="F9" i="59" l="1"/>
  <c r="F10" i="59"/>
  <c r="F11" i="59"/>
  <c r="F6" i="59" l="1"/>
  <c r="F7" i="59"/>
  <c r="F8" i="59"/>
  <c r="F5" i="59"/>
  <c r="N106" i="59" l="1"/>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T174" i="60" s="1"/>
  <c r="M91" i="59"/>
  <c r="S174" i="60" s="1"/>
  <c r="L91" i="59"/>
  <c r="R174" i="60" s="1"/>
  <c r="K91" i="59"/>
  <c r="Q174" i="60" s="1"/>
  <c r="J91" i="59"/>
  <c r="P174" i="60" s="1"/>
  <c r="N90" i="59"/>
  <c r="T173" i="60" s="1"/>
  <c r="M90" i="59"/>
  <c r="S173" i="60" s="1"/>
  <c r="L90" i="59"/>
  <c r="R173" i="60" s="1"/>
  <c r="K90" i="59"/>
  <c r="Q173" i="60" s="1"/>
  <c r="J90" i="59"/>
  <c r="P173" i="60" s="1"/>
  <c r="N89" i="59"/>
  <c r="T172" i="60" s="1"/>
  <c r="M89" i="59"/>
  <c r="S172" i="60" s="1"/>
  <c r="L89" i="59"/>
  <c r="R172" i="60" s="1"/>
  <c r="K89" i="59"/>
  <c r="Q172" i="60" s="1"/>
  <c r="J89" i="59"/>
  <c r="P172" i="60" s="1"/>
  <c r="N88" i="59"/>
  <c r="T166" i="60" s="1"/>
  <c r="M88" i="59"/>
  <c r="S166" i="60" s="1"/>
  <c r="L88" i="59"/>
  <c r="R166" i="60" s="1"/>
  <c r="K88" i="59"/>
  <c r="Q166" i="60" s="1"/>
  <c r="J88" i="59"/>
  <c r="P166" i="60" s="1"/>
  <c r="N87" i="59"/>
  <c r="T165" i="60" s="1"/>
  <c r="M87" i="59"/>
  <c r="S165" i="60" s="1"/>
  <c r="L87" i="59"/>
  <c r="R165" i="60" s="1"/>
  <c r="K87" i="59"/>
  <c r="Q165" i="60" s="1"/>
  <c r="J87" i="59"/>
  <c r="P165" i="60" s="1"/>
  <c r="N86" i="59"/>
  <c r="T164" i="60" s="1"/>
  <c r="M86" i="59"/>
  <c r="S164" i="60" s="1"/>
  <c r="L86" i="59"/>
  <c r="R164" i="60" s="1"/>
  <c r="K86" i="59"/>
  <c r="Q164" i="60" s="1"/>
  <c r="J86" i="59"/>
  <c r="P164" i="60" s="1"/>
  <c r="N85" i="59"/>
  <c r="T51" i="60" s="1"/>
  <c r="M85" i="59"/>
  <c r="S51" i="60" s="1"/>
  <c r="L85" i="59"/>
  <c r="R51" i="60" s="1"/>
  <c r="K85" i="59"/>
  <c r="Q51" i="60" s="1"/>
  <c r="J85" i="59"/>
  <c r="P51" i="60" s="1"/>
  <c r="N84" i="59"/>
  <c r="T50" i="60" s="1"/>
  <c r="M84" i="59"/>
  <c r="S50" i="60" s="1"/>
  <c r="L84" i="59"/>
  <c r="R50" i="60" s="1"/>
  <c r="K84" i="59"/>
  <c r="Q50" i="60" s="1"/>
  <c r="J84" i="59"/>
  <c r="P50" i="60" s="1"/>
  <c r="N83" i="59"/>
  <c r="T49" i="60" s="1"/>
  <c r="M83" i="59"/>
  <c r="S49" i="60" s="1"/>
  <c r="L83" i="59"/>
  <c r="R49" i="60" s="1"/>
  <c r="K83" i="59"/>
  <c r="Q49" i="60" s="1"/>
  <c r="J83" i="59"/>
  <c r="P49" i="60" s="1"/>
  <c r="N82" i="59"/>
  <c r="T158" i="60" s="1"/>
  <c r="M82" i="59"/>
  <c r="S158" i="60" s="1"/>
  <c r="L82" i="59"/>
  <c r="R158" i="60" s="1"/>
  <c r="K82" i="59"/>
  <c r="Q158" i="60" s="1"/>
  <c r="J82" i="59"/>
  <c r="P158" i="60" s="1"/>
  <c r="N81" i="59"/>
  <c r="T157" i="60" s="1"/>
  <c r="M81" i="59"/>
  <c r="S157" i="60" s="1"/>
  <c r="L81" i="59"/>
  <c r="R157" i="60" s="1"/>
  <c r="K81" i="59"/>
  <c r="Q157" i="60" s="1"/>
  <c r="J81" i="59"/>
  <c r="P157" i="60" s="1"/>
  <c r="N80" i="59"/>
  <c r="T156" i="60" s="1"/>
  <c r="M80" i="59"/>
  <c r="S156" i="60" s="1"/>
  <c r="L80" i="59"/>
  <c r="R156" i="60" s="1"/>
  <c r="K80" i="59"/>
  <c r="Q156" i="60" s="1"/>
  <c r="J80" i="59"/>
  <c r="P156" i="60" s="1"/>
  <c r="N79" i="59"/>
  <c r="T155" i="60" s="1"/>
  <c r="M79" i="59"/>
  <c r="S155" i="60" s="1"/>
  <c r="L79" i="59"/>
  <c r="R155" i="60" s="1"/>
  <c r="K79" i="59"/>
  <c r="Q155" i="60" s="1"/>
  <c r="J79" i="59"/>
  <c r="P155" i="60" s="1"/>
  <c r="N78" i="59"/>
  <c r="T154" i="60" s="1"/>
  <c r="M78" i="59"/>
  <c r="S154" i="60" s="1"/>
  <c r="L78" i="59"/>
  <c r="R154" i="60" s="1"/>
  <c r="K78" i="59"/>
  <c r="Q154" i="60" s="1"/>
  <c r="J78" i="59"/>
  <c r="P154" i="60" s="1"/>
  <c r="N77" i="59"/>
  <c r="T148" i="60" s="1"/>
  <c r="M77" i="59"/>
  <c r="S148" i="60" s="1"/>
  <c r="L77" i="59"/>
  <c r="R148" i="60" s="1"/>
  <c r="K77" i="59"/>
  <c r="Q148" i="60" s="1"/>
  <c r="J77" i="59"/>
  <c r="P148" i="60" s="1"/>
  <c r="N76" i="59"/>
  <c r="T147" i="60" s="1"/>
  <c r="M76" i="59"/>
  <c r="S147" i="60" s="1"/>
  <c r="L76" i="59"/>
  <c r="R147" i="60" s="1"/>
  <c r="K76" i="59"/>
  <c r="Q147" i="60" s="1"/>
  <c r="J76" i="59"/>
  <c r="P147" i="60" s="1"/>
  <c r="N75" i="59"/>
  <c r="T146" i="60" s="1"/>
  <c r="M75" i="59"/>
  <c r="S146" i="60" s="1"/>
  <c r="L75" i="59"/>
  <c r="R146" i="60" s="1"/>
  <c r="K75" i="59"/>
  <c r="Q146" i="60" s="1"/>
  <c r="J75" i="59"/>
  <c r="P146" i="60" s="1"/>
  <c r="N74" i="59"/>
  <c r="T145" i="60" s="1"/>
  <c r="M74" i="59"/>
  <c r="S145" i="60" s="1"/>
  <c r="L74" i="59"/>
  <c r="R145" i="60" s="1"/>
  <c r="K74" i="59"/>
  <c r="Q145" i="60" s="1"/>
  <c r="J74" i="59"/>
  <c r="P145" i="60" s="1"/>
  <c r="N70" i="59"/>
  <c r="T136" i="60" s="1"/>
  <c r="M70" i="59"/>
  <c r="S136" i="60" s="1"/>
  <c r="L70" i="59"/>
  <c r="R136" i="60" s="1"/>
  <c r="K70" i="59"/>
  <c r="Q136" i="60" s="1"/>
  <c r="J70" i="59"/>
  <c r="P136" i="60" s="1"/>
  <c r="N69" i="59"/>
  <c r="M69" i="59"/>
  <c r="L69" i="59"/>
  <c r="K69" i="59"/>
  <c r="J69" i="59"/>
  <c r="N68" i="59"/>
  <c r="M68" i="59"/>
  <c r="L68" i="59"/>
  <c r="K68" i="59"/>
  <c r="J68" i="59"/>
  <c r="N67" i="59"/>
  <c r="T128" i="60" s="1"/>
  <c r="M67" i="59"/>
  <c r="S128" i="60" s="1"/>
  <c r="L67" i="59"/>
  <c r="R128" i="60" s="1"/>
  <c r="K67" i="59"/>
  <c r="Q128" i="60" s="1"/>
  <c r="J67" i="59"/>
  <c r="P128" i="60" s="1"/>
  <c r="N66" i="59"/>
  <c r="M66" i="59"/>
  <c r="L66" i="59"/>
  <c r="K66" i="59"/>
  <c r="J66" i="59"/>
  <c r="N65" i="59"/>
  <c r="M65" i="59"/>
  <c r="L65" i="59"/>
  <c r="K65" i="59"/>
  <c r="J65" i="59"/>
  <c r="N64" i="59"/>
  <c r="T115" i="60" s="1"/>
  <c r="M64" i="59"/>
  <c r="S115" i="60" s="1"/>
  <c r="L64" i="59"/>
  <c r="R115" i="60" s="1"/>
  <c r="K64" i="59"/>
  <c r="Q115" i="60" s="1"/>
  <c r="J64" i="59"/>
  <c r="P115" i="60" s="1"/>
  <c r="N63" i="59"/>
  <c r="T114" i="60" s="1"/>
  <c r="M63" i="59"/>
  <c r="S114" i="60" s="1"/>
  <c r="L63" i="59"/>
  <c r="R114" i="60" s="1"/>
  <c r="K63" i="59"/>
  <c r="Q114" i="60" s="1"/>
  <c r="J63" i="59"/>
  <c r="P114" i="60" s="1"/>
  <c r="N62" i="59"/>
  <c r="T113" i="60" s="1"/>
  <c r="M62" i="59"/>
  <c r="S113" i="60" s="1"/>
  <c r="L62" i="59"/>
  <c r="R113" i="60" s="1"/>
  <c r="K62" i="59"/>
  <c r="Q113" i="60" s="1"/>
  <c r="J62" i="59"/>
  <c r="P113" i="60" s="1"/>
  <c r="N61" i="59"/>
  <c r="T112" i="60" s="1"/>
  <c r="M61" i="59"/>
  <c r="S112" i="60" s="1"/>
  <c r="L61" i="59"/>
  <c r="R112" i="60" s="1"/>
  <c r="K61" i="59"/>
  <c r="Q112" i="60" s="1"/>
  <c r="J61" i="59"/>
  <c r="P112" i="60" s="1"/>
  <c r="N60" i="59"/>
  <c r="T111" i="60" s="1"/>
  <c r="M60" i="59"/>
  <c r="S111" i="60" s="1"/>
  <c r="L60" i="59"/>
  <c r="R111" i="60" s="1"/>
  <c r="K60" i="59"/>
  <c r="Q111" i="60" s="1"/>
  <c r="J60" i="59"/>
  <c r="P111" i="60" s="1"/>
  <c r="N59" i="59"/>
  <c r="T110" i="60" s="1"/>
  <c r="M59" i="59"/>
  <c r="S110" i="60" s="1"/>
  <c r="L59" i="59"/>
  <c r="R110" i="60" s="1"/>
  <c r="K59" i="59"/>
  <c r="Q110" i="60" s="1"/>
  <c r="J59" i="59"/>
  <c r="P110" i="60" s="1"/>
  <c r="N58" i="59"/>
  <c r="T109" i="60" s="1"/>
  <c r="M58" i="59"/>
  <c r="S109" i="60" s="1"/>
  <c r="L58" i="59"/>
  <c r="R109" i="60" s="1"/>
  <c r="K58" i="59"/>
  <c r="Q109" i="60" s="1"/>
  <c r="J58" i="59"/>
  <c r="P109" i="60" s="1"/>
  <c r="N57" i="59"/>
  <c r="T108" i="60" s="1"/>
  <c r="M57" i="59"/>
  <c r="S108" i="60" s="1"/>
  <c r="L57" i="59"/>
  <c r="R108" i="60" s="1"/>
  <c r="K57" i="59"/>
  <c r="Q108" i="60" s="1"/>
  <c r="J57" i="59"/>
  <c r="P108" i="60" s="1"/>
  <c r="N56" i="59"/>
  <c r="T102" i="60" s="1"/>
  <c r="M56" i="59"/>
  <c r="S102" i="60" s="1"/>
  <c r="L56" i="59"/>
  <c r="R102" i="60" s="1"/>
  <c r="K56" i="59"/>
  <c r="Q102" i="60" s="1"/>
  <c r="J56" i="59"/>
  <c r="P102" i="60" s="1"/>
  <c r="N55" i="59"/>
  <c r="T101" i="60" s="1"/>
  <c r="M55" i="59"/>
  <c r="S101" i="60" s="1"/>
  <c r="L55" i="59"/>
  <c r="R101" i="60" s="1"/>
  <c r="K55" i="59"/>
  <c r="Q101" i="60" s="1"/>
  <c r="J55" i="59"/>
  <c r="P101" i="60" s="1"/>
  <c r="N54" i="59"/>
  <c r="T100" i="60" s="1"/>
  <c r="M54" i="59"/>
  <c r="S100" i="60" s="1"/>
  <c r="L54" i="59"/>
  <c r="R100" i="60" s="1"/>
  <c r="K54" i="59"/>
  <c r="Q100" i="60" s="1"/>
  <c r="J54" i="59"/>
  <c r="P100" i="60" s="1"/>
  <c r="N53" i="59"/>
  <c r="T99" i="60" s="1"/>
  <c r="M53" i="59"/>
  <c r="S99" i="60" s="1"/>
  <c r="L53" i="59"/>
  <c r="R99" i="60" s="1"/>
  <c r="K53" i="59"/>
  <c r="Q99" i="60" s="1"/>
  <c r="J53" i="59"/>
  <c r="P99" i="60" s="1"/>
  <c r="N52" i="59"/>
  <c r="T98" i="60" s="1"/>
  <c r="M52" i="59"/>
  <c r="S98" i="60" s="1"/>
  <c r="L52" i="59"/>
  <c r="R98" i="60" s="1"/>
  <c r="K52" i="59"/>
  <c r="Q98" i="60" s="1"/>
  <c r="J52" i="59"/>
  <c r="P98" i="60" s="1"/>
  <c r="N51" i="59"/>
  <c r="T97" i="60" s="1"/>
  <c r="M51" i="59"/>
  <c r="S97" i="60" s="1"/>
  <c r="L51" i="59"/>
  <c r="R97" i="60" s="1"/>
  <c r="K51" i="59"/>
  <c r="Q97" i="60" s="1"/>
  <c r="J51" i="59"/>
  <c r="P97" i="60" s="1"/>
  <c r="N50" i="59"/>
  <c r="T96" i="60" s="1"/>
  <c r="M50" i="59"/>
  <c r="S96" i="60" s="1"/>
  <c r="L50" i="59"/>
  <c r="R96" i="60" s="1"/>
  <c r="K50" i="59"/>
  <c r="Q96" i="60" s="1"/>
  <c r="J50" i="59"/>
  <c r="P96" i="60" s="1"/>
  <c r="N49" i="59"/>
  <c r="T95" i="60" s="1"/>
  <c r="M49" i="59"/>
  <c r="S95" i="60" s="1"/>
  <c r="L49" i="59"/>
  <c r="R95" i="60" s="1"/>
  <c r="K49" i="59"/>
  <c r="Q95" i="60" s="1"/>
  <c r="J49" i="59"/>
  <c r="P95" i="60" s="1"/>
  <c r="N48" i="59"/>
  <c r="T89" i="60" s="1"/>
  <c r="M48" i="59"/>
  <c r="S89" i="60" s="1"/>
  <c r="L48" i="59"/>
  <c r="R89" i="60" s="1"/>
  <c r="K48" i="59"/>
  <c r="Q89" i="60" s="1"/>
  <c r="J48" i="59"/>
  <c r="P89" i="60" s="1"/>
  <c r="N47" i="59"/>
  <c r="T88" i="60" s="1"/>
  <c r="M47" i="59"/>
  <c r="S88" i="60" s="1"/>
  <c r="L47" i="59"/>
  <c r="R88" i="60" s="1"/>
  <c r="K47" i="59"/>
  <c r="Q88" i="60" s="1"/>
  <c r="J47" i="59"/>
  <c r="P88" i="60" s="1"/>
  <c r="N46" i="59"/>
  <c r="T87" i="60" s="1"/>
  <c r="M46" i="59"/>
  <c r="S87" i="60" s="1"/>
  <c r="L46" i="59"/>
  <c r="R87" i="60" s="1"/>
  <c r="K46" i="59"/>
  <c r="Q87" i="60" s="1"/>
  <c r="J46" i="59"/>
  <c r="P87" i="60" s="1"/>
  <c r="N45" i="59"/>
  <c r="T86" i="60" s="1"/>
  <c r="M45" i="59"/>
  <c r="S86" i="60" s="1"/>
  <c r="L45" i="59"/>
  <c r="R86" i="60" s="1"/>
  <c r="K45" i="59"/>
  <c r="Q86" i="60" s="1"/>
  <c r="J45" i="59"/>
  <c r="P86" i="60" s="1"/>
  <c r="N44" i="59"/>
  <c r="T85" i="60" s="1"/>
  <c r="M44" i="59"/>
  <c r="S85" i="60" s="1"/>
  <c r="L44" i="59"/>
  <c r="R85" i="60" s="1"/>
  <c r="K44" i="59"/>
  <c r="Q85" i="60" s="1"/>
  <c r="J44" i="59"/>
  <c r="P85" i="60" s="1"/>
  <c r="N43" i="59"/>
  <c r="T84" i="60" s="1"/>
  <c r="M43" i="59"/>
  <c r="S84" i="60" s="1"/>
  <c r="L43" i="59"/>
  <c r="R84" i="60" s="1"/>
  <c r="K43" i="59"/>
  <c r="Q84" i="60" s="1"/>
  <c r="J43" i="59"/>
  <c r="P84" i="60" s="1"/>
  <c r="N42" i="59"/>
  <c r="T83" i="60" s="1"/>
  <c r="M42" i="59"/>
  <c r="S83" i="60" s="1"/>
  <c r="L42" i="59"/>
  <c r="R83" i="60" s="1"/>
  <c r="K42" i="59"/>
  <c r="Q83" i="60" s="1"/>
  <c r="J42" i="59"/>
  <c r="P83" i="60" s="1"/>
  <c r="N41" i="59"/>
  <c r="T77" i="60" s="1"/>
  <c r="M41" i="59"/>
  <c r="S77" i="60" s="1"/>
  <c r="L41" i="59"/>
  <c r="R77" i="60" s="1"/>
  <c r="K41" i="59"/>
  <c r="Q77" i="60" s="1"/>
  <c r="J41" i="59"/>
  <c r="P77" i="60" s="1"/>
  <c r="N40" i="59"/>
  <c r="T76" i="60" s="1"/>
  <c r="M40" i="59"/>
  <c r="S76" i="60" s="1"/>
  <c r="L40" i="59"/>
  <c r="R76" i="60" s="1"/>
  <c r="K40" i="59"/>
  <c r="Q76" i="60" s="1"/>
  <c r="J40" i="59"/>
  <c r="P76" i="60" s="1"/>
  <c r="N39" i="59"/>
  <c r="T75" i="60" s="1"/>
  <c r="M39" i="59"/>
  <c r="S75" i="60" s="1"/>
  <c r="L39" i="59"/>
  <c r="R75" i="60" s="1"/>
  <c r="K39" i="59"/>
  <c r="Q75" i="60" s="1"/>
  <c r="J39" i="59"/>
  <c r="P75" i="60" s="1"/>
  <c r="N38" i="59"/>
  <c r="T74" i="60" s="1"/>
  <c r="M38" i="59"/>
  <c r="S74" i="60" s="1"/>
  <c r="L38" i="59"/>
  <c r="R74" i="60" s="1"/>
  <c r="K38" i="59"/>
  <c r="Q74" i="60" s="1"/>
  <c r="J38" i="59"/>
  <c r="P74" i="60" s="1"/>
  <c r="N37" i="59"/>
  <c r="T73" i="60" s="1"/>
  <c r="M37" i="59"/>
  <c r="S73" i="60" s="1"/>
  <c r="L37" i="59"/>
  <c r="R73" i="60" s="1"/>
  <c r="K37" i="59"/>
  <c r="Q73" i="60" s="1"/>
  <c r="J37" i="59"/>
  <c r="P73" i="60" s="1"/>
  <c r="N36" i="59"/>
  <c r="T72" i="60" s="1"/>
  <c r="M36" i="59"/>
  <c r="S72" i="60" s="1"/>
  <c r="L36" i="59"/>
  <c r="R72" i="60" s="1"/>
  <c r="K36" i="59"/>
  <c r="Q72" i="60" s="1"/>
  <c r="J36" i="59"/>
  <c r="P72" i="60" s="1"/>
  <c r="N35" i="59"/>
  <c r="T71" i="60" s="1"/>
  <c r="M35" i="59"/>
  <c r="S71" i="60" s="1"/>
  <c r="L35" i="59"/>
  <c r="R71" i="60" s="1"/>
  <c r="K35" i="59"/>
  <c r="Q71" i="60" s="1"/>
  <c r="J35" i="59"/>
  <c r="P71" i="60" s="1"/>
  <c r="N34" i="59"/>
  <c r="T70" i="60" s="1"/>
  <c r="M34" i="59"/>
  <c r="S70" i="60" s="1"/>
  <c r="L34" i="59"/>
  <c r="R70" i="60" s="1"/>
  <c r="K34" i="59"/>
  <c r="Q70" i="60" s="1"/>
  <c r="J34" i="59"/>
  <c r="P70" i="60" s="1"/>
  <c r="N33" i="59"/>
  <c r="T69" i="60" s="1"/>
  <c r="M33" i="59"/>
  <c r="S69" i="60" s="1"/>
  <c r="L33" i="59"/>
  <c r="R69" i="60" s="1"/>
  <c r="K33" i="59"/>
  <c r="Q69" i="60" s="1"/>
  <c r="J33" i="59"/>
  <c r="P69" i="60" s="1"/>
  <c r="N32" i="59"/>
  <c r="T68" i="60" s="1"/>
  <c r="M32" i="59"/>
  <c r="S68" i="60" s="1"/>
  <c r="L32" i="59"/>
  <c r="R68" i="60" s="1"/>
  <c r="K32" i="59"/>
  <c r="Q68" i="60" s="1"/>
  <c r="J32" i="59"/>
  <c r="P68" i="60" s="1"/>
  <c r="N31" i="59"/>
  <c r="T67" i="60" s="1"/>
  <c r="M31" i="59"/>
  <c r="S67" i="60" s="1"/>
  <c r="L31" i="59"/>
  <c r="R67" i="60" s="1"/>
  <c r="K31" i="59"/>
  <c r="Q67" i="60" s="1"/>
  <c r="J31" i="59"/>
  <c r="P67" i="60" s="1"/>
  <c r="N30" i="59"/>
  <c r="T66" i="60" s="1"/>
  <c r="M30" i="59"/>
  <c r="S66" i="60" s="1"/>
  <c r="L30" i="59"/>
  <c r="R66" i="60" s="1"/>
  <c r="K30" i="59"/>
  <c r="Q66" i="60" s="1"/>
  <c r="J30" i="59"/>
  <c r="P66" i="60" s="1"/>
  <c r="N29" i="59"/>
  <c r="T65" i="60" s="1"/>
  <c r="M29" i="59"/>
  <c r="S65" i="60" s="1"/>
  <c r="L29" i="59"/>
  <c r="R65" i="60" s="1"/>
  <c r="K29" i="59"/>
  <c r="Q65" i="60" s="1"/>
  <c r="J29" i="59"/>
  <c r="P65" i="60" s="1"/>
  <c r="N28" i="59"/>
  <c r="T64" i="60" s="1"/>
  <c r="M28" i="59"/>
  <c r="S64" i="60" s="1"/>
  <c r="L28" i="59"/>
  <c r="R64" i="60" s="1"/>
  <c r="K28" i="59"/>
  <c r="Q64" i="60" s="1"/>
  <c r="J28" i="59"/>
  <c r="P64" i="60" s="1"/>
  <c r="N27" i="59"/>
  <c r="T63" i="60" s="1"/>
  <c r="M27" i="59"/>
  <c r="S63" i="60" s="1"/>
  <c r="L27" i="59"/>
  <c r="R63" i="60" s="1"/>
  <c r="K27" i="59"/>
  <c r="Q63" i="60" s="1"/>
  <c r="J27" i="59"/>
  <c r="P63" i="60" s="1"/>
  <c r="N26" i="59"/>
  <c r="T62" i="60" s="1"/>
  <c r="M26" i="59"/>
  <c r="S62" i="60" s="1"/>
  <c r="L26" i="59"/>
  <c r="R62" i="60" s="1"/>
  <c r="K26" i="59"/>
  <c r="Q62" i="60" s="1"/>
  <c r="J26" i="59"/>
  <c r="P62" i="60" s="1"/>
  <c r="N25" i="59"/>
  <c r="T61" i="60" s="1"/>
  <c r="M25" i="59"/>
  <c r="S61" i="60" s="1"/>
  <c r="L25" i="59"/>
  <c r="R61" i="60" s="1"/>
  <c r="K25" i="59"/>
  <c r="Q61" i="60" s="1"/>
  <c r="J25" i="59"/>
  <c r="P61" i="60" s="1"/>
  <c r="N24" i="59"/>
  <c r="T60" i="60" s="1"/>
  <c r="M24" i="59"/>
  <c r="S60" i="60" s="1"/>
  <c r="L24" i="59"/>
  <c r="R60" i="60" s="1"/>
  <c r="K24" i="59"/>
  <c r="Q60" i="60" s="1"/>
  <c r="J24" i="59"/>
  <c r="P60" i="60" s="1"/>
  <c r="N23" i="59"/>
  <c r="T59" i="60" s="1"/>
  <c r="M23" i="59"/>
  <c r="S59" i="60" s="1"/>
  <c r="L23" i="59"/>
  <c r="R59" i="60" s="1"/>
  <c r="K23" i="59"/>
  <c r="Q59" i="60" s="1"/>
  <c r="J23" i="59"/>
  <c r="P59" i="60" s="1"/>
  <c r="N22" i="59"/>
  <c r="T58" i="60" s="1"/>
  <c r="L22" i="59"/>
  <c r="R58" i="60" s="1"/>
  <c r="K22" i="59"/>
  <c r="Q58" i="60" s="1"/>
  <c r="J22" i="59"/>
  <c r="P58" i="60" s="1"/>
  <c r="N21" i="59"/>
  <c r="T57" i="60" s="1"/>
  <c r="M21" i="59"/>
  <c r="S57" i="60" s="1"/>
  <c r="L21" i="59"/>
  <c r="R57" i="60" s="1"/>
  <c r="K21" i="59"/>
  <c r="Q57" i="60" s="1"/>
  <c r="J21" i="59"/>
  <c r="P57" i="60" s="1"/>
  <c r="N20" i="59"/>
  <c r="T43" i="60" s="1"/>
  <c r="M20" i="59"/>
  <c r="S43" i="60" s="1"/>
  <c r="L20" i="59"/>
  <c r="R43" i="60" s="1"/>
  <c r="K20" i="59"/>
  <c r="Q43" i="60" s="1"/>
  <c r="J20" i="59"/>
  <c r="P43" i="60" s="1"/>
  <c r="N19" i="59"/>
  <c r="T42" i="60" s="1"/>
  <c r="M19" i="59"/>
  <c r="S42" i="60" s="1"/>
  <c r="L19" i="59"/>
  <c r="R42" i="60" s="1"/>
  <c r="K19" i="59"/>
  <c r="Q42" i="60" s="1"/>
  <c r="J19" i="59"/>
  <c r="P42" i="60" s="1"/>
  <c r="N18" i="59"/>
  <c r="T36" i="60" s="1"/>
  <c r="M18" i="59"/>
  <c r="S36" i="60" s="1"/>
  <c r="L18" i="59"/>
  <c r="R36" i="60" s="1"/>
  <c r="K18" i="59"/>
  <c r="Q36" i="60" s="1"/>
  <c r="J18" i="59"/>
  <c r="P36" i="60" s="1"/>
  <c r="N17" i="59"/>
  <c r="T35" i="60" s="1"/>
  <c r="M17" i="59"/>
  <c r="S35" i="60" s="1"/>
  <c r="L17" i="59"/>
  <c r="R35" i="60" s="1"/>
  <c r="K17" i="59"/>
  <c r="Q35" i="60" s="1"/>
  <c r="J17" i="59"/>
  <c r="P35" i="60" s="1"/>
  <c r="N16" i="59"/>
  <c r="T34" i="60" s="1"/>
  <c r="M16" i="59"/>
  <c r="S34" i="60" s="1"/>
  <c r="L16" i="59"/>
  <c r="R34" i="60" s="1"/>
  <c r="K16" i="59"/>
  <c r="Q34" i="60" s="1"/>
  <c r="J16" i="59"/>
  <c r="P34" i="60" s="1"/>
  <c r="N15" i="59"/>
  <c r="T33" i="60" s="1"/>
  <c r="M15" i="59"/>
  <c r="S33" i="60" s="1"/>
  <c r="L15" i="59"/>
  <c r="R33" i="60" s="1"/>
  <c r="K15" i="59"/>
  <c r="Q33" i="60" s="1"/>
  <c r="J15" i="59"/>
  <c r="P33" i="60" s="1"/>
  <c r="N14" i="59"/>
  <c r="T32" i="60" s="1"/>
  <c r="M14" i="59"/>
  <c r="S32" i="60" s="1"/>
  <c r="L14" i="59"/>
  <c r="R32" i="60" s="1"/>
  <c r="K14" i="59"/>
  <c r="Q32" i="60" s="1"/>
  <c r="J14" i="59"/>
  <c r="P32" i="60" s="1"/>
  <c r="N13" i="59"/>
  <c r="T31" i="60" s="1"/>
  <c r="M13" i="59"/>
  <c r="S31" i="60" s="1"/>
  <c r="L13" i="59"/>
  <c r="R31" i="60" s="1"/>
  <c r="K13" i="59"/>
  <c r="Q31" i="60" s="1"/>
  <c r="J13" i="59"/>
  <c r="P31" i="60" s="1"/>
  <c r="N12" i="59"/>
  <c r="T30" i="60" s="1"/>
  <c r="M12" i="59"/>
  <c r="S30" i="60" s="1"/>
  <c r="L12" i="59"/>
  <c r="R30" i="60" s="1"/>
  <c r="K12" i="59"/>
  <c r="Q30" i="60" s="1"/>
  <c r="J12" i="59"/>
  <c r="P30" i="60" s="1"/>
  <c r="N11" i="59"/>
  <c r="T24" i="60" s="1"/>
  <c r="M11" i="59"/>
  <c r="S24" i="60" s="1"/>
  <c r="L11" i="59"/>
  <c r="R24" i="60" s="1"/>
  <c r="K11" i="59"/>
  <c r="Q24" i="60" s="1"/>
  <c r="J11" i="59"/>
  <c r="P24" i="60" s="1"/>
  <c r="N10" i="59"/>
  <c r="T23" i="60" s="1"/>
  <c r="M10" i="59"/>
  <c r="S23" i="60" s="1"/>
  <c r="L10" i="59"/>
  <c r="R23" i="60" s="1"/>
  <c r="K10" i="59"/>
  <c r="Q23" i="60" s="1"/>
  <c r="J10" i="59"/>
  <c r="P23" i="60" s="1"/>
  <c r="N9" i="59"/>
  <c r="T22" i="60" s="1"/>
  <c r="M9" i="59"/>
  <c r="S22" i="60" s="1"/>
  <c r="L9" i="59"/>
  <c r="R22" i="60" s="1"/>
  <c r="K9" i="59"/>
  <c r="Q22" i="60" s="1"/>
  <c r="J9" i="59"/>
  <c r="P22" i="60" s="1"/>
  <c r="N8" i="59"/>
  <c r="T16" i="60" s="1"/>
  <c r="M8" i="59"/>
  <c r="S16" i="60" s="1"/>
  <c r="L8" i="59"/>
  <c r="R16" i="60" s="1"/>
  <c r="K8" i="59"/>
  <c r="Q16" i="60" s="1"/>
  <c r="J8" i="59"/>
  <c r="P16" i="60" s="1"/>
  <c r="N7" i="59"/>
  <c r="T15" i="60" s="1"/>
  <c r="M7" i="59"/>
  <c r="S15" i="60" s="1"/>
  <c r="L7" i="59"/>
  <c r="R15" i="60" s="1"/>
  <c r="K7" i="59"/>
  <c r="Q15" i="60" s="1"/>
  <c r="J7" i="59"/>
  <c r="P15" i="60" s="1"/>
  <c r="N6" i="59"/>
  <c r="T14" i="60" s="1"/>
  <c r="M6" i="59"/>
  <c r="S14" i="60" s="1"/>
  <c r="L6" i="59"/>
  <c r="R14" i="60" s="1"/>
  <c r="K6" i="59"/>
  <c r="Q14" i="60" s="1"/>
  <c r="J6" i="59"/>
  <c r="P14" i="60" s="1"/>
  <c r="B6" i="59"/>
  <c r="N5" i="59"/>
  <c r="T13" i="60" s="1"/>
  <c r="M5" i="59"/>
  <c r="S13" i="60" s="1"/>
  <c r="L5" i="59"/>
  <c r="R13" i="60" s="1"/>
  <c r="K5" i="59"/>
  <c r="Q13" i="60" s="1"/>
  <c r="J5" i="59"/>
  <c r="P13" i="60" s="1"/>
  <c r="P122" i="60" l="1"/>
  <c r="P130" i="60"/>
  <c r="Q122" i="60"/>
  <c r="Q130" i="60"/>
  <c r="R122" i="60"/>
  <c r="R130" i="60"/>
  <c r="T129" i="60"/>
  <c r="T121" i="60"/>
  <c r="P121" i="60"/>
  <c r="P129" i="60"/>
  <c r="S130" i="60"/>
  <c r="S122" i="60"/>
  <c r="B7" i="59"/>
  <c r="B8" i="59" s="1"/>
  <c r="B9" i="59" s="1"/>
  <c r="D111" i="59"/>
  <c r="Q129" i="60"/>
  <c r="Q121" i="60"/>
  <c r="T130" i="60"/>
  <c r="T122" i="60"/>
  <c r="R129" i="60"/>
  <c r="R121" i="60"/>
  <c r="S129" i="60"/>
  <c r="S121" i="60"/>
  <c r="V75" i="58"/>
  <c r="X71" i="64" s="1"/>
  <c r="V71" i="64"/>
  <c r="W69" i="58"/>
  <c r="C41" i="62" l="1"/>
  <c r="C63" i="63" s="1"/>
  <c r="C37" i="63" s="1"/>
  <c r="B10" i="59"/>
  <c r="B11" i="59" s="1"/>
  <c r="B12" i="59" s="1"/>
  <c r="U48" i="58"/>
  <c r="D112" i="59" l="1"/>
  <c r="B13" i="59"/>
  <c r="B14" i="59" s="1"/>
  <c r="B15" i="59" s="1"/>
  <c r="B16" i="59" s="1"/>
  <c r="B17" i="59" s="1"/>
  <c r="B18" i="59" s="1"/>
  <c r="B19" i="59" s="1"/>
  <c r="T38" i="58"/>
  <c r="V34" i="64" s="1"/>
  <c r="T39" i="58"/>
  <c r="V35" i="64" s="1"/>
  <c r="R38" i="58"/>
  <c r="R39" i="58"/>
  <c r="D113" i="59" l="1"/>
  <c r="C43" i="62" s="1"/>
  <c r="B20" i="59"/>
  <c r="B21" i="59" s="1"/>
  <c r="C42" i="62"/>
  <c r="C64" i="63" s="1"/>
  <c r="C38" i="63" s="1"/>
  <c r="F18" i="55"/>
  <c r="P91" i="59" s="1"/>
  <c r="F17" i="55"/>
  <c r="P90" i="59" s="1"/>
  <c r="F16" i="55"/>
  <c r="P89" i="59" s="1"/>
  <c r="F17" i="54"/>
  <c r="P87" i="59" s="1"/>
  <c r="F18" i="54"/>
  <c r="P88" i="59" s="1"/>
  <c r="F16" i="54"/>
  <c r="P86" i="59" s="1"/>
  <c r="F17" i="53"/>
  <c r="P79" i="59" s="1"/>
  <c r="F18" i="53"/>
  <c r="P80" i="59" s="1"/>
  <c r="F19" i="53"/>
  <c r="P81" i="59" s="1"/>
  <c r="F20" i="53"/>
  <c r="P82" i="59" s="1"/>
  <c r="F16" i="53"/>
  <c r="P78" i="59" s="1"/>
  <c r="F19" i="52"/>
  <c r="P77" i="59" s="1"/>
  <c r="F17" i="52"/>
  <c r="P75" i="59" s="1"/>
  <c r="F18" i="52"/>
  <c r="P76" i="59" s="1"/>
  <c r="F16" i="52"/>
  <c r="P74" i="59" s="1"/>
  <c r="F16" i="50"/>
  <c r="P70" i="59" s="1"/>
  <c r="F18" i="51"/>
  <c r="P69" i="59" s="1"/>
  <c r="F17" i="51"/>
  <c r="P68" i="59" s="1"/>
  <c r="F16" i="51"/>
  <c r="P67" i="59" s="1"/>
  <c r="F17" i="48"/>
  <c r="F16" i="48"/>
  <c r="F22" i="47"/>
  <c r="P63" i="59" s="1"/>
  <c r="F23" i="47"/>
  <c r="P64" i="59" s="1"/>
  <c r="F20" i="47"/>
  <c r="P61" i="59" s="1"/>
  <c r="F21" i="47"/>
  <c r="P62" i="59" s="1"/>
  <c r="F18" i="47"/>
  <c r="P59" i="59" s="1"/>
  <c r="F19" i="47"/>
  <c r="P60" i="59" s="1"/>
  <c r="F17" i="47"/>
  <c r="P58" i="59" s="1"/>
  <c r="F16" i="47"/>
  <c r="P57" i="59" s="1"/>
  <c r="AD17" i="43"/>
  <c r="Q42" i="58" s="1"/>
  <c r="AE17" i="43"/>
  <c r="R42" i="58" s="1"/>
  <c r="F17" i="43"/>
  <c r="P50" i="59" s="1"/>
  <c r="F18" i="43"/>
  <c r="P51" i="59" s="1"/>
  <c r="F19" i="43"/>
  <c r="P52" i="59" s="1"/>
  <c r="F20" i="43"/>
  <c r="P53" i="59" s="1"/>
  <c r="F21" i="43"/>
  <c r="P54" i="59" s="1"/>
  <c r="F22" i="43"/>
  <c r="P55" i="59" s="1"/>
  <c r="F23" i="43"/>
  <c r="P56" i="59" s="1"/>
  <c r="F16" i="43"/>
  <c r="P49" i="59" s="1"/>
  <c r="I38" i="63" l="1"/>
  <c r="C65" i="63"/>
  <c r="C39" i="63" s="1"/>
  <c r="I39" i="63" s="1"/>
  <c r="D114" i="59"/>
  <c r="C44" i="62" s="1"/>
  <c r="B22" i="59"/>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C10" i="63"/>
  <c r="F22" i="42"/>
  <c r="P48" i="59" s="1"/>
  <c r="F20" i="42"/>
  <c r="P46" i="59" s="1"/>
  <c r="F21" i="42"/>
  <c r="P47" i="59" s="1"/>
  <c r="F19" i="42"/>
  <c r="P45" i="59" s="1"/>
  <c r="F17" i="42"/>
  <c r="P43" i="59" s="1"/>
  <c r="F18" i="42"/>
  <c r="P44" i="59" s="1"/>
  <c r="F16" i="42"/>
  <c r="P42" i="59" s="1"/>
  <c r="F33" i="41"/>
  <c r="P38" i="59" s="1"/>
  <c r="F34" i="41"/>
  <c r="P39" i="59" s="1"/>
  <c r="F35" i="41"/>
  <c r="P40" i="59" s="1"/>
  <c r="F36" i="41"/>
  <c r="P41" i="59" s="1"/>
  <c r="F29" i="41"/>
  <c r="P34" i="59" s="1"/>
  <c r="F30" i="41"/>
  <c r="P35" i="59" s="1"/>
  <c r="F31" i="41"/>
  <c r="P36" i="59" s="1"/>
  <c r="F32" i="41"/>
  <c r="P37" i="59" s="1"/>
  <c r="F26" i="41"/>
  <c r="P31" i="59" s="1"/>
  <c r="F27" i="41"/>
  <c r="P32" i="59" s="1"/>
  <c r="F28" i="41"/>
  <c r="P33" i="59" s="1"/>
  <c r="F24" i="41"/>
  <c r="P29" i="59" s="1"/>
  <c r="F25" i="41"/>
  <c r="P30" i="59" s="1"/>
  <c r="F22" i="41"/>
  <c r="P27" i="59" s="1"/>
  <c r="F21" i="41"/>
  <c r="P26" i="59" s="1"/>
  <c r="F23" i="41"/>
  <c r="P28" i="59" s="1"/>
  <c r="F17" i="41"/>
  <c r="P22" i="59" s="1"/>
  <c r="F18" i="41"/>
  <c r="P23" i="59" s="1"/>
  <c r="F19" i="41"/>
  <c r="P24" i="59" s="1"/>
  <c r="F20" i="41"/>
  <c r="P25" i="59" s="1"/>
  <c r="F16" i="41"/>
  <c r="P21" i="59" s="1"/>
  <c r="C11" i="63" l="1"/>
  <c r="C66" i="63"/>
  <c r="D115" i="59"/>
  <c r="B43" i="59"/>
  <c r="B44" i="59" s="1"/>
  <c r="B45" i="59" s="1"/>
  <c r="B46" i="59" s="1"/>
  <c r="B47" i="59" s="1"/>
  <c r="B48" i="59" s="1"/>
  <c r="B49" i="59" s="1"/>
  <c r="F17" i="56"/>
  <c r="P20" i="59" s="1"/>
  <c r="F16" i="56"/>
  <c r="P19" i="59" s="1"/>
  <c r="F7" i="39"/>
  <c r="C12" i="63" l="1"/>
  <c r="C40" i="63"/>
  <c r="D116" i="59"/>
  <c r="C48" i="62" s="1"/>
  <c r="B50" i="59"/>
  <c r="B51" i="59" s="1"/>
  <c r="B52" i="59" s="1"/>
  <c r="B53" i="59" s="1"/>
  <c r="B54" i="59" s="1"/>
  <c r="B55" i="59" s="1"/>
  <c r="B56" i="59" s="1"/>
  <c r="B57" i="59" s="1"/>
  <c r="D117" i="59"/>
  <c r="C49" i="62" s="1"/>
  <c r="C47" i="62"/>
  <c r="I40" i="63" l="1"/>
  <c r="C68" i="63"/>
  <c r="C70" i="63"/>
  <c r="C69" i="63"/>
  <c r="B58" i="59"/>
  <c r="B59" i="59" s="1"/>
  <c r="B60" i="59" s="1"/>
  <c r="B61" i="59" s="1"/>
  <c r="B62" i="59" s="1"/>
  <c r="B63" i="59" s="1"/>
  <c r="B64" i="59" s="1"/>
  <c r="B65" i="59" s="1"/>
  <c r="AU23" i="47"/>
  <c r="V69" i="58" s="1"/>
  <c r="AT23" i="47"/>
  <c r="U69" i="58" s="1"/>
  <c r="AM23" i="47"/>
  <c r="T69" i="58" s="1"/>
  <c r="V65" i="64" s="1"/>
  <c r="AL23" i="47"/>
  <c r="S69" i="58" s="1"/>
  <c r="AE23" i="47"/>
  <c r="R69" i="58" s="1"/>
  <c r="AD23" i="47"/>
  <c r="Q69" i="58" s="1"/>
  <c r="V23" i="47"/>
  <c r="O69" i="58" s="1"/>
  <c r="W23" i="47"/>
  <c r="P69" i="58" s="1"/>
  <c r="C15" i="63" l="1"/>
  <c r="C43" i="63"/>
  <c r="I43" i="63" s="1"/>
  <c r="C16" i="63"/>
  <c r="C44" i="63"/>
  <c r="I44" i="63" s="1"/>
  <c r="C14" i="63"/>
  <c r="C42" i="63"/>
  <c r="D118" i="59"/>
  <c r="C51" i="62"/>
  <c r="B66" i="59"/>
  <c r="B67" i="59" s="1"/>
  <c r="X69" i="58"/>
  <c r="AZ23" i="47"/>
  <c r="BH23" i="47" s="1"/>
  <c r="AY23" i="47"/>
  <c r="BG23" i="47" s="1"/>
  <c r="AW23" i="47"/>
  <c r="BE23" i="47" s="1"/>
  <c r="AX23" i="47"/>
  <c r="BF23" i="47" s="1"/>
  <c r="J115" i="60" l="1"/>
  <c r="Z65" i="64"/>
  <c r="G34" i="69" s="1"/>
  <c r="Y69" i="58"/>
  <c r="AA65" i="64" s="1"/>
  <c r="H34" i="69" s="1"/>
  <c r="C71" i="63"/>
  <c r="D119" i="59"/>
  <c r="C52" i="62" s="1"/>
  <c r="B68" i="59"/>
  <c r="B69" i="59" s="1"/>
  <c r="B70" i="59" s="1"/>
  <c r="D120" i="59"/>
  <c r="C53" i="62" s="1"/>
  <c r="Z69" i="58"/>
  <c r="AH69" i="58" s="1"/>
  <c r="K115" i="60"/>
  <c r="L115" i="60"/>
  <c r="W19" i="43"/>
  <c r="P44" i="58" s="1"/>
  <c r="C17" i="63" l="1"/>
  <c r="C45" i="63"/>
  <c r="I45" i="63" s="1"/>
  <c r="M115" i="60"/>
  <c r="C73" i="63"/>
  <c r="C72" i="63"/>
  <c r="B71" i="59"/>
  <c r="B72" i="59" s="1"/>
  <c r="B73" i="59" s="1"/>
  <c r="B74" i="59" s="1"/>
  <c r="AA69" i="58"/>
  <c r="W17" i="43"/>
  <c r="P42" i="58" s="1"/>
  <c r="C19" i="63" l="1"/>
  <c r="C47" i="63"/>
  <c r="I47" i="63" s="1"/>
  <c r="C18" i="63"/>
  <c r="C46" i="63"/>
  <c r="I46" i="63" s="1"/>
  <c r="D121" i="59"/>
  <c r="C54" i="62" s="1"/>
  <c r="B75" i="59"/>
  <c r="B76" i="59" s="1"/>
  <c r="B77" i="59" s="1"/>
  <c r="B78" i="59" s="1"/>
  <c r="AE16" i="46"/>
  <c r="R60" i="58" s="1"/>
  <c r="AD16" i="46"/>
  <c r="Q60" i="58" s="1"/>
  <c r="AU16" i="46"/>
  <c r="V60" i="58" s="1"/>
  <c r="AT16" i="46"/>
  <c r="U60" i="58" s="1"/>
  <c r="V16" i="46"/>
  <c r="O60" i="58" s="1"/>
  <c r="AL16" i="46"/>
  <c r="S60" i="58" s="1"/>
  <c r="AM16" i="46"/>
  <c r="T60" i="58" s="1"/>
  <c r="V56" i="64" s="1"/>
  <c r="W16" i="46"/>
  <c r="P60" i="58" s="1"/>
  <c r="F18" i="46"/>
  <c r="P85" i="59" s="1"/>
  <c r="F17" i="46"/>
  <c r="P84" i="59" s="1"/>
  <c r="F16" i="46"/>
  <c r="P83" i="59" s="1"/>
  <c r="F17" i="45"/>
  <c r="P10" i="59" s="1"/>
  <c r="F18" i="45"/>
  <c r="P11" i="59" s="1"/>
  <c r="F16" i="45"/>
  <c r="P9" i="59" s="1"/>
  <c r="C74" i="63" l="1"/>
  <c r="D122" i="59"/>
  <c r="C55" i="62" s="1"/>
  <c r="B79" i="59"/>
  <c r="B80" i="59" s="1"/>
  <c r="B81" i="59" s="1"/>
  <c r="B82" i="59" s="1"/>
  <c r="B83" i="59" s="1"/>
  <c r="AV16" i="46"/>
  <c r="F17" i="37"/>
  <c r="P6" i="59" s="1"/>
  <c r="F18" i="37"/>
  <c r="P7" i="59" s="1"/>
  <c r="F19" i="37"/>
  <c r="P8" i="59" s="1"/>
  <c r="F16" i="37"/>
  <c r="P5" i="59" s="1"/>
  <c r="F17" i="44"/>
  <c r="P13" i="59" s="1"/>
  <c r="F18" i="44"/>
  <c r="P14" i="59" s="1"/>
  <c r="F19" i="44"/>
  <c r="P15" i="59" s="1"/>
  <c r="F20" i="44"/>
  <c r="P16" i="59" s="1"/>
  <c r="F21" i="44"/>
  <c r="P17" i="59" s="1"/>
  <c r="F22" i="44"/>
  <c r="P18" i="59" s="1"/>
  <c r="F16" i="44"/>
  <c r="P12" i="59" s="1"/>
  <c r="W21" i="42"/>
  <c r="P39" i="58" s="1"/>
  <c r="C20" i="63" l="1"/>
  <c r="C48" i="63"/>
  <c r="I48" i="63" s="1"/>
  <c r="C75" i="63"/>
  <c r="D123" i="59"/>
  <c r="C56" i="62" s="1"/>
  <c r="B84" i="59"/>
  <c r="B85" i="59" s="1"/>
  <c r="B86" i="59" s="1"/>
  <c r="D124" i="59"/>
  <c r="C45" i="62" s="1"/>
  <c r="C67" i="63" s="1"/>
  <c r="C41" i="63" s="1"/>
  <c r="L49" i="60"/>
  <c r="K49" i="60"/>
  <c r="AZ16" i="46"/>
  <c r="AY16" i="46"/>
  <c r="BC16" i="46" s="1"/>
  <c r="W60" i="58"/>
  <c r="AX16" i="46"/>
  <c r="AW16" i="46"/>
  <c r="W20" i="42"/>
  <c r="P38" i="58" s="1"/>
  <c r="I41" i="63" l="1"/>
  <c r="C21" i="63"/>
  <c r="C49" i="63"/>
  <c r="I49" i="63" s="1"/>
  <c r="C76" i="63"/>
  <c r="C13" i="63"/>
  <c r="B87" i="59"/>
  <c r="B88" i="59" s="1"/>
  <c r="B89" i="59" s="1"/>
  <c r="D125" i="59"/>
  <c r="C58" i="62" s="1"/>
  <c r="BG16" i="46"/>
  <c r="BH16" i="46"/>
  <c r="BF16" i="46"/>
  <c r="BB16" i="46"/>
  <c r="BA16" i="46"/>
  <c r="BE16" i="46"/>
  <c r="V19" i="37"/>
  <c r="O59" i="58" s="1"/>
  <c r="C22" i="63" l="1"/>
  <c r="C50" i="63"/>
  <c r="I50" i="63" s="1"/>
  <c r="C77" i="63"/>
  <c r="B90" i="59"/>
  <c r="B91" i="59" s="1"/>
  <c r="B92" i="59" s="1"/>
  <c r="B93" i="59" s="1"/>
  <c r="B94" i="59" s="1"/>
  <c r="B95" i="59" s="1"/>
  <c r="B96" i="59" s="1"/>
  <c r="B97" i="59" s="1"/>
  <c r="B98" i="59" s="1"/>
  <c r="B99" i="59" s="1"/>
  <c r="B100" i="59" s="1"/>
  <c r="B101" i="59" s="1"/>
  <c r="B102" i="59" s="1"/>
  <c r="B103" i="59" s="1"/>
  <c r="B104" i="59" s="1"/>
  <c r="B105" i="59" s="1"/>
  <c r="B106" i="59" s="1"/>
  <c r="D126" i="59"/>
  <c r="O18" i="46"/>
  <c r="R85" i="59" s="1"/>
  <c r="O17" i="46"/>
  <c r="R84" i="59" s="1"/>
  <c r="O16" i="46"/>
  <c r="R83" i="59" s="1"/>
  <c r="AU17" i="46"/>
  <c r="V61" i="58" s="1"/>
  <c r="AT17" i="46"/>
  <c r="U61" i="58" s="1"/>
  <c r="AM17" i="46"/>
  <c r="T61" i="58" s="1"/>
  <c r="V57" i="64" s="1"/>
  <c r="AL17" i="46"/>
  <c r="S61" i="58" s="1"/>
  <c r="AE17" i="46"/>
  <c r="R61" i="58" s="1"/>
  <c r="AD17" i="46"/>
  <c r="Q61" i="58" s="1"/>
  <c r="W17" i="46"/>
  <c r="P61" i="58" s="1"/>
  <c r="V17" i="46"/>
  <c r="O61" i="58" s="1"/>
  <c r="I17" i="46"/>
  <c r="E84" i="59" s="1"/>
  <c r="D50" i="60" s="1"/>
  <c r="I16" i="46"/>
  <c r="E83" i="59" s="1"/>
  <c r="D49" i="60" s="1"/>
  <c r="H17" i="46"/>
  <c r="H16" i="46"/>
  <c r="G17" i="46"/>
  <c r="Q84" i="59" s="1"/>
  <c r="E50" i="60" s="1"/>
  <c r="G16" i="46"/>
  <c r="Q83" i="59" s="1"/>
  <c r="E49" i="60" s="1"/>
  <c r="E17" i="46"/>
  <c r="E16" i="46"/>
  <c r="D17" i="46"/>
  <c r="D16" i="46"/>
  <c r="B16" i="46"/>
  <c r="C16" i="46"/>
  <c r="C23" i="63" l="1"/>
  <c r="C51" i="63"/>
  <c r="C59" i="62"/>
  <c r="D127" i="59"/>
  <c r="X61" i="58"/>
  <c r="AZ17" i="46"/>
  <c r="BH17" i="46" s="1"/>
  <c r="AV17" i="46"/>
  <c r="W61" i="58" s="1"/>
  <c r="AW17" i="46"/>
  <c r="BE17" i="46" s="1"/>
  <c r="AX17" i="46"/>
  <c r="BF17" i="46" s="1"/>
  <c r="AY17" i="46"/>
  <c r="BG17" i="46" s="1"/>
  <c r="D22" i="47"/>
  <c r="D23" i="47"/>
  <c r="D20" i="47"/>
  <c r="D21" i="47"/>
  <c r="D19" i="47"/>
  <c r="D18" i="47"/>
  <c r="D17" i="47"/>
  <c r="I51" i="63" l="1"/>
  <c r="J50" i="60"/>
  <c r="Z61" i="58"/>
  <c r="Z57" i="64"/>
  <c r="G29" i="69" s="1"/>
  <c r="Y61" i="58"/>
  <c r="AA57" i="64" s="1"/>
  <c r="H29" i="69" s="1"/>
  <c r="C78" i="63"/>
  <c r="M50" i="60"/>
  <c r="K50" i="60"/>
  <c r="AA61" i="58"/>
  <c r="L50" i="60"/>
  <c r="BD17" i="46"/>
  <c r="BB17" i="46"/>
  <c r="BA17" i="46"/>
  <c r="BC17" i="46"/>
  <c r="I17" i="45"/>
  <c r="E10" i="59" s="1"/>
  <c r="D23" i="60" s="1"/>
  <c r="I18" i="45"/>
  <c r="E11" i="59" s="1"/>
  <c r="D24" i="60" s="1"/>
  <c r="I16" i="45"/>
  <c r="E9" i="59" s="1"/>
  <c r="D22" i="60" s="1"/>
  <c r="H17" i="45"/>
  <c r="H18" i="45"/>
  <c r="H16" i="45"/>
  <c r="G17" i="45"/>
  <c r="Q10" i="59" s="1"/>
  <c r="E23" i="60" s="1"/>
  <c r="G18" i="45"/>
  <c r="Q11" i="59" s="1"/>
  <c r="E24" i="60" s="1"/>
  <c r="G16" i="45"/>
  <c r="Q9" i="59" s="1"/>
  <c r="E22" i="60" s="1"/>
  <c r="E17" i="45"/>
  <c r="E18" i="45"/>
  <c r="E16" i="45"/>
  <c r="D17" i="45"/>
  <c r="D18" i="45"/>
  <c r="D16" i="45"/>
  <c r="C17" i="45"/>
  <c r="C18" i="45"/>
  <c r="C16" i="45"/>
  <c r="B16" i="45"/>
  <c r="AU18" i="45"/>
  <c r="V99" i="58" s="1"/>
  <c r="AT18" i="45"/>
  <c r="U99" i="58" s="1"/>
  <c r="AM18" i="45"/>
  <c r="T99" i="58" s="1"/>
  <c r="V95" i="64" s="1"/>
  <c r="AL18" i="45"/>
  <c r="S99" i="58" s="1"/>
  <c r="AE18" i="45"/>
  <c r="R99" i="58" s="1"/>
  <c r="AD18" i="45"/>
  <c r="Q99" i="58" s="1"/>
  <c r="W18" i="45"/>
  <c r="P99" i="58" s="1"/>
  <c r="V18" i="45"/>
  <c r="O99" i="58" s="1"/>
  <c r="R11" i="59"/>
  <c r="AU17" i="45"/>
  <c r="V98" i="58" s="1"/>
  <c r="AT17" i="45"/>
  <c r="U98" i="58" s="1"/>
  <c r="AM17" i="45"/>
  <c r="T98" i="58" s="1"/>
  <c r="V94" i="64" s="1"/>
  <c r="AL17" i="45"/>
  <c r="S98" i="58" s="1"/>
  <c r="AE17" i="45"/>
  <c r="R98" i="58" s="1"/>
  <c r="AD17" i="45"/>
  <c r="Q98" i="58" s="1"/>
  <c r="W17" i="45"/>
  <c r="P98" i="58" s="1"/>
  <c r="V17" i="45"/>
  <c r="O98" i="58" s="1"/>
  <c r="R10" i="59"/>
  <c r="AU16" i="45"/>
  <c r="V97" i="58" s="1"/>
  <c r="AT16" i="45"/>
  <c r="U97" i="58" s="1"/>
  <c r="AM16" i="45"/>
  <c r="T97" i="58" s="1"/>
  <c r="V93" i="64" s="1"/>
  <c r="AL16" i="45"/>
  <c r="S97" i="58" s="1"/>
  <c r="AE16" i="45"/>
  <c r="R97" i="58" s="1"/>
  <c r="AD16" i="45"/>
  <c r="Q97" i="58" s="1"/>
  <c r="W16" i="45"/>
  <c r="P97" i="58" s="1"/>
  <c r="V16" i="45"/>
  <c r="O97" i="58" s="1"/>
  <c r="R9" i="59"/>
  <c r="C24" i="63" l="1"/>
  <c r="C52" i="63"/>
  <c r="AH61" i="58"/>
  <c r="L22" i="60"/>
  <c r="K22" i="60"/>
  <c r="L23" i="60"/>
  <c r="K23" i="60"/>
  <c r="L24" i="60"/>
  <c r="K24" i="60"/>
  <c r="AE61" i="58"/>
  <c r="X97" i="58"/>
  <c r="X98" i="58"/>
  <c r="X99" i="58"/>
  <c r="AZ16" i="45"/>
  <c r="BH16" i="45" s="1"/>
  <c r="AV18" i="45"/>
  <c r="W99" i="58" s="1"/>
  <c r="AX17" i="45"/>
  <c r="BF17" i="45" s="1"/>
  <c r="AV17" i="45"/>
  <c r="W98" i="58" s="1"/>
  <c r="AZ18" i="45"/>
  <c r="BH18" i="45" s="1"/>
  <c r="AV16" i="45"/>
  <c r="W97" i="58" s="1"/>
  <c r="AY17" i="45"/>
  <c r="BG17" i="45" s="1"/>
  <c r="AW18" i="45"/>
  <c r="BE18" i="45" s="1"/>
  <c r="AX16" i="45"/>
  <c r="AZ17" i="45"/>
  <c r="BH17" i="45" s="1"/>
  <c r="AX18" i="45"/>
  <c r="BF18" i="45" s="1"/>
  <c r="AW16" i="45"/>
  <c r="BE16" i="45" s="1"/>
  <c r="AY16" i="45"/>
  <c r="BG16" i="45" s="1"/>
  <c r="AW17" i="45"/>
  <c r="BE17" i="45" s="1"/>
  <c r="AY18" i="45"/>
  <c r="BG18" i="45" s="1"/>
  <c r="I52" i="63" l="1"/>
  <c r="C53" i="63"/>
  <c r="J24" i="60"/>
  <c r="Z95" i="64"/>
  <c r="Y99" i="58"/>
  <c r="AA95" i="64" s="1"/>
  <c r="H48" i="69" s="1"/>
  <c r="J23" i="60"/>
  <c r="Z94" i="64"/>
  <c r="Y98" i="58"/>
  <c r="AA94" i="64" s="1"/>
  <c r="H47" i="69" s="1"/>
  <c r="J22" i="60"/>
  <c r="Z93" i="64"/>
  <c r="Y97" i="58"/>
  <c r="AA93" i="64" s="1"/>
  <c r="H46" i="69" s="1"/>
  <c r="G10" i="63"/>
  <c r="F10" i="63"/>
  <c r="E10" i="63"/>
  <c r="D10" i="63"/>
  <c r="K25" i="60"/>
  <c r="D42" i="62" s="1"/>
  <c r="L25" i="60"/>
  <c r="E42" i="62" s="1"/>
  <c r="BB17" i="45"/>
  <c r="M24" i="60"/>
  <c r="Z99" i="58"/>
  <c r="Z97" i="58"/>
  <c r="M23" i="60"/>
  <c r="Z98" i="58"/>
  <c r="BB16" i="45"/>
  <c r="BF16" i="45"/>
  <c r="BD18" i="45"/>
  <c r="BD16" i="45"/>
  <c r="BA17" i="45"/>
  <c r="BC16" i="45"/>
  <c r="BB18" i="45"/>
  <c r="BA16" i="45"/>
  <c r="BA18" i="45"/>
  <c r="BD17" i="45"/>
  <c r="BC18" i="45"/>
  <c r="G48" i="69" l="1"/>
  <c r="BL95" i="64"/>
  <c r="BM95" i="64" s="1"/>
  <c r="BN95" i="64" s="1"/>
  <c r="G47" i="69"/>
  <c r="BL94" i="64"/>
  <c r="BM94" i="64" s="1"/>
  <c r="BN94" i="64" s="1"/>
  <c r="G46" i="69"/>
  <c r="BL93" i="64"/>
  <c r="M22" i="60"/>
  <c r="M25" i="60" s="1"/>
  <c r="F42" i="62" s="1"/>
  <c r="C10" i="62" s="1"/>
  <c r="H10" i="63"/>
  <c r="I10" i="63" s="1"/>
  <c r="BD19" i="45"/>
  <c r="AA98" i="58"/>
  <c r="AB98" i="58" s="1"/>
  <c r="AH98" i="58"/>
  <c r="AE98" i="58"/>
  <c r="AE97" i="58"/>
  <c r="AA97" i="58"/>
  <c r="AB97" i="58" s="1"/>
  <c r="AH97" i="58"/>
  <c r="AA99" i="58"/>
  <c r="AB99" i="58" s="1"/>
  <c r="AH99" i="58"/>
  <c r="AE99" i="58"/>
  <c r="BB19" i="45"/>
  <c r="BA19" i="45"/>
  <c r="BC19" i="45"/>
  <c r="I48" i="69" l="1"/>
  <c r="D30" i="67"/>
  <c r="D61" i="67" s="1"/>
  <c r="D29" i="67"/>
  <c r="D60" i="67" s="1"/>
  <c r="I47" i="69"/>
  <c r="BM93" i="64"/>
  <c r="BN93" i="64" s="1"/>
  <c r="AV17" i="56"/>
  <c r="AU17" i="56"/>
  <c r="AT17" i="56"/>
  <c r="U95" i="58" s="1"/>
  <c r="AM17" i="56"/>
  <c r="AL17" i="56"/>
  <c r="S95" i="58" s="1"/>
  <c r="AE17" i="56"/>
  <c r="R95" i="58" s="1"/>
  <c r="AD17" i="56"/>
  <c r="Q95" i="58" s="1"/>
  <c r="W17" i="56"/>
  <c r="P95" i="58" s="1"/>
  <c r="V17" i="56"/>
  <c r="O95" i="58" s="1"/>
  <c r="AV16" i="56"/>
  <c r="AU16" i="56"/>
  <c r="AT16" i="56"/>
  <c r="U94" i="58" s="1"/>
  <c r="AM16" i="56"/>
  <c r="AL16" i="56"/>
  <c r="S94" i="58" s="1"/>
  <c r="AE16" i="56"/>
  <c r="R94" i="58" s="1"/>
  <c r="AD16" i="56"/>
  <c r="Q94" i="58" s="1"/>
  <c r="W16" i="56"/>
  <c r="P94" i="58" s="1"/>
  <c r="V16" i="56"/>
  <c r="O94" i="58" s="1"/>
  <c r="I17" i="56"/>
  <c r="E20" i="59" s="1"/>
  <c r="D43" i="60" s="1"/>
  <c r="I16" i="56"/>
  <c r="E19" i="59" s="1"/>
  <c r="D42" i="60" s="1"/>
  <c r="H17" i="56"/>
  <c r="H16" i="56"/>
  <c r="G17" i="56"/>
  <c r="Q20" i="59" s="1"/>
  <c r="E43" i="60" s="1"/>
  <c r="G16" i="56"/>
  <c r="Q19" i="59" s="1"/>
  <c r="E42" i="60" s="1"/>
  <c r="E17" i="56"/>
  <c r="E16" i="56"/>
  <c r="D17" i="56"/>
  <c r="D16" i="56"/>
  <c r="C16" i="56"/>
  <c r="B16" i="56"/>
  <c r="R20" i="59"/>
  <c r="R19" i="59"/>
  <c r="O95" i="38"/>
  <c r="O94" i="38"/>
  <c r="I46" i="69" l="1"/>
  <c r="D28" i="67"/>
  <c r="BO93" i="64"/>
  <c r="AY16" i="56"/>
  <c r="AZ16" i="56"/>
  <c r="L43" i="60"/>
  <c r="W94" i="58"/>
  <c r="X94" i="58" s="1"/>
  <c r="W95" i="58"/>
  <c r="X95" i="58" s="1"/>
  <c r="AX16" i="56"/>
  <c r="AZ17" i="56"/>
  <c r="AX17" i="56"/>
  <c r="AY17" i="56"/>
  <c r="AW16" i="56"/>
  <c r="AW17" i="56"/>
  <c r="Z91" i="64" l="1"/>
  <c r="AA91" i="64"/>
  <c r="J43" i="60"/>
  <c r="Z90" i="64"/>
  <c r="G44" i="69" s="1"/>
  <c r="AA90" i="64"/>
  <c r="C15" i="70"/>
  <c r="J46" i="69"/>
  <c r="E28" i="67"/>
  <c r="D59" i="67"/>
  <c r="K43" i="60"/>
  <c r="L42" i="60"/>
  <c r="L44" i="60" s="1"/>
  <c r="E44" i="62" s="1"/>
  <c r="K42" i="60"/>
  <c r="BG17" i="56"/>
  <c r="BC17" i="56"/>
  <c r="BF17" i="56"/>
  <c r="BB17" i="56"/>
  <c r="BH17" i="56"/>
  <c r="BD17" i="56"/>
  <c r="BB16" i="56"/>
  <c r="BF16" i="56"/>
  <c r="BC16" i="56"/>
  <c r="BG16" i="56"/>
  <c r="BD16" i="56"/>
  <c r="BH16" i="56"/>
  <c r="BA17" i="56"/>
  <c r="BE17" i="56"/>
  <c r="BA16" i="56"/>
  <c r="BE16" i="56"/>
  <c r="H44" i="69" l="1"/>
  <c r="D70" i="67"/>
  <c r="G12" i="63"/>
  <c r="F12" i="63"/>
  <c r="E12" i="63"/>
  <c r="K44" i="60"/>
  <c r="D44" i="62" s="1"/>
  <c r="BB18" i="56"/>
  <c r="BD18" i="56"/>
  <c r="BC18" i="56"/>
  <c r="BA18" i="56"/>
  <c r="I17" i="55"/>
  <c r="E90" i="59" s="1"/>
  <c r="D173" i="60" s="1"/>
  <c r="I18" i="55"/>
  <c r="E91" i="59" s="1"/>
  <c r="D174" i="60" s="1"/>
  <c r="I16" i="55"/>
  <c r="E89" i="59" s="1"/>
  <c r="D172" i="60" s="1"/>
  <c r="E17" i="55"/>
  <c r="E18" i="55"/>
  <c r="E16" i="55"/>
  <c r="D17" i="55"/>
  <c r="D18" i="55"/>
  <c r="D16" i="55"/>
  <c r="C16" i="55"/>
  <c r="B16" i="55"/>
  <c r="AU18" i="55"/>
  <c r="V93" i="58" s="1"/>
  <c r="AT18" i="55"/>
  <c r="U93" i="58" s="1"/>
  <c r="AM18" i="55"/>
  <c r="T93" i="58" s="1"/>
  <c r="V89" i="64" s="1"/>
  <c r="AL18" i="55"/>
  <c r="S93" i="58" s="1"/>
  <c r="AE18" i="55"/>
  <c r="R93" i="58" s="1"/>
  <c r="AD18" i="55"/>
  <c r="Q93" i="58" s="1"/>
  <c r="W18" i="55"/>
  <c r="P93" i="58" s="1"/>
  <c r="V18" i="55"/>
  <c r="O93" i="58" s="1"/>
  <c r="O18" i="55"/>
  <c r="R91" i="59" s="1"/>
  <c r="AU17" i="55"/>
  <c r="V92" i="58" s="1"/>
  <c r="AT17" i="55"/>
  <c r="U92" i="58" s="1"/>
  <c r="AM17" i="55"/>
  <c r="T92" i="58" s="1"/>
  <c r="V88" i="64" s="1"/>
  <c r="AL17" i="55"/>
  <c r="S92" i="58" s="1"/>
  <c r="AE17" i="55"/>
  <c r="R92" i="58" s="1"/>
  <c r="AD17" i="55"/>
  <c r="Q92" i="58" s="1"/>
  <c r="W17" i="55"/>
  <c r="V17" i="55"/>
  <c r="O92" i="58" s="1"/>
  <c r="O17" i="55"/>
  <c r="R90" i="59" s="1"/>
  <c r="AU16" i="55"/>
  <c r="V91" i="58" s="1"/>
  <c r="X87" i="64" s="1"/>
  <c r="AT16" i="55"/>
  <c r="U91" i="58" s="1"/>
  <c r="AM16" i="55"/>
  <c r="T91" i="58" s="1"/>
  <c r="V87" i="64" s="1"/>
  <c r="AL16" i="55"/>
  <c r="S91" i="58" s="1"/>
  <c r="AE16" i="55"/>
  <c r="R91" i="58" s="1"/>
  <c r="AD16" i="55"/>
  <c r="Q91" i="58" s="1"/>
  <c r="W16" i="55"/>
  <c r="V16" i="55"/>
  <c r="O91" i="58" s="1"/>
  <c r="O16" i="55"/>
  <c r="R89" i="59" s="1"/>
  <c r="O91" i="38"/>
  <c r="O92" i="38"/>
  <c r="O93" i="38"/>
  <c r="H12" i="63" l="1"/>
  <c r="I12" i="63" s="1"/>
  <c r="K173" i="60"/>
  <c r="L173" i="60"/>
  <c r="X93" i="58"/>
  <c r="L174" i="60"/>
  <c r="K174" i="60"/>
  <c r="AX16" i="55"/>
  <c r="BF16" i="55" s="1"/>
  <c r="P91" i="58"/>
  <c r="AW17" i="55"/>
  <c r="BE17" i="55" s="1"/>
  <c r="P92" i="58"/>
  <c r="AV16" i="55"/>
  <c r="W91" i="58" s="1"/>
  <c r="AX17" i="55"/>
  <c r="BF17" i="55" s="1"/>
  <c r="AZ17" i="55"/>
  <c r="BH17" i="55" s="1"/>
  <c r="AY16" i="55"/>
  <c r="BG16" i="55" s="1"/>
  <c r="AV17" i="55"/>
  <c r="W92" i="58" s="1"/>
  <c r="AV18" i="55"/>
  <c r="W93" i="58" s="1"/>
  <c r="AZ18" i="55"/>
  <c r="BH18" i="55" s="1"/>
  <c r="AW18" i="55"/>
  <c r="BE18" i="55" s="1"/>
  <c r="AZ16" i="55"/>
  <c r="BH16" i="55" s="1"/>
  <c r="AY17" i="55"/>
  <c r="BG17" i="55" s="1"/>
  <c r="AX18" i="55"/>
  <c r="BF18" i="55" s="1"/>
  <c r="AW16" i="55"/>
  <c r="BE16" i="55" s="1"/>
  <c r="AY18" i="55"/>
  <c r="BG18" i="55" s="1"/>
  <c r="J174" i="60" l="1"/>
  <c r="Z89" i="64"/>
  <c r="Y93" i="58"/>
  <c r="AA89" i="64" s="1"/>
  <c r="Z93" i="58"/>
  <c r="AH93" i="58" s="1"/>
  <c r="X92" i="58"/>
  <c r="X91" i="58"/>
  <c r="L172" i="60"/>
  <c r="L175" i="60" s="1"/>
  <c r="E59" i="62" s="1"/>
  <c r="K172" i="60"/>
  <c r="BB16" i="55"/>
  <c r="BD18" i="55"/>
  <c r="BC16" i="55"/>
  <c r="BB17" i="55"/>
  <c r="BD17" i="55"/>
  <c r="BA17" i="55"/>
  <c r="BA16" i="55"/>
  <c r="BA18" i="55"/>
  <c r="BB18" i="55"/>
  <c r="BC17" i="55"/>
  <c r="BC18" i="55"/>
  <c r="BD16" i="55"/>
  <c r="M174" i="60" l="1"/>
  <c r="J173" i="60"/>
  <c r="Z88" i="64"/>
  <c r="Y92" i="58"/>
  <c r="AA88" i="64" s="1"/>
  <c r="J172" i="60"/>
  <c r="Z87" i="64"/>
  <c r="Y91" i="58"/>
  <c r="AA87" i="64" s="1"/>
  <c r="K175" i="60"/>
  <c r="D59" i="62" s="1"/>
  <c r="G24" i="63"/>
  <c r="F24" i="63"/>
  <c r="E24" i="63"/>
  <c r="D24" i="63"/>
  <c r="AE93" i="58"/>
  <c r="AA93" i="58"/>
  <c r="Z91" i="58"/>
  <c r="AH91" i="58" s="1"/>
  <c r="M173" i="60"/>
  <c r="BB19" i="55"/>
  <c r="Z92" i="58"/>
  <c r="AA92" i="58" s="1"/>
  <c r="AE92" i="58"/>
  <c r="BD19" i="55"/>
  <c r="BC19" i="55"/>
  <c r="BA19" i="55"/>
  <c r="AE91" i="58" l="1"/>
  <c r="H24" i="63"/>
  <c r="I24" i="63" s="1"/>
  <c r="AA91" i="58"/>
  <c r="M172" i="60"/>
  <c r="M175" i="60" s="1"/>
  <c r="F59" i="62" s="1"/>
  <c r="C24" i="62" s="1"/>
  <c r="AH92" i="58"/>
  <c r="O17" i="54"/>
  <c r="R87" i="59" s="1"/>
  <c r="O18" i="54"/>
  <c r="R88" i="59" s="1"/>
  <c r="O16" i="54"/>
  <c r="R86" i="59" s="1"/>
  <c r="I17" i="54"/>
  <c r="E87" i="59" s="1"/>
  <c r="D165" i="60" s="1"/>
  <c r="I18" i="54"/>
  <c r="E88" i="59" s="1"/>
  <c r="D166" i="60" s="1"/>
  <c r="I16" i="54"/>
  <c r="E86" i="59" s="1"/>
  <c r="D164" i="60" s="1"/>
  <c r="H17" i="54"/>
  <c r="H18" i="54"/>
  <c r="H16" i="54"/>
  <c r="G17" i="54"/>
  <c r="Q87" i="59" s="1"/>
  <c r="E165" i="60" s="1"/>
  <c r="G18" i="54"/>
  <c r="Q88" i="59" s="1"/>
  <c r="E166" i="60" s="1"/>
  <c r="G16" i="54"/>
  <c r="Q86" i="59" s="1"/>
  <c r="E164" i="60" s="1"/>
  <c r="E17" i="54"/>
  <c r="E18" i="54"/>
  <c r="E16" i="54"/>
  <c r="D17" i="54"/>
  <c r="D18" i="54"/>
  <c r="D16" i="54"/>
  <c r="C16" i="54"/>
  <c r="B16" i="54"/>
  <c r="AU18" i="54"/>
  <c r="V90" i="58" s="1"/>
  <c r="AT18" i="54"/>
  <c r="U90" i="58" s="1"/>
  <c r="AM18" i="54"/>
  <c r="T90" i="58" s="1"/>
  <c r="V86" i="64" s="1"/>
  <c r="AL18" i="54"/>
  <c r="S90" i="58" s="1"/>
  <c r="AE18" i="54"/>
  <c r="R90" i="58" s="1"/>
  <c r="AD18" i="54"/>
  <c r="Q90" i="58" s="1"/>
  <c r="W18" i="54"/>
  <c r="P90" i="58" s="1"/>
  <c r="V18" i="54"/>
  <c r="O90" i="58" s="1"/>
  <c r="AU17" i="54"/>
  <c r="V89" i="58" s="1"/>
  <c r="AT17" i="54"/>
  <c r="U89" i="58" s="1"/>
  <c r="AM17" i="54"/>
  <c r="T89" i="58" s="1"/>
  <c r="V85" i="64" s="1"/>
  <c r="AL17" i="54"/>
  <c r="S89" i="58" s="1"/>
  <c r="AE17" i="54"/>
  <c r="R89" i="58" s="1"/>
  <c r="AD17" i="54"/>
  <c r="Q89" i="58" s="1"/>
  <c r="W17" i="54"/>
  <c r="P89" i="58" s="1"/>
  <c r="V17" i="54"/>
  <c r="O89" i="58" s="1"/>
  <c r="AU16" i="54"/>
  <c r="V88" i="58" s="1"/>
  <c r="AT16" i="54"/>
  <c r="U88" i="58" s="1"/>
  <c r="AM16" i="54"/>
  <c r="T88" i="58" s="1"/>
  <c r="V84" i="64" s="1"/>
  <c r="AL16" i="54"/>
  <c r="S88" i="58" s="1"/>
  <c r="AE16" i="54"/>
  <c r="R88" i="58" s="1"/>
  <c r="AD16" i="54"/>
  <c r="Q88" i="58" s="1"/>
  <c r="W16" i="54"/>
  <c r="P88" i="58" s="1"/>
  <c r="V16" i="54"/>
  <c r="O88" i="58" s="1"/>
  <c r="O90" i="38"/>
  <c r="O89" i="38"/>
  <c r="O88" i="38"/>
  <c r="O84" i="38"/>
  <c r="O83" i="38"/>
  <c r="O82" i="38"/>
  <c r="O81" i="38"/>
  <c r="O80" i="38"/>
  <c r="K165" i="60" l="1"/>
  <c r="L165" i="60"/>
  <c r="X88" i="58"/>
  <c r="X89" i="58"/>
  <c r="X90" i="58"/>
  <c r="AV18" i="54"/>
  <c r="W90" i="58" s="1"/>
  <c r="AZ16" i="54"/>
  <c r="BH16" i="54" s="1"/>
  <c r="AZ18" i="54"/>
  <c r="BH18" i="54" s="1"/>
  <c r="AV17" i="54"/>
  <c r="W89" i="58" s="1"/>
  <c r="AV16" i="54"/>
  <c r="W88" i="58" s="1"/>
  <c r="AZ17" i="54"/>
  <c r="AW18" i="54"/>
  <c r="BE18" i="54" s="1"/>
  <c r="AX16" i="54"/>
  <c r="BF16" i="54" s="1"/>
  <c r="AX17" i="54"/>
  <c r="BF17" i="54" s="1"/>
  <c r="AX18" i="54"/>
  <c r="BF18" i="54" s="1"/>
  <c r="AW16" i="54"/>
  <c r="BE16" i="54" s="1"/>
  <c r="AW17" i="54"/>
  <c r="BE17" i="54" s="1"/>
  <c r="AY16" i="54"/>
  <c r="BG16" i="54" s="1"/>
  <c r="AY17" i="54"/>
  <c r="BG17" i="54" s="1"/>
  <c r="AY18" i="54"/>
  <c r="BG18" i="54" s="1"/>
  <c r="J166" i="60" l="1"/>
  <c r="Z86" i="64"/>
  <c r="Y90" i="58"/>
  <c r="AA86" i="64" s="1"/>
  <c r="J165" i="60"/>
  <c r="Z85" i="64"/>
  <c r="Y89" i="58"/>
  <c r="AA85" i="64" s="1"/>
  <c r="J164" i="60"/>
  <c r="Z84" i="64"/>
  <c r="G43" i="69" s="1"/>
  <c r="Y88" i="58"/>
  <c r="AA84" i="64" s="1"/>
  <c r="H43" i="69" s="1"/>
  <c r="K164" i="60"/>
  <c r="L164" i="60"/>
  <c r="K166" i="60"/>
  <c r="L166" i="60"/>
  <c r="Z90" i="58"/>
  <c r="M166" i="60"/>
  <c r="BD16" i="54"/>
  <c r="Z89" i="58"/>
  <c r="M165" i="60"/>
  <c r="BD17" i="54"/>
  <c r="BH17" i="54"/>
  <c r="Z88" i="58"/>
  <c r="M164" i="60"/>
  <c r="BD18" i="54"/>
  <c r="BB17" i="54"/>
  <c r="BB16" i="54"/>
  <c r="BC16" i="54"/>
  <c r="BC18" i="54"/>
  <c r="BA17" i="54"/>
  <c r="BC17" i="54"/>
  <c r="BA16" i="54"/>
  <c r="BB18" i="54"/>
  <c r="BA18" i="54"/>
  <c r="G23" i="63" l="1"/>
  <c r="F23" i="63"/>
  <c r="E23" i="63"/>
  <c r="D23" i="63"/>
  <c r="M167" i="60"/>
  <c r="F58" i="62" s="1"/>
  <c r="F33" i="62" s="1"/>
  <c r="L167" i="60"/>
  <c r="E58" i="62" s="1"/>
  <c r="K167" i="60"/>
  <c r="D58" i="62" s="1"/>
  <c r="D60" i="62" s="1"/>
  <c r="AE89" i="58"/>
  <c r="AA89" i="58"/>
  <c r="AH89" i="58"/>
  <c r="AA88" i="58"/>
  <c r="AH88" i="58"/>
  <c r="BD19" i="54"/>
  <c r="AE90" i="58"/>
  <c r="AE88" i="58"/>
  <c r="AA90" i="58"/>
  <c r="AH90" i="58"/>
  <c r="BA19" i="54"/>
  <c r="BC19" i="54"/>
  <c r="BB19" i="54"/>
  <c r="E60" i="62" l="1"/>
  <c r="E33" i="62"/>
  <c r="AB88" i="58"/>
  <c r="H23" i="63"/>
  <c r="I23" i="63" s="1"/>
  <c r="C23" i="62"/>
  <c r="F60" i="62"/>
  <c r="D33" i="62"/>
  <c r="AV20" i="53"/>
  <c r="W84" i="58" s="1"/>
  <c r="AU20" i="53"/>
  <c r="AT20" i="53"/>
  <c r="U84" i="58" s="1"/>
  <c r="AM20" i="53"/>
  <c r="AL20" i="53"/>
  <c r="S84" i="58" s="1"/>
  <c r="AE20" i="53"/>
  <c r="R84" i="58" s="1"/>
  <c r="AD20" i="53"/>
  <c r="Q84" i="58" s="1"/>
  <c r="W20" i="53"/>
  <c r="P84" i="58" s="1"/>
  <c r="V20" i="53"/>
  <c r="O84" i="58" s="1"/>
  <c r="O17" i="53"/>
  <c r="R79" i="59" s="1"/>
  <c r="O18" i="53"/>
  <c r="R80" i="59" s="1"/>
  <c r="O19" i="53"/>
  <c r="R81" i="59" s="1"/>
  <c r="O20" i="53"/>
  <c r="R82" i="59" s="1"/>
  <c r="O16" i="53"/>
  <c r="R78" i="59" s="1"/>
  <c r="I17" i="53"/>
  <c r="E79" i="59" s="1"/>
  <c r="D155" i="60" s="1"/>
  <c r="I18" i="53"/>
  <c r="E80" i="59" s="1"/>
  <c r="D156" i="60" s="1"/>
  <c r="I19" i="53"/>
  <c r="E81" i="59" s="1"/>
  <c r="D157" i="60" s="1"/>
  <c r="I20" i="53"/>
  <c r="E82" i="59" s="1"/>
  <c r="D158" i="60" s="1"/>
  <c r="I16" i="53"/>
  <c r="E78" i="59" s="1"/>
  <c r="D154" i="60" s="1"/>
  <c r="H17" i="53"/>
  <c r="H18" i="53"/>
  <c r="H19" i="53"/>
  <c r="H20" i="53"/>
  <c r="H16" i="53"/>
  <c r="G17" i="53"/>
  <c r="Q79" i="59" s="1"/>
  <c r="E155" i="60" s="1"/>
  <c r="G18" i="53"/>
  <c r="Q80" i="59" s="1"/>
  <c r="E156" i="60" s="1"/>
  <c r="G19" i="53"/>
  <c r="Q81" i="59" s="1"/>
  <c r="E157" i="60" s="1"/>
  <c r="G20" i="53"/>
  <c r="Q82" i="59" s="1"/>
  <c r="E158" i="60" s="1"/>
  <c r="G16" i="53"/>
  <c r="Q78" i="59" s="1"/>
  <c r="E154" i="60" s="1"/>
  <c r="E17" i="53"/>
  <c r="E18" i="53"/>
  <c r="E19" i="53"/>
  <c r="E16" i="53"/>
  <c r="D18" i="53"/>
  <c r="D19" i="53"/>
  <c r="D17" i="53"/>
  <c r="D16" i="53"/>
  <c r="C16" i="53"/>
  <c r="B16" i="53"/>
  <c r="AV19" i="53"/>
  <c r="W83" i="58" s="1"/>
  <c r="AU19" i="53"/>
  <c r="AT19" i="53"/>
  <c r="U83" i="58" s="1"/>
  <c r="AM19" i="53"/>
  <c r="AL19" i="53"/>
  <c r="S83" i="58" s="1"/>
  <c r="AE19" i="53"/>
  <c r="R83" i="58" s="1"/>
  <c r="AD19" i="53"/>
  <c r="Q83" i="58" s="1"/>
  <c r="W19" i="53"/>
  <c r="P83" i="58" s="1"/>
  <c r="V19" i="53"/>
  <c r="O83" i="58" s="1"/>
  <c r="AV18" i="53"/>
  <c r="W82" i="58" s="1"/>
  <c r="AU18" i="53"/>
  <c r="AT18" i="53"/>
  <c r="U82" i="58" s="1"/>
  <c r="AM18" i="53"/>
  <c r="AL18" i="53"/>
  <c r="S82" i="58" s="1"/>
  <c r="AE18" i="53"/>
  <c r="R82" i="58" s="1"/>
  <c r="AD18" i="53"/>
  <c r="Q82" i="58" s="1"/>
  <c r="W18" i="53"/>
  <c r="P82" i="58" s="1"/>
  <c r="V18" i="53"/>
  <c r="O82" i="58" s="1"/>
  <c r="AV17" i="53"/>
  <c r="AU17" i="53"/>
  <c r="AT17" i="53"/>
  <c r="U81" i="58" s="1"/>
  <c r="AM17" i="53"/>
  <c r="AL17" i="53"/>
  <c r="S81" i="58" s="1"/>
  <c r="AE17" i="53"/>
  <c r="R81" i="58" s="1"/>
  <c r="AD17" i="53"/>
  <c r="Q81" i="58" s="1"/>
  <c r="W17" i="53"/>
  <c r="P81" i="58" s="1"/>
  <c r="V17" i="53"/>
  <c r="O81" i="58" s="1"/>
  <c r="AV16" i="53"/>
  <c r="AU16" i="53"/>
  <c r="AT16" i="53"/>
  <c r="U80" i="58" s="1"/>
  <c r="AM16" i="53"/>
  <c r="AL16" i="53"/>
  <c r="S80" i="58" s="1"/>
  <c r="AE16" i="53"/>
  <c r="R80" i="58" s="1"/>
  <c r="AD16" i="53"/>
  <c r="Q80" i="58" s="1"/>
  <c r="W16" i="53"/>
  <c r="P80" i="58" s="1"/>
  <c r="V16" i="53"/>
  <c r="O80" i="58" s="1"/>
  <c r="AY16" i="53" l="1"/>
  <c r="AZ16" i="53"/>
  <c r="X84" i="58"/>
  <c r="X82" i="58"/>
  <c r="X83" i="58"/>
  <c r="L157" i="60"/>
  <c r="W80" i="58"/>
  <c r="X80" i="58" s="1"/>
  <c r="AY19" i="53"/>
  <c r="AY17" i="53"/>
  <c r="AW18" i="53"/>
  <c r="AZ20" i="53"/>
  <c r="AZ17" i="53"/>
  <c r="AW19" i="53"/>
  <c r="AW17" i="53"/>
  <c r="AZ18" i="53"/>
  <c r="AW16" i="53"/>
  <c r="AY20" i="53"/>
  <c r="AY18" i="53"/>
  <c r="AW20" i="53"/>
  <c r="AZ19" i="53"/>
  <c r="W81" i="58"/>
  <c r="X81" i="58" s="1"/>
  <c r="AX19" i="53"/>
  <c r="AX17" i="53"/>
  <c r="AX20" i="53"/>
  <c r="AX18" i="53"/>
  <c r="AX16" i="53"/>
  <c r="Z77" i="64" l="1"/>
  <c r="AA77" i="64"/>
  <c r="Z79" i="64"/>
  <c r="AA79" i="64"/>
  <c r="Z78" i="64"/>
  <c r="AA78" i="64"/>
  <c r="Z80" i="64"/>
  <c r="AA80" i="64"/>
  <c r="Z76" i="64"/>
  <c r="G41" i="69" s="1"/>
  <c r="AA76" i="64"/>
  <c r="H41" i="69" s="1"/>
  <c r="L156" i="60"/>
  <c r="K157" i="60"/>
  <c r="K154" i="60"/>
  <c r="L154" i="60"/>
  <c r="K156" i="60"/>
  <c r="L155" i="60"/>
  <c r="K155" i="60"/>
  <c r="K158" i="60"/>
  <c r="L158" i="60"/>
  <c r="BF16" i="53"/>
  <c r="BB16" i="53"/>
  <c r="BH19" i="53"/>
  <c r="BD19" i="53"/>
  <c r="BA19" i="53"/>
  <c r="BE19" i="53"/>
  <c r="BE20" i="53"/>
  <c r="BA20" i="53"/>
  <c r="BH17" i="53"/>
  <c r="BD17" i="53"/>
  <c r="BG16" i="53"/>
  <c r="BC16" i="53"/>
  <c r="BH16" i="53"/>
  <c r="BD16" i="53"/>
  <c r="BG18" i="53"/>
  <c r="BC18" i="53"/>
  <c r="BH20" i="53"/>
  <c r="BD20" i="53"/>
  <c r="BF18" i="53"/>
  <c r="BB18" i="53"/>
  <c r="BF20" i="53"/>
  <c r="BB20" i="53"/>
  <c r="BG20" i="53"/>
  <c r="BC20" i="53"/>
  <c r="BE18" i="53"/>
  <c r="BA18" i="53"/>
  <c r="BF17" i="53"/>
  <c r="BB17" i="53"/>
  <c r="BE16" i="53"/>
  <c r="BA16" i="53"/>
  <c r="BG17" i="53"/>
  <c r="BC17" i="53"/>
  <c r="BH18" i="53"/>
  <c r="BD18" i="53"/>
  <c r="BC19" i="53"/>
  <c r="BG19" i="53"/>
  <c r="BF19" i="53"/>
  <c r="BB19" i="53"/>
  <c r="BA17" i="53"/>
  <c r="BE17" i="53"/>
  <c r="AV17" i="52"/>
  <c r="AU17" i="52"/>
  <c r="AT17" i="52"/>
  <c r="U77" i="58" s="1"/>
  <c r="AU16" i="52"/>
  <c r="AT16" i="52"/>
  <c r="U76" i="58" s="1"/>
  <c r="AM17" i="52"/>
  <c r="AL17" i="52"/>
  <c r="S77" i="58" s="1"/>
  <c r="AM16" i="52"/>
  <c r="AL16" i="52"/>
  <c r="S76" i="58" s="1"/>
  <c r="AD17" i="52"/>
  <c r="Q77" i="58" s="1"/>
  <c r="AE16" i="52"/>
  <c r="R76" i="58" s="1"/>
  <c r="AD16" i="52"/>
  <c r="Q76" i="58" s="1"/>
  <c r="W17" i="52"/>
  <c r="P77" i="58" s="1"/>
  <c r="V17" i="52"/>
  <c r="O77" i="58" s="1"/>
  <c r="W16" i="52"/>
  <c r="P76" i="58" s="1"/>
  <c r="V16" i="52"/>
  <c r="O76" i="58" s="1"/>
  <c r="D22" i="63" l="1"/>
  <c r="G22" i="63"/>
  <c r="F22" i="63"/>
  <c r="E22" i="63"/>
  <c r="AY16" i="52"/>
  <c r="AZ16" i="52"/>
  <c r="BD21" i="53"/>
  <c r="K159" i="60"/>
  <c r="D56" i="62" s="1"/>
  <c r="L159" i="60"/>
  <c r="E56" i="62" s="1"/>
  <c r="K145" i="60"/>
  <c r="BA21" i="53"/>
  <c r="BC21" i="53"/>
  <c r="BB21" i="53"/>
  <c r="W77" i="58"/>
  <c r="X77" i="58" s="1"/>
  <c r="AY17" i="52"/>
  <c r="AX17" i="52"/>
  <c r="AW17" i="52"/>
  <c r="AW16" i="52"/>
  <c r="AZ17" i="52"/>
  <c r="AX16" i="52"/>
  <c r="G19" i="52"/>
  <c r="Q77" i="59" s="1"/>
  <c r="E148" i="60" s="1"/>
  <c r="G17" i="52"/>
  <c r="Q75" i="59" s="1"/>
  <c r="E146" i="60" s="1"/>
  <c r="G18" i="52"/>
  <c r="Q76" i="59" s="1"/>
  <c r="E147" i="60" s="1"/>
  <c r="G16" i="52"/>
  <c r="Q74" i="59" s="1"/>
  <c r="E145" i="60" s="1"/>
  <c r="O19" i="52"/>
  <c r="R77" i="59" s="1"/>
  <c r="O17" i="52"/>
  <c r="R75" i="59" s="1"/>
  <c r="O18" i="52"/>
  <c r="R76" i="59" s="1"/>
  <c r="O16" i="52"/>
  <c r="R74" i="59" s="1"/>
  <c r="I17" i="52"/>
  <c r="E75" i="59" s="1"/>
  <c r="D146" i="60" s="1"/>
  <c r="I18" i="52"/>
  <c r="E76" i="59" s="1"/>
  <c r="D147" i="60" s="1"/>
  <c r="I19" i="52"/>
  <c r="E77" i="59" s="1"/>
  <c r="D148" i="60" s="1"/>
  <c r="I16" i="52"/>
  <c r="E74" i="59" s="1"/>
  <c r="D145" i="60" s="1"/>
  <c r="H17" i="52"/>
  <c r="H18" i="52"/>
  <c r="H19" i="52"/>
  <c r="H16" i="52"/>
  <c r="E17" i="52"/>
  <c r="E18" i="52"/>
  <c r="E19" i="52"/>
  <c r="E16" i="52"/>
  <c r="D18" i="52"/>
  <c r="D19" i="52"/>
  <c r="D17" i="52"/>
  <c r="D16" i="52"/>
  <c r="C16" i="52"/>
  <c r="B16" i="52"/>
  <c r="AU19" i="52"/>
  <c r="V79" i="58" s="1"/>
  <c r="AT19" i="52"/>
  <c r="U79" i="58" s="1"/>
  <c r="AM19" i="52"/>
  <c r="T79" i="58" s="1"/>
  <c r="V75" i="64" s="1"/>
  <c r="AL19" i="52"/>
  <c r="S79" i="58" s="1"/>
  <c r="AE19" i="52"/>
  <c r="R79" i="58" s="1"/>
  <c r="AD19" i="52"/>
  <c r="Q79" i="58" s="1"/>
  <c r="W19" i="52"/>
  <c r="P79" i="58" s="1"/>
  <c r="V19" i="52"/>
  <c r="O79" i="58" s="1"/>
  <c r="AU18" i="52"/>
  <c r="V78" i="58" s="1"/>
  <c r="AT18" i="52"/>
  <c r="U78" i="58" s="1"/>
  <c r="AM18" i="52"/>
  <c r="T78" i="58" s="1"/>
  <c r="V74" i="64" s="1"/>
  <c r="AL18" i="52"/>
  <c r="S78" i="58" s="1"/>
  <c r="AE18" i="52"/>
  <c r="R78" i="58" s="1"/>
  <c r="AD18" i="52"/>
  <c r="Q78" i="58" s="1"/>
  <c r="W18" i="52"/>
  <c r="P78" i="58" s="1"/>
  <c r="V18" i="52"/>
  <c r="O78" i="58" s="1"/>
  <c r="AV16" i="52"/>
  <c r="W76" i="58" s="1"/>
  <c r="X76" i="58" s="1"/>
  <c r="O79" i="38"/>
  <c r="O78" i="38"/>
  <c r="O76" i="38"/>
  <c r="O77" i="38"/>
  <c r="Z73" i="64" l="1"/>
  <c r="G39" i="69" s="1"/>
  <c r="AA73" i="64"/>
  <c r="H39" i="69" s="1"/>
  <c r="Z72" i="64"/>
  <c r="G38" i="69" s="1"/>
  <c r="AA72" i="64"/>
  <c r="H38" i="69" s="1"/>
  <c r="H22" i="63"/>
  <c r="I22" i="63" s="1"/>
  <c r="L145" i="60"/>
  <c r="K146" i="60"/>
  <c r="L146" i="60"/>
  <c r="X79" i="58"/>
  <c r="BH16" i="52"/>
  <c r="BD16" i="52"/>
  <c r="BF17" i="52"/>
  <c r="BB17" i="52"/>
  <c r="BG17" i="52"/>
  <c r="BC17" i="52"/>
  <c r="BF16" i="52"/>
  <c r="BB16" i="52"/>
  <c r="X78" i="58"/>
  <c r="BG16" i="52"/>
  <c r="BC16" i="52"/>
  <c r="BH17" i="52"/>
  <c r="BD17" i="52"/>
  <c r="BE16" i="52"/>
  <c r="BA16" i="52"/>
  <c r="BE17" i="52"/>
  <c r="BA17" i="52"/>
  <c r="AV19" i="52"/>
  <c r="W79" i="58" s="1"/>
  <c r="AV18" i="52"/>
  <c r="W78" i="58" s="1"/>
  <c r="AY18" i="52"/>
  <c r="BG18" i="52" s="1"/>
  <c r="AX18" i="52"/>
  <c r="BF18" i="52" s="1"/>
  <c r="AW18" i="52"/>
  <c r="BE18" i="52" s="1"/>
  <c r="AZ18" i="52"/>
  <c r="BH18" i="52" s="1"/>
  <c r="AY19" i="52"/>
  <c r="BG19" i="52" s="1"/>
  <c r="AX19" i="52"/>
  <c r="BF19" i="52" s="1"/>
  <c r="AW19" i="52"/>
  <c r="BE19" i="52" s="1"/>
  <c r="AZ19" i="52"/>
  <c r="BH19" i="52" s="1"/>
  <c r="J148" i="60" l="1"/>
  <c r="Z75" i="64"/>
  <c r="BL75" i="64" s="1"/>
  <c r="BM75" i="64" s="1"/>
  <c r="Y79" i="58"/>
  <c r="AA75" i="64" s="1"/>
  <c r="Z74" i="64"/>
  <c r="Y78" i="58"/>
  <c r="AA74" i="64" s="1"/>
  <c r="H40" i="69" s="1"/>
  <c r="J147" i="60"/>
  <c r="Z79" i="58"/>
  <c r="AH79" i="58" s="1"/>
  <c r="M148" i="60"/>
  <c r="K148" i="60"/>
  <c r="L148" i="60"/>
  <c r="L147" i="60"/>
  <c r="K147" i="60"/>
  <c r="G21" i="63" s="1"/>
  <c r="Z78" i="58"/>
  <c r="BA19" i="52"/>
  <c r="BC18" i="52"/>
  <c r="BB19" i="52"/>
  <c r="BC19" i="52"/>
  <c r="BA18" i="52"/>
  <c r="BD19" i="52"/>
  <c r="BD18" i="52"/>
  <c r="BB18" i="52"/>
  <c r="G40" i="69" l="1"/>
  <c r="BL74" i="64"/>
  <c r="BM74" i="64" s="1"/>
  <c r="F21" i="63"/>
  <c r="E21" i="63"/>
  <c r="D21" i="63"/>
  <c r="K149" i="60"/>
  <c r="D55" i="62" s="1"/>
  <c r="L149" i="60"/>
  <c r="E55" i="62" s="1"/>
  <c r="AA79" i="58"/>
  <c r="AE79" i="58"/>
  <c r="AE78" i="58"/>
  <c r="M147" i="60"/>
  <c r="AA78" i="58"/>
  <c r="AH78" i="58"/>
  <c r="BD20" i="52"/>
  <c r="BC20" i="52"/>
  <c r="BB20" i="52"/>
  <c r="BA20" i="52"/>
  <c r="H21" i="63" l="1"/>
  <c r="I21" i="63" s="1"/>
  <c r="O17" i="51"/>
  <c r="R68" i="59" s="1"/>
  <c r="O18" i="51"/>
  <c r="R69" i="59" s="1"/>
  <c r="O16" i="51"/>
  <c r="R67" i="59" s="1"/>
  <c r="I17" i="51"/>
  <c r="E68" i="59" s="1"/>
  <c r="D129" i="60" s="1"/>
  <c r="I18" i="51"/>
  <c r="E69" i="59" s="1"/>
  <c r="D130" i="60" s="1"/>
  <c r="I16" i="51"/>
  <c r="E67" i="59" s="1"/>
  <c r="D128" i="60" s="1"/>
  <c r="H18" i="51"/>
  <c r="H17" i="51"/>
  <c r="H16" i="51"/>
  <c r="G17" i="51"/>
  <c r="Q68" i="59" s="1"/>
  <c r="G18" i="51"/>
  <c r="Q69" i="59" s="1"/>
  <c r="G16" i="51"/>
  <c r="Q67" i="59" s="1"/>
  <c r="E128" i="60" s="1"/>
  <c r="E17" i="51"/>
  <c r="E18" i="51"/>
  <c r="E16" i="51"/>
  <c r="D17" i="51"/>
  <c r="D18" i="51"/>
  <c r="D16" i="51"/>
  <c r="C16" i="51"/>
  <c r="B16" i="51"/>
  <c r="AU18" i="51"/>
  <c r="V74" i="58" s="1"/>
  <c r="X70" i="64" s="1"/>
  <c r="AT18" i="51"/>
  <c r="U74" i="58" s="1"/>
  <c r="W70" i="64" s="1"/>
  <c r="AM18" i="51"/>
  <c r="T74" i="58" s="1"/>
  <c r="V70" i="64" s="1"/>
  <c r="AL18" i="51"/>
  <c r="S74" i="58" s="1"/>
  <c r="U70" i="64" s="1"/>
  <c r="AE18" i="51"/>
  <c r="AD18" i="51"/>
  <c r="Q74" i="58" s="1"/>
  <c r="W18" i="51"/>
  <c r="V18" i="51"/>
  <c r="O74" i="58" s="1"/>
  <c r="AU17" i="51"/>
  <c r="AT17" i="51"/>
  <c r="U73" i="58" s="1"/>
  <c r="W69" i="64" s="1"/>
  <c r="AM17" i="51"/>
  <c r="T73" i="58" s="1"/>
  <c r="V69" i="64" s="1"/>
  <c r="AL17" i="51"/>
  <c r="S73" i="58" s="1"/>
  <c r="U69" i="64" s="1"/>
  <c r="AE17" i="51"/>
  <c r="AD17" i="51"/>
  <c r="Q73" i="58" s="1"/>
  <c r="W17" i="51"/>
  <c r="V17" i="51"/>
  <c r="O73" i="58" s="1"/>
  <c r="AU16" i="51"/>
  <c r="V72" i="58" s="1"/>
  <c r="X68" i="64" s="1"/>
  <c r="AT16" i="51"/>
  <c r="U72" i="58" s="1"/>
  <c r="W68" i="64" s="1"/>
  <c r="AM16" i="51"/>
  <c r="T72" i="58" s="1"/>
  <c r="V68" i="64" s="1"/>
  <c r="AL16" i="51"/>
  <c r="S72" i="58" s="1"/>
  <c r="U68" i="64" s="1"/>
  <c r="AE16" i="51"/>
  <c r="R72" i="58" s="1"/>
  <c r="AD16" i="51"/>
  <c r="Q72" i="58" s="1"/>
  <c r="W16" i="51"/>
  <c r="V16" i="51"/>
  <c r="O72" i="58" s="1"/>
  <c r="O73" i="38"/>
  <c r="O74" i="38"/>
  <c r="S68" i="64" l="1"/>
  <c r="Q70" i="64"/>
  <c r="Q69" i="64"/>
  <c r="S69" i="64"/>
  <c r="Q68" i="64"/>
  <c r="T68" i="64"/>
  <c r="S70" i="64"/>
  <c r="E130" i="60"/>
  <c r="E122" i="60"/>
  <c r="E129" i="60"/>
  <c r="E121" i="60"/>
  <c r="P72" i="58"/>
  <c r="AW16" i="51"/>
  <c r="P73" i="58"/>
  <c r="AW17" i="51"/>
  <c r="P74" i="58"/>
  <c r="AW18" i="51"/>
  <c r="R74" i="58"/>
  <c r="AX18" i="51"/>
  <c r="AY18" i="51"/>
  <c r="AZ18" i="51"/>
  <c r="R73" i="58"/>
  <c r="AX17" i="51"/>
  <c r="AY17" i="51"/>
  <c r="AZ17" i="51"/>
  <c r="BH17" i="51" s="1"/>
  <c r="V73" i="58"/>
  <c r="X69" i="64" s="1"/>
  <c r="AX16" i="51"/>
  <c r="BF16" i="51" s="1"/>
  <c r="AY16" i="51"/>
  <c r="BG16" i="51" s="1"/>
  <c r="AZ16" i="51"/>
  <c r="AV17" i="51"/>
  <c r="W73" i="58" s="1"/>
  <c r="Y69" i="64" s="1"/>
  <c r="AV18" i="51"/>
  <c r="W74" i="58" s="1"/>
  <c r="Y70" i="64" s="1"/>
  <c r="AV16" i="51"/>
  <c r="W72" i="58" s="1"/>
  <c r="Y68" i="64" s="1"/>
  <c r="F36" i="69" s="1"/>
  <c r="R70" i="64" l="1"/>
  <c r="R69" i="64"/>
  <c r="T69" i="64"/>
  <c r="R68" i="64"/>
  <c r="BL68" i="64" s="1"/>
  <c r="L128" i="60"/>
  <c r="T70" i="64"/>
  <c r="X74" i="58"/>
  <c r="X72" i="58"/>
  <c r="K128" i="60"/>
  <c r="K130" i="60"/>
  <c r="L130" i="60"/>
  <c r="L129" i="60"/>
  <c r="K129" i="60"/>
  <c r="BE18" i="51"/>
  <c r="BA18" i="51"/>
  <c r="BA17" i="51"/>
  <c r="BE17" i="51"/>
  <c r="BE16" i="51"/>
  <c r="BA16" i="51"/>
  <c r="X73" i="58"/>
  <c r="BD17" i="51"/>
  <c r="BH18" i="51"/>
  <c r="BD18" i="51"/>
  <c r="BG18" i="51"/>
  <c r="BC18" i="51"/>
  <c r="BF18" i="51"/>
  <c r="BB18" i="51"/>
  <c r="BC17" i="51"/>
  <c r="BG17" i="51"/>
  <c r="BF17" i="51"/>
  <c r="BB17" i="51"/>
  <c r="BB16" i="51"/>
  <c r="BD16" i="51"/>
  <c r="BH16" i="51"/>
  <c r="BC16" i="51"/>
  <c r="L131" i="60" l="1"/>
  <c r="E53" i="62" s="1"/>
  <c r="BM68" i="64"/>
  <c r="J129" i="60"/>
  <c r="Z69" i="64"/>
  <c r="Y73" i="58"/>
  <c r="AA69" i="64" s="1"/>
  <c r="J128" i="60"/>
  <c r="Z68" i="64"/>
  <c r="Y72" i="58"/>
  <c r="AA68" i="64" s="1"/>
  <c r="H36" i="69" s="1"/>
  <c r="BL69" i="64"/>
  <c r="BM69" i="64" s="1"/>
  <c r="K131" i="60"/>
  <c r="D53" i="62" s="1"/>
  <c r="J130" i="60"/>
  <c r="Z70" i="64"/>
  <c r="Y74" i="58"/>
  <c r="AA70" i="64" s="1"/>
  <c r="BK68" i="64"/>
  <c r="Z72" i="58"/>
  <c r="AA72" i="58" s="1"/>
  <c r="Z74" i="58"/>
  <c r="AH74" i="58" s="1"/>
  <c r="G19" i="63"/>
  <c r="F19" i="63"/>
  <c r="E19" i="63"/>
  <c r="D19" i="63"/>
  <c r="Z73" i="58"/>
  <c r="AH73" i="58" s="1"/>
  <c r="BD19" i="51"/>
  <c r="BA19" i="51"/>
  <c r="BC19" i="51"/>
  <c r="BB19" i="51"/>
  <c r="O16" i="50"/>
  <c r="R70" i="59" s="1"/>
  <c r="I16" i="50"/>
  <c r="E70" i="59" s="1"/>
  <c r="D136" i="60" s="1"/>
  <c r="H16" i="50"/>
  <c r="G16" i="50"/>
  <c r="Q70" i="59" s="1"/>
  <c r="E136" i="60" s="1"/>
  <c r="D16" i="50"/>
  <c r="O75" i="38"/>
  <c r="AU17" i="37"/>
  <c r="V57" i="58" s="1"/>
  <c r="AT17" i="37"/>
  <c r="U57" i="58" s="1"/>
  <c r="AM17" i="37"/>
  <c r="T57" i="58" s="1"/>
  <c r="V53" i="64" s="1"/>
  <c r="AL17" i="37"/>
  <c r="S57" i="58" s="1"/>
  <c r="AE17" i="37"/>
  <c r="R57" i="58" s="1"/>
  <c r="AD17" i="37"/>
  <c r="Q57" i="58" s="1"/>
  <c r="W17" i="37"/>
  <c r="P57" i="58" s="1"/>
  <c r="V17" i="37"/>
  <c r="O57" i="58" s="1"/>
  <c r="H19" i="63" l="1"/>
  <c r="I19" i="63" s="1"/>
  <c r="G36" i="69"/>
  <c r="AA74" i="58"/>
  <c r="AH72" i="58"/>
  <c r="M128" i="60"/>
  <c r="M130" i="60"/>
  <c r="BK69" i="64"/>
  <c r="BL70" i="64"/>
  <c r="BM70" i="64" s="1"/>
  <c r="BK70" i="64"/>
  <c r="AE72" i="58"/>
  <c r="AE74" i="58"/>
  <c r="AA73" i="58"/>
  <c r="X57" i="58"/>
  <c r="AE73" i="58"/>
  <c r="M129" i="60"/>
  <c r="C16" i="50"/>
  <c r="B16" i="50"/>
  <c r="AU16" i="50"/>
  <c r="AT16" i="50"/>
  <c r="U75" i="58" s="1"/>
  <c r="W71" i="64" s="1"/>
  <c r="AM16" i="50"/>
  <c r="AL16" i="50"/>
  <c r="S75" i="58" s="1"/>
  <c r="U71" i="64" s="1"/>
  <c r="AE16" i="50"/>
  <c r="R75" i="58" s="1"/>
  <c r="AD16" i="50"/>
  <c r="Q75" i="58" s="1"/>
  <c r="W16" i="50"/>
  <c r="V16" i="50"/>
  <c r="O75" i="58" s="1"/>
  <c r="O72" i="38"/>
  <c r="J14" i="60" l="1"/>
  <c r="Z53" i="64"/>
  <c r="G25" i="69" s="1"/>
  <c r="Y57" i="58"/>
  <c r="AA53" i="64" s="1"/>
  <c r="H25" i="69" s="1"/>
  <c r="AZ16" i="50"/>
  <c r="S71" i="64"/>
  <c r="T71" i="64"/>
  <c r="Q71" i="64"/>
  <c r="M131" i="60"/>
  <c r="F53" i="62" s="1"/>
  <c r="C19" i="62" s="1"/>
  <c r="K14" i="60"/>
  <c r="Z57" i="58"/>
  <c r="AA57" i="58" s="1"/>
  <c r="L14" i="60"/>
  <c r="P75" i="58"/>
  <c r="AW16" i="50"/>
  <c r="AX16" i="50"/>
  <c r="BF16" i="50" s="1"/>
  <c r="AY16" i="50"/>
  <c r="BG16" i="50" s="1"/>
  <c r="AV16" i="50"/>
  <c r="R71" i="64" l="1"/>
  <c r="BL71" i="64" s="1"/>
  <c r="W75" i="58"/>
  <c r="Y71" i="64" s="1"/>
  <c r="F37" i="69" s="1"/>
  <c r="AZ19" i="50"/>
  <c r="BH19" i="50" s="1"/>
  <c r="AZ18" i="50"/>
  <c r="BH18" i="50" s="1"/>
  <c r="X75" i="58"/>
  <c r="L136" i="60"/>
  <c r="K136" i="60"/>
  <c r="K140" i="60" s="1"/>
  <c r="BE16" i="50"/>
  <c r="BA16" i="50"/>
  <c r="BC16" i="50"/>
  <c r="BH16" i="50"/>
  <c r="BD16" i="50"/>
  <c r="BB16" i="50"/>
  <c r="BB20" i="50" s="1"/>
  <c r="J136" i="60" l="1"/>
  <c r="Z71" i="64"/>
  <c r="G37" i="69" s="1"/>
  <c r="Y75" i="58"/>
  <c r="AA71" i="64" s="1"/>
  <c r="H37" i="69" s="1"/>
  <c r="L140" i="60"/>
  <c r="E54" i="62" s="1"/>
  <c r="BM71" i="64"/>
  <c r="BN66" i="64" s="1"/>
  <c r="BK71" i="64"/>
  <c r="D54" i="62"/>
  <c r="D20" i="63"/>
  <c r="E20" i="63"/>
  <c r="G20" i="63"/>
  <c r="F20" i="63"/>
  <c r="BD18" i="50"/>
  <c r="BD17" i="50"/>
  <c r="BD19" i="50"/>
  <c r="BC19" i="50"/>
  <c r="BC20" i="50"/>
  <c r="Z75" i="58"/>
  <c r="AH75" i="58" s="1"/>
  <c r="BA20" i="50"/>
  <c r="M136" i="60" l="1"/>
  <c r="M140" i="60" s="1"/>
  <c r="F54" i="62" s="1"/>
  <c r="D24" i="67"/>
  <c r="I35" i="69"/>
  <c r="H20" i="63"/>
  <c r="I20" i="63" s="1"/>
  <c r="AA75" i="58"/>
  <c r="BD20" i="50"/>
  <c r="AE75" i="58"/>
  <c r="O17" i="48"/>
  <c r="R66" i="59" s="1"/>
  <c r="O16" i="48"/>
  <c r="R65" i="59" s="1"/>
  <c r="H17" i="48"/>
  <c r="H16" i="48"/>
  <c r="G17" i="48"/>
  <c r="G16" i="48"/>
  <c r="E17" i="48"/>
  <c r="E16" i="48"/>
  <c r="D17" i="48"/>
  <c r="D16" i="48"/>
  <c r="C16" i="48"/>
  <c r="B16" i="48"/>
  <c r="AV17" i="48"/>
  <c r="AU17" i="48"/>
  <c r="AT17" i="48"/>
  <c r="U71" i="58" s="1"/>
  <c r="AM17" i="48"/>
  <c r="AL17" i="48"/>
  <c r="S71" i="58" s="1"/>
  <c r="AE17" i="48"/>
  <c r="R71" i="58" s="1"/>
  <c r="AD17" i="48"/>
  <c r="Q71" i="58" s="1"/>
  <c r="W17" i="48"/>
  <c r="P71" i="58" s="1"/>
  <c r="V17" i="48"/>
  <c r="O71" i="58" s="1"/>
  <c r="I17" i="48"/>
  <c r="E66" i="59" s="1"/>
  <c r="D122" i="60" s="1"/>
  <c r="AV16" i="48"/>
  <c r="AU16" i="48"/>
  <c r="AT16" i="48"/>
  <c r="U70" i="58" s="1"/>
  <c r="AM16" i="48"/>
  <c r="AL16" i="48"/>
  <c r="S70" i="58" s="1"/>
  <c r="AE16" i="48"/>
  <c r="R70" i="58" s="1"/>
  <c r="AD16" i="48"/>
  <c r="Q70" i="58" s="1"/>
  <c r="W16" i="48"/>
  <c r="P70" i="58" s="1"/>
  <c r="V16" i="48"/>
  <c r="O70" i="58" s="1"/>
  <c r="I16" i="48"/>
  <c r="E65" i="59" s="1"/>
  <c r="D121" i="60" s="1"/>
  <c r="O71" i="38"/>
  <c r="O70" i="38"/>
  <c r="D55" i="67" l="1"/>
  <c r="BC17" i="48"/>
  <c r="BD17" i="48"/>
  <c r="P65" i="59"/>
  <c r="Q65" i="59"/>
  <c r="P66" i="59"/>
  <c r="Q66" i="59"/>
  <c r="L122" i="60"/>
  <c r="K122" i="60"/>
  <c r="W70" i="58"/>
  <c r="X70" i="58" s="1"/>
  <c r="W71" i="58"/>
  <c r="X71" i="58" s="1"/>
  <c r="AW17" i="48"/>
  <c r="AX16" i="48"/>
  <c r="AX17" i="48"/>
  <c r="Z67" i="64" l="1"/>
  <c r="AA67" i="64"/>
  <c r="Z66" i="64"/>
  <c r="G35" i="69" s="1"/>
  <c r="AA66" i="64"/>
  <c r="L121" i="60"/>
  <c r="L123" i="60" s="1"/>
  <c r="E52" i="62" s="1"/>
  <c r="K121" i="60"/>
  <c r="BF17" i="48"/>
  <c r="BB17" i="48"/>
  <c r="BB18" i="48" s="1"/>
  <c r="BB16" i="48"/>
  <c r="BF16" i="48"/>
  <c r="BA16" i="48"/>
  <c r="BE16" i="48"/>
  <c r="BE17" i="48"/>
  <c r="BA17" i="48"/>
  <c r="BC16" i="48"/>
  <c r="BG16" i="48"/>
  <c r="BG17" i="48"/>
  <c r="BD16" i="48"/>
  <c r="BH16" i="48"/>
  <c r="BH17" i="48"/>
  <c r="H35" i="69" l="1"/>
  <c r="K123" i="60"/>
  <c r="D52" i="62" s="1"/>
  <c r="E18" i="63"/>
  <c r="G18" i="63"/>
  <c r="D18" i="63"/>
  <c r="F18" i="63"/>
  <c r="BC18" i="48"/>
  <c r="BD18" i="48"/>
  <c r="BA18" i="48"/>
  <c r="AT18" i="47"/>
  <c r="U64" i="58" s="1"/>
  <c r="AL18" i="47"/>
  <c r="S64" i="58" s="1"/>
  <c r="AD18" i="47"/>
  <c r="Q64" i="58" s="1"/>
  <c r="W64" i="58"/>
  <c r="X64" i="58" s="1"/>
  <c r="AV17" i="47"/>
  <c r="AX18" i="47" s="1"/>
  <c r="AU17" i="47"/>
  <c r="AT17" i="47"/>
  <c r="U63" i="58" s="1"/>
  <c r="AM17" i="47"/>
  <c r="AL17" i="47"/>
  <c r="S63" i="58" s="1"/>
  <c r="AE17" i="47"/>
  <c r="R63" i="58" s="1"/>
  <c r="AD17" i="47"/>
  <c r="Q63" i="58" s="1"/>
  <c r="AU22" i="47"/>
  <c r="V68" i="58" s="1"/>
  <c r="AT22" i="47"/>
  <c r="U68" i="58" s="1"/>
  <c r="AU21" i="47"/>
  <c r="V67" i="58" s="1"/>
  <c r="AT21" i="47"/>
  <c r="U67" i="58" s="1"/>
  <c r="AU20" i="47"/>
  <c r="V66" i="58" s="1"/>
  <c r="AT20" i="47"/>
  <c r="U66" i="58" s="1"/>
  <c r="AU19" i="47"/>
  <c r="V65" i="58" s="1"/>
  <c r="AT19" i="47"/>
  <c r="U65" i="58" s="1"/>
  <c r="AM22" i="47"/>
  <c r="T68" i="58" s="1"/>
  <c r="V64" i="64" s="1"/>
  <c r="AL22" i="47"/>
  <c r="S68" i="58" s="1"/>
  <c r="AM21" i="47"/>
  <c r="T67" i="58" s="1"/>
  <c r="V63" i="64" s="1"/>
  <c r="AL21" i="47"/>
  <c r="S67" i="58" s="1"/>
  <c r="U63" i="64" s="1"/>
  <c r="AM20" i="47"/>
  <c r="T66" i="58" s="1"/>
  <c r="V62" i="64" s="1"/>
  <c r="AL20" i="47"/>
  <c r="S66" i="58" s="1"/>
  <c r="AM19" i="47"/>
  <c r="T65" i="58" s="1"/>
  <c r="V61" i="64" s="1"/>
  <c r="AL19" i="47"/>
  <c r="S65" i="58" s="1"/>
  <c r="AE22" i="47"/>
  <c r="R68" i="58" s="1"/>
  <c r="AD22" i="47"/>
  <c r="Q68" i="58" s="1"/>
  <c r="AE21" i="47"/>
  <c r="R67" i="58" s="1"/>
  <c r="AD21" i="47"/>
  <c r="Q67" i="58" s="1"/>
  <c r="AE20" i="47"/>
  <c r="R66" i="58" s="1"/>
  <c r="AD20" i="47"/>
  <c r="Q66" i="58" s="1"/>
  <c r="AE19" i="47"/>
  <c r="R65" i="58" s="1"/>
  <c r="AD19" i="47"/>
  <c r="Q65" i="58" s="1"/>
  <c r="V20" i="47"/>
  <c r="W20" i="47"/>
  <c r="P66" i="58" s="1"/>
  <c r="V21" i="47"/>
  <c r="W21" i="47"/>
  <c r="V22" i="47"/>
  <c r="O68" i="58" s="1"/>
  <c r="W22" i="47"/>
  <c r="W19" i="47"/>
  <c r="V19" i="47"/>
  <c r="O65" i="58" s="1"/>
  <c r="V18" i="47"/>
  <c r="O64" i="58" s="1"/>
  <c r="P64" i="58"/>
  <c r="W17" i="47"/>
  <c r="P63" i="58" s="1"/>
  <c r="V17" i="47"/>
  <c r="O63" i="58" s="1"/>
  <c r="AV16" i="47"/>
  <c r="AU16" i="47"/>
  <c r="AT16" i="47"/>
  <c r="U62" i="58" s="1"/>
  <c r="AM16" i="47"/>
  <c r="AL16" i="47"/>
  <c r="S62" i="58" s="1"/>
  <c r="AE16" i="47"/>
  <c r="R62" i="58" s="1"/>
  <c r="AD16" i="47"/>
  <c r="Q62" i="58" s="1"/>
  <c r="W16" i="47"/>
  <c r="P62" i="58" s="1"/>
  <c r="V16" i="47"/>
  <c r="O62" i="58" s="1"/>
  <c r="I17" i="47"/>
  <c r="E58" i="59" s="1"/>
  <c r="D109" i="60" s="1"/>
  <c r="I18" i="47"/>
  <c r="E59" i="59" s="1"/>
  <c r="D110" i="60" s="1"/>
  <c r="I19" i="47"/>
  <c r="E60" i="59" s="1"/>
  <c r="D111" i="60" s="1"/>
  <c r="I20" i="47"/>
  <c r="E61" i="59" s="1"/>
  <c r="D112" i="60" s="1"/>
  <c r="I21" i="47"/>
  <c r="E62" i="59" s="1"/>
  <c r="D113" i="60" s="1"/>
  <c r="I22" i="47"/>
  <c r="E63" i="59" s="1"/>
  <c r="D114" i="60" s="1"/>
  <c r="I23" i="47"/>
  <c r="E64" i="59" s="1"/>
  <c r="D115" i="60" s="1"/>
  <c r="I16" i="47"/>
  <c r="E57" i="59" s="1"/>
  <c r="D108" i="60" s="1"/>
  <c r="H23" i="47"/>
  <c r="H22" i="47"/>
  <c r="H17" i="47"/>
  <c r="H18" i="47"/>
  <c r="H19" i="47"/>
  <c r="H20" i="47"/>
  <c r="H21" i="47"/>
  <c r="H16" i="47"/>
  <c r="G22" i="47"/>
  <c r="Q63" i="59" s="1"/>
  <c r="E114" i="60" s="1"/>
  <c r="G23" i="47"/>
  <c r="Q64" i="59" s="1"/>
  <c r="E115" i="60" s="1"/>
  <c r="G19" i="47"/>
  <c r="Q60" i="59" s="1"/>
  <c r="E111" i="60" s="1"/>
  <c r="G20" i="47"/>
  <c r="Q61" i="59" s="1"/>
  <c r="E112" i="60" s="1"/>
  <c r="G21" i="47"/>
  <c r="Q62" i="59" s="1"/>
  <c r="E113" i="60" s="1"/>
  <c r="G18" i="47"/>
  <c r="Q59" i="59" s="1"/>
  <c r="E110" i="60" s="1"/>
  <c r="G17" i="47"/>
  <c r="Q58" i="59" s="1"/>
  <c r="E109" i="60" s="1"/>
  <c r="G16" i="47"/>
  <c r="Q57" i="59" s="1"/>
  <c r="E108" i="60" s="1"/>
  <c r="E17" i="47"/>
  <c r="E18" i="47"/>
  <c r="E19" i="47"/>
  <c r="E20" i="47"/>
  <c r="E21" i="47"/>
  <c r="E22" i="47"/>
  <c r="E23" i="47"/>
  <c r="E16" i="47"/>
  <c r="D16" i="47"/>
  <c r="C16" i="47"/>
  <c r="B16" i="47"/>
  <c r="BD23" i="47"/>
  <c r="BC23" i="47"/>
  <c r="BB23" i="47"/>
  <c r="BA23" i="47"/>
  <c r="AE69" i="58" s="1"/>
  <c r="O67" i="38"/>
  <c r="O68" i="38"/>
  <c r="O65" i="38"/>
  <c r="O66" i="38"/>
  <c r="O63" i="38"/>
  <c r="O64" i="38"/>
  <c r="O62" i="38"/>
  <c r="Z60" i="64" l="1"/>
  <c r="G32" i="69" s="1"/>
  <c r="AA60" i="64"/>
  <c r="H32" i="69" s="1"/>
  <c r="S63" i="64"/>
  <c r="H18" i="63"/>
  <c r="I18" i="63" s="1"/>
  <c r="AY18" i="47"/>
  <c r="AZ18" i="47"/>
  <c r="K109" i="60"/>
  <c r="K110" i="60"/>
  <c r="L110" i="60"/>
  <c r="AW19" i="47"/>
  <c r="BE19" i="47" s="1"/>
  <c r="P65" i="58"/>
  <c r="X65" i="58" s="1"/>
  <c r="AW22" i="47"/>
  <c r="BE22" i="47" s="1"/>
  <c r="P68" i="58"/>
  <c r="W62" i="58"/>
  <c r="X62" i="58" s="1"/>
  <c r="AW18" i="47"/>
  <c r="AW16" i="47"/>
  <c r="AZ17" i="47"/>
  <c r="AY17" i="47"/>
  <c r="AW17" i="47"/>
  <c r="AY16" i="47"/>
  <c r="AZ16" i="47"/>
  <c r="X66" i="58"/>
  <c r="AY21" i="47"/>
  <c r="BG21" i="47" s="1"/>
  <c r="P67" i="58"/>
  <c r="AV21" i="47"/>
  <c r="W67" i="58" s="1"/>
  <c r="O67" i="58"/>
  <c r="W63" i="58"/>
  <c r="X63" i="58" s="1"/>
  <c r="AX16" i="47"/>
  <c r="AX17" i="47"/>
  <c r="AV20" i="47"/>
  <c r="W66" i="58" s="1"/>
  <c r="O66" i="58"/>
  <c r="AV19" i="47"/>
  <c r="W65" i="58" s="1"/>
  <c r="AY20" i="47"/>
  <c r="BG20" i="47" s="1"/>
  <c r="AY19" i="47"/>
  <c r="BG19" i="47" s="1"/>
  <c r="AX19" i="47"/>
  <c r="AZ22" i="47"/>
  <c r="BH22" i="47" s="1"/>
  <c r="AX22" i="47"/>
  <c r="BF22" i="47" s="1"/>
  <c r="AY22" i="47"/>
  <c r="BG22" i="47" s="1"/>
  <c r="AW21" i="47"/>
  <c r="AZ19" i="47"/>
  <c r="AX20" i="47"/>
  <c r="BF20" i="47" s="1"/>
  <c r="AZ20" i="47"/>
  <c r="BH20" i="47" s="1"/>
  <c r="AW20" i="47"/>
  <c r="BE20" i="47" s="1"/>
  <c r="AV22" i="47"/>
  <c r="AX21" i="47"/>
  <c r="BF21" i="47" s="1"/>
  <c r="AZ21" i="47"/>
  <c r="BH21" i="47" s="1"/>
  <c r="Z59" i="64" l="1"/>
  <c r="G31" i="69" s="1"/>
  <c r="AA59" i="64"/>
  <c r="H31" i="69" s="1"/>
  <c r="Z58" i="64"/>
  <c r="G30" i="69" s="1"/>
  <c r="AA58" i="64"/>
  <c r="H30" i="69" s="1"/>
  <c r="J112" i="60"/>
  <c r="Z62" i="64"/>
  <c r="BL62" i="64" s="1"/>
  <c r="BM62" i="64" s="1"/>
  <c r="Y66" i="58"/>
  <c r="AA62" i="64" s="1"/>
  <c r="Z61" i="64"/>
  <c r="Y65" i="58"/>
  <c r="AA61" i="64" s="1"/>
  <c r="Q63" i="64"/>
  <c r="Y63" i="64"/>
  <c r="F33" i="69" s="1"/>
  <c r="L109" i="60"/>
  <c r="BA19" i="47"/>
  <c r="AE65" i="58" s="1"/>
  <c r="K114" i="60"/>
  <c r="M111" i="60"/>
  <c r="J111" i="60"/>
  <c r="L114" i="60"/>
  <c r="K112" i="60"/>
  <c r="L112" i="60"/>
  <c r="X68" i="58"/>
  <c r="K111" i="60"/>
  <c r="L111" i="60"/>
  <c r="X67" i="58"/>
  <c r="Y67" i="58" s="1"/>
  <c r="AA63" i="64" s="1"/>
  <c r="L108" i="60"/>
  <c r="K108" i="60"/>
  <c r="BA21" i="47"/>
  <c r="BE21" i="47"/>
  <c r="BA22" i="47"/>
  <c r="W68" i="58"/>
  <c r="BH17" i="47"/>
  <c r="BD17" i="47"/>
  <c r="BE17" i="47"/>
  <c r="BA17" i="47"/>
  <c r="BF17" i="47"/>
  <c r="BB17" i="47"/>
  <c r="M112" i="60"/>
  <c r="Z66" i="58"/>
  <c r="BE16" i="47"/>
  <c r="BA16" i="47"/>
  <c r="BH16" i="47"/>
  <c r="BD16" i="47"/>
  <c r="BE18" i="47"/>
  <c r="BA18" i="47"/>
  <c r="BG16" i="47"/>
  <c r="BC16" i="47"/>
  <c r="BF16" i="47"/>
  <c r="BB16" i="47"/>
  <c r="BF18" i="47"/>
  <c r="BB18" i="47"/>
  <c r="BC21" i="47"/>
  <c r="BH18" i="47"/>
  <c r="BD18" i="47"/>
  <c r="BG18" i="47"/>
  <c r="BC18" i="47"/>
  <c r="BG17" i="47"/>
  <c r="BC17" i="47"/>
  <c r="Z65" i="58"/>
  <c r="AA65" i="58" s="1"/>
  <c r="BB19" i="47"/>
  <c r="BF19" i="47"/>
  <c r="BD19" i="47"/>
  <c r="BH19" i="47"/>
  <c r="BC19" i="47"/>
  <c r="BC22" i="47"/>
  <c r="BB22" i="47"/>
  <c r="BD22" i="47"/>
  <c r="BC20" i="47"/>
  <c r="BD20" i="47"/>
  <c r="BD21" i="47"/>
  <c r="BB21" i="47"/>
  <c r="BA20" i="47"/>
  <c r="BB20" i="47"/>
  <c r="J114" i="60" l="1"/>
  <c r="Z64" i="64"/>
  <c r="Y68" i="58"/>
  <c r="AA64" i="64" s="1"/>
  <c r="H33" i="69" s="1"/>
  <c r="J113" i="60"/>
  <c r="Z67" i="58"/>
  <c r="Z63" i="64"/>
  <c r="G33" i="69" s="1"/>
  <c r="BL61" i="64"/>
  <c r="BK63" i="64"/>
  <c r="Z68" i="58"/>
  <c r="AA68" i="58" s="1"/>
  <c r="AE68" i="58"/>
  <c r="AA67" i="58"/>
  <c r="L113" i="60"/>
  <c r="L116" i="60" s="1"/>
  <c r="E51" i="62" s="1"/>
  <c r="E32" i="62" s="1"/>
  <c r="K113" i="60"/>
  <c r="K116" i="60" s="1"/>
  <c r="D51" i="62" s="1"/>
  <c r="AA66" i="58"/>
  <c r="AH66" i="58"/>
  <c r="BA24" i="47"/>
  <c r="AE66" i="58"/>
  <c r="AH65" i="58"/>
  <c r="BC24" i="47"/>
  <c r="BD24" i="47"/>
  <c r="BB24" i="47"/>
  <c r="AH68" i="58" l="1"/>
  <c r="BM61" i="64"/>
  <c r="BN58" i="64" s="1"/>
  <c r="D17" i="63"/>
  <c r="E17" i="63"/>
  <c r="E57" i="62"/>
  <c r="F17" i="63"/>
  <c r="D32" i="62"/>
  <c r="D57" i="62"/>
  <c r="G17" i="63"/>
  <c r="M114" i="60"/>
  <c r="AH67" i="58"/>
  <c r="AE67" i="58"/>
  <c r="M113" i="60"/>
  <c r="O69" i="38"/>
  <c r="I30" i="69" l="1"/>
  <c r="D23" i="67"/>
  <c r="H17" i="63"/>
  <c r="I17" i="63" s="1"/>
  <c r="I18" i="46"/>
  <c r="E85" i="59" s="1"/>
  <c r="D51" i="60" s="1"/>
  <c r="H18" i="46"/>
  <c r="G18" i="46"/>
  <c r="Q85" i="59" s="1"/>
  <c r="E51" i="60" s="1"/>
  <c r="E18" i="46"/>
  <c r="D18" i="46"/>
  <c r="C18" i="46"/>
  <c r="AU18" i="46"/>
  <c r="V96" i="58" s="1"/>
  <c r="AT18" i="46"/>
  <c r="U96" i="58" s="1"/>
  <c r="AM18" i="46"/>
  <c r="T96" i="58" s="1"/>
  <c r="V92" i="64" s="1"/>
  <c r="AL18" i="46"/>
  <c r="S96" i="58" s="1"/>
  <c r="AE18" i="46"/>
  <c r="R96" i="58" s="1"/>
  <c r="AD18" i="46"/>
  <c r="Q96" i="58" s="1"/>
  <c r="W18" i="46"/>
  <c r="P96" i="58" s="1"/>
  <c r="V18" i="46"/>
  <c r="O96" i="58" s="1"/>
  <c r="O96" i="38"/>
  <c r="G18" i="37"/>
  <c r="Q7" i="59" s="1"/>
  <c r="E15" i="60" s="1"/>
  <c r="G19" i="37"/>
  <c r="Q8" i="59" s="1"/>
  <c r="E16" i="60" s="1"/>
  <c r="G17" i="37"/>
  <c r="Q6" i="59" s="1"/>
  <c r="E14" i="60" s="1"/>
  <c r="G16" i="37"/>
  <c r="Q5" i="59" s="1"/>
  <c r="E13" i="60" s="1"/>
  <c r="O60" i="38"/>
  <c r="D54" i="67" l="1"/>
  <c r="K51" i="60"/>
  <c r="K52" i="60" s="1"/>
  <c r="D45" i="62" s="1"/>
  <c r="L51" i="60"/>
  <c r="L52" i="60" s="1"/>
  <c r="E45" i="62" s="1"/>
  <c r="X96" i="58"/>
  <c r="AZ18" i="46"/>
  <c r="BH18" i="46" s="1"/>
  <c r="AV18" i="46"/>
  <c r="W96" i="58" s="1"/>
  <c r="AW18" i="46"/>
  <c r="BE18" i="46" s="1"/>
  <c r="AY18" i="46"/>
  <c r="BG18" i="46" s="1"/>
  <c r="AX18" i="46"/>
  <c r="BF18" i="46" s="1"/>
  <c r="AW17" i="37"/>
  <c r="BE17" i="37" s="1"/>
  <c r="AH57" i="58" s="1"/>
  <c r="AX17" i="37"/>
  <c r="BF17" i="37" s="1"/>
  <c r="AY17" i="37"/>
  <c r="BG17" i="37" s="1"/>
  <c r="AZ17" i="37"/>
  <c r="BH17" i="37" s="1"/>
  <c r="AU19" i="37"/>
  <c r="V59" i="58" s="1"/>
  <c r="AT19" i="37"/>
  <c r="U59" i="58" s="1"/>
  <c r="AM19" i="37"/>
  <c r="T59" i="58" s="1"/>
  <c r="V55" i="64" s="1"/>
  <c r="AL19" i="37"/>
  <c r="S59" i="58" s="1"/>
  <c r="AE19" i="37"/>
  <c r="R59" i="58" s="1"/>
  <c r="AD19" i="37"/>
  <c r="Q59" i="58" s="1"/>
  <c r="W19" i="37"/>
  <c r="O19" i="37"/>
  <c r="R8" i="59" s="1"/>
  <c r="J51" i="60" l="1"/>
  <c r="Z92" i="64"/>
  <c r="Y96" i="58"/>
  <c r="AA92" i="64" s="1"/>
  <c r="H45" i="69" s="1"/>
  <c r="D13" i="63"/>
  <c r="E13" i="63"/>
  <c r="G13" i="63"/>
  <c r="F13" i="63"/>
  <c r="K16" i="60"/>
  <c r="AW19" i="37"/>
  <c r="BE19" i="37" s="1"/>
  <c r="P59" i="58"/>
  <c r="Z96" i="58"/>
  <c r="AY19" i="37"/>
  <c r="BG19" i="37" s="1"/>
  <c r="AZ19" i="37"/>
  <c r="BH19" i="37" s="1"/>
  <c r="AX19" i="37"/>
  <c r="BF19" i="37" s="1"/>
  <c r="BD18" i="46"/>
  <c r="BD19" i="46" s="1"/>
  <c r="BA18" i="46"/>
  <c r="BC18" i="46"/>
  <c r="BC19" i="46" s="1"/>
  <c r="BB18" i="46"/>
  <c r="BB19" i="46" s="1"/>
  <c r="AV19" i="37"/>
  <c r="M51" i="60" l="1"/>
  <c r="G45" i="69"/>
  <c r="BL92" i="64"/>
  <c r="H13" i="63"/>
  <c r="I13" i="63" s="1"/>
  <c r="X59" i="58"/>
  <c r="L16" i="60"/>
  <c r="AA96" i="58"/>
  <c r="AB96" i="58" s="1"/>
  <c r="AH96" i="58"/>
  <c r="Z59" i="58"/>
  <c r="BA19" i="37"/>
  <c r="W59" i="58"/>
  <c r="AE96" i="58"/>
  <c r="BA19" i="46"/>
  <c r="BD19" i="37"/>
  <c r="BB19" i="37"/>
  <c r="BC19" i="37"/>
  <c r="J16" i="60" l="1"/>
  <c r="Z55" i="64"/>
  <c r="G27" i="69" s="1"/>
  <c r="Y59" i="58"/>
  <c r="AA55" i="64" s="1"/>
  <c r="H27" i="69" s="1"/>
  <c r="BM92" i="64"/>
  <c r="BN92" i="64" s="1"/>
  <c r="BL96" i="64"/>
  <c r="AE59" i="58"/>
  <c r="M16" i="60"/>
  <c r="AH59" i="58"/>
  <c r="AA59" i="58"/>
  <c r="W18" i="37"/>
  <c r="P58" i="58" s="1"/>
  <c r="V18" i="37"/>
  <c r="O58" i="58" s="1"/>
  <c r="AE18" i="37"/>
  <c r="R58" i="58" s="1"/>
  <c r="AD18" i="37"/>
  <c r="Q58" i="58" s="1"/>
  <c r="AM18" i="37"/>
  <c r="T58" i="58" s="1"/>
  <c r="V54" i="64" s="1"/>
  <c r="AL18" i="37"/>
  <c r="S58" i="58" s="1"/>
  <c r="AV17" i="37"/>
  <c r="W57" i="58" s="1"/>
  <c r="M14" i="60" s="1"/>
  <c r="AT18" i="37"/>
  <c r="U58" i="58" s="1"/>
  <c r="AU18" i="37"/>
  <c r="V58" i="58" s="1"/>
  <c r="O18" i="37"/>
  <c r="R7" i="59" s="1"/>
  <c r="D27" i="67" l="1"/>
  <c r="I45" i="69"/>
  <c r="I49" i="69" s="1"/>
  <c r="BO45" i="64"/>
  <c r="BN96" i="64"/>
  <c r="X58" i="58"/>
  <c r="AX18" i="37"/>
  <c r="BF18" i="37" s="1"/>
  <c r="AW18" i="37"/>
  <c r="BE18" i="37" s="1"/>
  <c r="AY18" i="37"/>
  <c r="BG18" i="37" s="1"/>
  <c r="AZ18" i="37"/>
  <c r="BH18" i="37" s="1"/>
  <c r="BD17" i="37"/>
  <c r="BA17" i="37"/>
  <c r="AE57" i="58" s="1"/>
  <c r="BB17" i="37"/>
  <c r="BC17" i="37"/>
  <c r="AV18" i="37"/>
  <c r="W58" i="58" s="1"/>
  <c r="O17" i="37"/>
  <c r="R6" i="59" s="1"/>
  <c r="J15" i="60" l="1"/>
  <c r="Z54" i="64"/>
  <c r="G26" i="69" s="1"/>
  <c r="Y58" i="58"/>
  <c r="AA54" i="64" s="1"/>
  <c r="H26" i="69" s="1"/>
  <c r="J23" i="69"/>
  <c r="J49" i="69" s="1"/>
  <c r="C14" i="70"/>
  <c r="C16" i="70" s="1"/>
  <c r="E21" i="67"/>
  <c r="BO96" i="64"/>
  <c r="D58" i="67"/>
  <c r="D31" i="67"/>
  <c r="K15" i="60"/>
  <c r="L15" i="60"/>
  <c r="Z58" i="58"/>
  <c r="BB18" i="37"/>
  <c r="BC18" i="37"/>
  <c r="BD18" i="37"/>
  <c r="BA18" i="37"/>
  <c r="C16" i="37"/>
  <c r="B16" i="37"/>
  <c r="I22" i="44"/>
  <c r="E18" i="59" s="1"/>
  <c r="D36" i="60" s="1"/>
  <c r="I17" i="44"/>
  <c r="E13" i="59" s="1"/>
  <c r="D31" i="60" s="1"/>
  <c r="I18" i="44"/>
  <c r="E14" i="59" s="1"/>
  <c r="D32" i="60" s="1"/>
  <c r="I19" i="44"/>
  <c r="E15" i="59" s="1"/>
  <c r="D33" i="60" s="1"/>
  <c r="I20" i="44"/>
  <c r="E16" i="59" s="1"/>
  <c r="D34" i="60" s="1"/>
  <c r="I21" i="44"/>
  <c r="E17" i="59" s="1"/>
  <c r="D35" i="60" s="1"/>
  <c r="I16" i="44"/>
  <c r="E12" i="59" s="1"/>
  <c r="D30" i="60" s="1"/>
  <c r="H17" i="44"/>
  <c r="H18" i="44"/>
  <c r="H19" i="44"/>
  <c r="H20" i="44"/>
  <c r="H21" i="44"/>
  <c r="H22" i="44"/>
  <c r="H16" i="44"/>
  <c r="G17" i="44"/>
  <c r="Q13" i="59" s="1"/>
  <c r="E31" i="60" s="1"/>
  <c r="G18" i="44"/>
  <c r="Q14" i="59" s="1"/>
  <c r="E32" i="60" s="1"/>
  <c r="G19" i="44"/>
  <c r="Q15" i="59" s="1"/>
  <c r="E33" i="60" s="1"/>
  <c r="G20" i="44"/>
  <c r="Q16" i="59" s="1"/>
  <c r="E34" i="60" s="1"/>
  <c r="G21" i="44"/>
  <c r="Q17" i="59" s="1"/>
  <c r="E35" i="60" s="1"/>
  <c r="G22" i="44"/>
  <c r="Q18" i="59" s="1"/>
  <c r="E36" i="60" s="1"/>
  <c r="G16" i="44"/>
  <c r="Q12" i="59" s="1"/>
  <c r="E30" i="60" s="1"/>
  <c r="E17" i="44"/>
  <c r="E18" i="44"/>
  <c r="E19" i="44"/>
  <c r="E20" i="44"/>
  <c r="E21" i="44"/>
  <c r="E22" i="44"/>
  <c r="E16" i="44"/>
  <c r="D22" i="44"/>
  <c r="D17" i="44"/>
  <c r="D18" i="44"/>
  <c r="D19" i="44"/>
  <c r="D20" i="44"/>
  <c r="D21" i="44"/>
  <c r="D16" i="44"/>
  <c r="C16" i="44"/>
  <c r="B16" i="44"/>
  <c r="AU22" i="44"/>
  <c r="V55" i="58" s="1"/>
  <c r="AT22" i="44"/>
  <c r="U55" i="58" s="1"/>
  <c r="AM22" i="44"/>
  <c r="T55" i="58" s="1"/>
  <c r="V51" i="64" s="1"/>
  <c r="AL22" i="44"/>
  <c r="S55" i="58" s="1"/>
  <c r="AE22" i="44"/>
  <c r="R55" i="58" s="1"/>
  <c r="AD22" i="44"/>
  <c r="Q55" i="58" s="1"/>
  <c r="W22" i="44"/>
  <c r="V22" i="44"/>
  <c r="O55" i="58" s="1"/>
  <c r="AU21" i="44"/>
  <c r="V54" i="58" s="1"/>
  <c r="AT21" i="44"/>
  <c r="U54" i="58" s="1"/>
  <c r="AM21" i="44"/>
  <c r="T54" i="58" s="1"/>
  <c r="V50" i="64" s="1"/>
  <c r="AL21" i="44"/>
  <c r="S54" i="58" s="1"/>
  <c r="AE21" i="44"/>
  <c r="R54" i="58" s="1"/>
  <c r="AD21" i="44"/>
  <c r="Q54" i="58" s="1"/>
  <c r="W21" i="44"/>
  <c r="V21" i="44"/>
  <c r="O54" i="58" s="1"/>
  <c r="AU20" i="44"/>
  <c r="V53" i="58" s="1"/>
  <c r="AT20" i="44"/>
  <c r="U53" i="58" s="1"/>
  <c r="AM20" i="44"/>
  <c r="T53" i="58" s="1"/>
  <c r="V49" i="64" s="1"/>
  <c r="AL20" i="44"/>
  <c r="S53" i="58" s="1"/>
  <c r="AE20" i="44"/>
  <c r="R53" i="58" s="1"/>
  <c r="AD20" i="44"/>
  <c r="Q53" i="58" s="1"/>
  <c r="W20" i="44"/>
  <c r="P53" i="58" s="1"/>
  <c r="V20" i="44"/>
  <c r="O53" i="58" s="1"/>
  <c r="AU19" i="44"/>
  <c r="V52" i="58" s="1"/>
  <c r="AT19" i="44"/>
  <c r="U52" i="58" s="1"/>
  <c r="AM19" i="44"/>
  <c r="T52" i="58" s="1"/>
  <c r="V48" i="64" s="1"/>
  <c r="AL19" i="44"/>
  <c r="S52" i="58" s="1"/>
  <c r="AE19" i="44"/>
  <c r="R52" i="58" s="1"/>
  <c r="AD19" i="44"/>
  <c r="Q52" i="58" s="1"/>
  <c r="W19" i="44"/>
  <c r="P52" i="58" s="1"/>
  <c r="V19" i="44"/>
  <c r="O52" i="58" s="1"/>
  <c r="AU18" i="44"/>
  <c r="V51" i="58" s="1"/>
  <c r="AT18" i="44"/>
  <c r="U51" i="58" s="1"/>
  <c r="AM18" i="44"/>
  <c r="T51" i="58" s="1"/>
  <c r="V47" i="64" s="1"/>
  <c r="AL18" i="44"/>
  <c r="S51" i="58" s="1"/>
  <c r="AE18" i="44"/>
  <c r="R51" i="58" s="1"/>
  <c r="AD18" i="44"/>
  <c r="Q51" i="58" s="1"/>
  <c r="W18" i="44"/>
  <c r="V18" i="44"/>
  <c r="O51" i="58" s="1"/>
  <c r="AU17" i="44"/>
  <c r="V50" i="58" s="1"/>
  <c r="AT17" i="44"/>
  <c r="U50" i="58" s="1"/>
  <c r="AM17" i="44"/>
  <c r="T50" i="58" s="1"/>
  <c r="V46" i="64" s="1"/>
  <c r="AL17" i="44"/>
  <c r="S50" i="58" s="1"/>
  <c r="AE17" i="44"/>
  <c r="R50" i="58" s="1"/>
  <c r="AD17" i="44"/>
  <c r="Q50" i="58" s="1"/>
  <c r="W17" i="44"/>
  <c r="V17" i="44"/>
  <c r="O50" i="58" s="1"/>
  <c r="R13" i="59"/>
  <c r="AU16" i="44"/>
  <c r="V49" i="58" s="1"/>
  <c r="AT16" i="44"/>
  <c r="U49" i="58" s="1"/>
  <c r="AM16" i="44"/>
  <c r="T49" i="58" s="1"/>
  <c r="V45" i="64" s="1"/>
  <c r="AL16" i="44"/>
  <c r="S49" i="58" s="1"/>
  <c r="AE16" i="44"/>
  <c r="R49" i="58" s="1"/>
  <c r="AD16" i="44"/>
  <c r="Q49" i="58" s="1"/>
  <c r="W16" i="44"/>
  <c r="V16" i="44"/>
  <c r="O49" i="58" s="1"/>
  <c r="R12" i="59"/>
  <c r="M15" i="60" l="1"/>
  <c r="E31" i="67"/>
  <c r="D69" i="67"/>
  <c r="AW17" i="44"/>
  <c r="BE17" i="44" s="1"/>
  <c r="P50" i="58"/>
  <c r="AW18" i="44"/>
  <c r="BE18" i="44" s="1"/>
  <c r="P51" i="58"/>
  <c r="X52" i="58"/>
  <c r="X53" i="58"/>
  <c r="AW21" i="44"/>
  <c r="BE21" i="44" s="1"/>
  <c r="P54" i="58"/>
  <c r="AW22" i="44"/>
  <c r="BE22" i="44" s="1"/>
  <c r="P55" i="58"/>
  <c r="AW16" i="44"/>
  <c r="BE16" i="44" s="1"/>
  <c r="P49" i="58"/>
  <c r="X55" i="58"/>
  <c r="AE58" i="58"/>
  <c r="AH58" i="58"/>
  <c r="AA58" i="58"/>
  <c r="AX16" i="44"/>
  <c r="BF16" i="44" s="1"/>
  <c r="AX18" i="44"/>
  <c r="BF18" i="44" s="1"/>
  <c r="AY21" i="44"/>
  <c r="BG21" i="44" s="1"/>
  <c r="AZ19" i="44"/>
  <c r="BH19" i="44" s="1"/>
  <c r="AZ20" i="44"/>
  <c r="BH20" i="44" s="1"/>
  <c r="AV21" i="44"/>
  <c r="W54" i="58" s="1"/>
  <c r="AV20" i="44"/>
  <c r="W53" i="58" s="1"/>
  <c r="AV18" i="44"/>
  <c r="W51" i="58" s="1"/>
  <c r="AV16" i="44"/>
  <c r="AX21" i="44"/>
  <c r="BF21" i="44" s="1"/>
  <c r="AY17" i="44"/>
  <c r="BG17" i="44" s="1"/>
  <c r="AV19" i="44"/>
  <c r="W52" i="58" s="1"/>
  <c r="AY22" i="44"/>
  <c r="BG22" i="44" s="1"/>
  <c r="AY16" i="44"/>
  <c r="BG16" i="44" s="1"/>
  <c r="AV17" i="44"/>
  <c r="AX17" i="44"/>
  <c r="BF17" i="44" s="1"/>
  <c r="AY19" i="44"/>
  <c r="BG19" i="44" s="1"/>
  <c r="AV22" i="44"/>
  <c r="AY18" i="44"/>
  <c r="BG18" i="44" s="1"/>
  <c r="AW20" i="44"/>
  <c r="BE20" i="44" s="1"/>
  <c r="AX20" i="44"/>
  <c r="BF20" i="44" s="1"/>
  <c r="AZ22" i="44"/>
  <c r="BH22" i="44" s="1"/>
  <c r="AZ16" i="44"/>
  <c r="BH16" i="44" s="1"/>
  <c r="AZ17" i="44"/>
  <c r="BH17" i="44" s="1"/>
  <c r="AX19" i="44"/>
  <c r="BF19" i="44" s="1"/>
  <c r="AY20" i="44"/>
  <c r="BG20" i="44" s="1"/>
  <c r="AZ21" i="44"/>
  <c r="BH21" i="44" s="1"/>
  <c r="AZ18" i="44"/>
  <c r="BH18" i="44" s="1"/>
  <c r="AW19" i="44"/>
  <c r="BE19" i="44" s="1"/>
  <c r="AX22" i="44"/>
  <c r="BF22" i="44" s="1"/>
  <c r="J36" i="60" l="1"/>
  <c r="Z51" i="64"/>
  <c r="Y55" i="58"/>
  <c r="AA51" i="64" s="1"/>
  <c r="J34" i="60"/>
  <c r="Z49" i="64"/>
  <c r="Y53" i="58"/>
  <c r="AA49" i="64" s="1"/>
  <c r="J33" i="60"/>
  <c r="Z48" i="64"/>
  <c r="Y52" i="58"/>
  <c r="AA48" i="64" s="1"/>
  <c r="K34" i="60"/>
  <c r="L34" i="60"/>
  <c r="X51" i="58"/>
  <c r="K32" i="60"/>
  <c r="L32" i="60"/>
  <c r="L33" i="60"/>
  <c r="X49" i="58"/>
  <c r="L30" i="60"/>
  <c r="K30" i="60"/>
  <c r="L36" i="60"/>
  <c r="X50" i="58"/>
  <c r="K31" i="60"/>
  <c r="L31" i="60"/>
  <c r="K33" i="60"/>
  <c r="X54" i="58"/>
  <c r="K35" i="60"/>
  <c r="L35" i="60"/>
  <c r="K36" i="60"/>
  <c r="Z53" i="58"/>
  <c r="Z55" i="58"/>
  <c r="Z52" i="58"/>
  <c r="BA17" i="44"/>
  <c r="W50" i="58"/>
  <c r="BA22" i="44"/>
  <c r="W55" i="58"/>
  <c r="BB16" i="44"/>
  <c r="W49" i="58"/>
  <c r="BB21" i="44"/>
  <c r="BA21" i="44"/>
  <c r="BC21" i="44"/>
  <c r="BA18" i="44"/>
  <c r="BB18" i="44"/>
  <c r="BC19" i="44"/>
  <c r="BD20" i="44"/>
  <c r="BC16" i="44"/>
  <c r="BA16" i="44"/>
  <c r="BD19" i="44"/>
  <c r="BC22" i="44"/>
  <c r="BC17" i="44"/>
  <c r="BB17" i="44"/>
  <c r="BD17" i="44"/>
  <c r="BB22" i="44"/>
  <c r="BD21" i="44"/>
  <c r="BD16" i="44"/>
  <c r="BD22" i="44"/>
  <c r="BA19" i="44"/>
  <c r="BC20" i="44"/>
  <c r="BB20" i="44"/>
  <c r="BC18" i="44"/>
  <c r="BA20" i="44"/>
  <c r="BD18" i="44"/>
  <c r="BB19" i="44"/>
  <c r="J35" i="60" l="1"/>
  <c r="Z50" i="64"/>
  <c r="Y54" i="58"/>
  <c r="AA50" i="64" s="1"/>
  <c r="M34" i="60"/>
  <c r="M33" i="60"/>
  <c r="J32" i="60"/>
  <c r="Z47" i="64"/>
  <c r="Y51" i="58"/>
  <c r="J31" i="60"/>
  <c r="Z46" i="64"/>
  <c r="Y50" i="58"/>
  <c r="AA46" i="64" s="1"/>
  <c r="J30" i="60"/>
  <c r="Z45" i="64"/>
  <c r="Y49" i="58"/>
  <c r="AA45" i="64" s="1"/>
  <c r="D11" i="63"/>
  <c r="G11" i="63"/>
  <c r="F11" i="63"/>
  <c r="E11" i="63"/>
  <c r="Z50" i="58"/>
  <c r="AA50" i="58" s="1"/>
  <c r="L37" i="60"/>
  <c r="E43" i="62" s="1"/>
  <c r="Z49" i="58"/>
  <c r="AA49" i="58" s="1"/>
  <c r="M35" i="60"/>
  <c r="K37" i="60"/>
  <c r="D43" i="62" s="1"/>
  <c r="Z51" i="58"/>
  <c r="AH51" i="58" s="1"/>
  <c r="Z54" i="58"/>
  <c r="AA54" i="58" s="1"/>
  <c r="AE55" i="58"/>
  <c r="M36" i="60"/>
  <c r="AE52" i="58"/>
  <c r="AA52" i="58"/>
  <c r="AH52" i="58"/>
  <c r="AH55" i="58"/>
  <c r="AA55" i="58"/>
  <c r="AE53" i="58"/>
  <c r="AA53" i="58"/>
  <c r="AH53" i="58"/>
  <c r="BC23" i="44"/>
  <c r="BA23" i="44"/>
  <c r="BB23" i="44"/>
  <c r="BD23" i="44"/>
  <c r="G23" i="69" l="1"/>
  <c r="AA47" i="64"/>
  <c r="H23" i="69" s="1"/>
  <c r="M32" i="60"/>
  <c r="AE51" i="58"/>
  <c r="AH50" i="58"/>
  <c r="AE50" i="58"/>
  <c r="H11" i="63"/>
  <c r="I11" i="63" s="1"/>
  <c r="AH49" i="58"/>
  <c r="AE54" i="58"/>
  <c r="M31" i="60"/>
  <c r="AA51" i="58"/>
  <c r="AB49" i="58" s="1"/>
  <c r="AH54" i="58"/>
  <c r="AE49" i="58"/>
  <c r="M30" i="60"/>
  <c r="AU19" i="43"/>
  <c r="AT19" i="43"/>
  <c r="U44" i="58" s="1"/>
  <c r="AM19" i="43"/>
  <c r="AL19" i="43"/>
  <c r="S44" i="58" s="1"/>
  <c r="AD19" i="43"/>
  <c r="Q44" i="58" s="1"/>
  <c r="V19" i="43"/>
  <c r="O44" i="58" s="1"/>
  <c r="AV19" i="43"/>
  <c r="AV17" i="43"/>
  <c r="W42" i="58" s="1"/>
  <c r="X42" i="58" s="1"/>
  <c r="AU17" i="43"/>
  <c r="AT17" i="43"/>
  <c r="U42" i="58" s="1"/>
  <c r="AM17" i="43"/>
  <c r="AL17" i="43"/>
  <c r="S42" i="58" s="1"/>
  <c r="V17" i="43"/>
  <c r="O42" i="58" s="1"/>
  <c r="O17" i="43"/>
  <c r="R50" i="59" s="1"/>
  <c r="O18" i="43"/>
  <c r="R51" i="59" s="1"/>
  <c r="O19" i="43"/>
  <c r="R52" i="59" s="1"/>
  <c r="O20" i="43"/>
  <c r="R53" i="59" s="1"/>
  <c r="O21" i="43"/>
  <c r="R54" i="59" s="1"/>
  <c r="O22" i="43"/>
  <c r="R55" i="59" s="1"/>
  <c r="O23" i="43"/>
  <c r="R56" i="59" s="1"/>
  <c r="O16" i="43"/>
  <c r="R49" i="59" s="1"/>
  <c r="I21" i="43"/>
  <c r="E54" i="59" s="1"/>
  <c r="D100" i="60" s="1"/>
  <c r="I22" i="43"/>
  <c r="E55" i="59" s="1"/>
  <c r="D101" i="60" s="1"/>
  <c r="I23" i="43"/>
  <c r="E56" i="59" s="1"/>
  <c r="D102" i="60" s="1"/>
  <c r="I20" i="43"/>
  <c r="E53" i="59" s="1"/>
  <c r="D99" i="60" s="1"/>
  <c r="I17" i="43"/>
  <c r="E50" i="59" s="1"/>
  <c r="D96" i="60" s="1"/>
  <c r="I18" i="43"/>
  <c r="E51" i="59" s="1"/>
  <c r="D97" i="60" s="1"/>
  <c r="I19" i="43"/>
  <c r="E52" i="59" s="1"/>
  <c r="D98" i="60" s="1"/>
  <c r="I16" i="43"/>
  <c r="E49" i="59" s="1"/>
  <c r="D95" i="60" s="1"/>
  <c r="H21" i="43"/>
  <c r="H22" i="43"/>
  <c r="H23" i="43"/>
  <c r="H17" i="43"/>
  <c r="H18" i="43"/>
  <c r="H19" i="43"/>
  <c r="H20" i="43"/>
  <c r="H16" i="43"/>
  <c r="G23" i="43"/>
  <c r="Q56" i="59" s="1"/>
  <c r="E102" i="60" s="1"/>
  <c r="G22" i="43"/>
  <c r="Q55" i="59" s="1"/>
  <c r="E101" i="60" s="1"/>
  <c r="G21" i="43"/>
  <c r="Q54" i="59" s="1"/>
  <c r="E100" i="60" s="1"/>
  <c r="G20" i="43"/>
  <c r="Q53" i="59" s="1"/>
  <c r="E99" i="60" s="1"/>
  <c r="G17" i="43"/>
  <c r="Q50" i="59" s="1"/>
  <c r="E96" i="60" s="1"/>
  <c r="G18" i="43"/>
  <c r="Q51" i="59" s="1"/>
  <c r="E97" i="60" s="1"/>
  <c r="G19" i="43"/>
  <c r="Q52" i="59" s="1"/>
  <c r="E98" i="60" s="1"/>
  <c r="G16" i="43"/>
  <c r="Q49" i="59" s="1"/>
  <c r="E95" i="60" s="1"/>
  <c r="E17" i="43"/>
  <c r="E18" i="43"/>
  <c r="E19" i="43"/>
  <c r="E20" i="43"/>
  <c r="E21" i="43"/>
  <c r="E22" i="43"/>
  <c r="E23" i="43"/>
  <c r="E16" i="43"/>
  <c r="D21" i="43"/>
  <c r="D22" i="43"/>
  <c r="D23" i="43"/>
  <c r="D17" i="43"/>
  <c r="D18" i="43"/>
  <c r="D19" i="43"/>
  <c r="D20" i="43"/>
  <c r="D16" i="43"/>
  <c r="C21" i="43"/>
  <c r="C20" i="43"/>
  <c r="C18" i="43"/>
  <c r="C16" i="43"/>
  <c r="B16" i="43"/>
  <c r="AU23" i="43"/>
  <c r="V48" i="58" s="1"/>
  <c r="AM23" i="43"/>
  <c r="T48" i="58" s="1"/>
  <c r="V44" i="64" s="1"/>
  <c r="AL23" i="43"/>
  <c r="S48" i="58" s="1"/>
  <c r="AE23" i="43"/>
  <c r="R48" i="58" s="1"/>
  <c r="AD23" i="43"/>
  <c r="Q48" i="58" s="1"/>
  <c r="W23" i="43"/>
  <c r="P48" i="58" s="1"/>
  <c r="V23" i="43"/>
  <c r="O48" i="58" s="1"/>
  <c r="AU22" i="43"/>
  <c r="V47" i="58" s="1"/>
  <c r="AT22" i="43"/>
  <c r="U47" i="58" s="1"/>
  <c r="AM22" i="43"/>
  <c r="T47" i="58" s="1"/>
  <c r="V43" i="64" s="1"/>
  <c r="AL22" i="43"/>
  <c r="S47" i="58" s="1"/>
  <c r="AE22" i="43"/>
  <c r="R47" i="58" s="1"/>
  <c r="AD22" i="43"/>
  <c r="Q47" i="58" s="1"/>
  <c r="W22" i="43"/>
  <c r="V22" i="43"/>
  <c r="O47" i="58" s="1"/>
  <c r="AU21" i="43"/>
  <c r="V46" i="58" s="1"/>
  <c r="AT21" i="43"/>
  <c r="U46" i="58" s="1"/>
  <c r="AM21" i="43"/>
  <c r="T46" i="58" s="1"/>
  <c r="V42" i="64" s="1"/>
  <c r="AL21" i="43"/>
  <c r="S46" i="58" s="1"/>
  <c r="AE21" i="43"/>
  <c r="R46" i="58" s="1"/>
  <c r="AD21" i="43"/>
  <c r="Q46" i="58" s="1"/>
  <c r="W21" i="43"/>
  <c r="P46" i="58" s="1"/>
  <c r="V21" i="43"/>
  <c r="O46" i="58" s="1"/>
  <c r="AU20" i="43"/>
  <c r="V45" i="58" s="1"/>
  <c r="AT20" i="43"/>
  <c r="U45" i="58" s="1"/>
  <c r="AM20" i="43"/>
  <c r="T45" i="58" s="1"/>
  <c r="V41" i="64" s="1"/>
  <c r="AL20" i="43"/>
  <c r="S45" i="58" s="1"/>
  <c r="AE20" i="43"/>
  <c r="R45" i="58" s="1"/>
  <c r="AD20" i="43"/>
  <c r="Q45" i="58" s="1"/>
  <c r="W20" i="43"/>
  <c r="V20" i="43"/>
  <c r="O45" i="58" s="1"/>
  <c r="AU18" i="43"/>
  <c r="V43" i="58" s="1"/>
  <c r="AT18" i="43"/>
  <c r="U43" i="58" s="1"/>
  <c r="AM18" i="43"/>
  <c r="V39" i="64" s="1"/>
  <c r="AL18" i="43"/>
  <c r="S43" i="58" s="1"/>
  <c r="AE18" i="43"/>
  <c r="R43" i="58" s="1"/>
  <c r="AD18" i="43"/>
  <c r="Q43" i="58" s="1"/>
  <c r="W18" i="43"/>
  <c r="P43" i="58" s="1"/>
  <c r="V18" i="43"/>
  <c r="AU16" i="43"/>
  <c r="V41" i="58" s="1"/>
  <c r="AT16" i="43"/>
  <c r="U41" i="58" s="1"/>
  <c r="AM16" i="43"/>
  <c r="T41" i="58" s="1"/>
  <c r="V37" i="64" s="1"/>
  <c r="AL16" i="43"/>
  <c r="S41" i="58" s="1"/>
  <c r="AE16" i="43"/>
  <c r="R41" i="58" s="1"/>
  <c r="AD16" i="43"/>
  <c r="Q41" i="58" s="1"/>
  <c r="W16" i="43"/>
  <c r="P41" i="58" s="1"/>
  <c r="V16" i="43"/>
  <c r="O41" i="58" s="1"/>
  <c r="O44" i="38"/>
  <c r="O42" i="38"/>
  <c r="O43" i="38"/>
  <c r="O45" i="38"/>
  <c r="O46" i="38"/>
  <c r="O47" i="38"/>
  <c r="O48" i="38"/>
  <c r="Z38" i="64" l="1"/>
  <c r="G18" i="69" s="1"/>
  <c r="AA38" i="64"/>
  <c r="H18" i="69" s="1"/>
  <c r="M37" i="60"/>
  <c r="L102" i="60"/>
  <c r="F43" i="62"/>
  <c r="C11" i="62" s="1"/>
  <c r="K102" i="60"/>
  <c r="K99" i="60"/>
  <c r="L99" i="60"/>
  <c r="L96" i="60"/>
  <c r="K96" i="60"/>
  <c r="L98" i="60"/>
  <c r="K98" i="60"/>
  <c r="AV18" i="43"/>
  <c r="W43" i="58" s="1"/>
  <c r="O43" i="58"/>
  <c r="X41" i="58"/>
  <c r="X43" i="58"/>
  <c r="AW20" i="43"/>
  <c r="BE20" i="43" s="1"/>
  <c r="P45" i="58"/>
  <c r="X46" i="58"/>
  <c r="AW22" i="43"/>
  <c r="BE22" i="43" s="1"/>
  <c r="P47" i="58"/>
  <c r="X48" i="58"/>
  <c r="W44" i="58"/>
  <c r="X44" i="58" s="1"/>
  <c r="AZ19" i="43"/>
  <c r="AY19" i="43"/>
  <c r="AZ17" i="43"/>
  <c r="AY17" i="43"/>
  <c r="AX17" i="43"/>
  <c r="AW17" i="43"/>
  <c r="AX19" i="43"/>
  <c r="AW19" i="43"/>
  <c r="AZ18" i="43"/>
  <c r="BH18" i="43" s="1"/>
  <c r="AX21" i="43"/>
  <c r="BF21" i="43" s="1"/>
  <c r="AY23" i="43"/>
  <c r="BG23" i="43" s="1"/>
  <c r="AX18" i="43"/>
  <c r="BF18" i="43" s="1"/>
  <c r="AV20" i="43"/>
  <c r="AV22" i="43"/>
  <c r="AX22" i="43"/>
  <c r="BF22" i="43" s="1"/>
  <c r="AV16" i="43"/>
  <c r="W41" i="58" s="1"/>
  <c r="AY21" i="43"/>
  <c r="BG21" i="43" s="1"/>
  <c r="AZ23" i="43"/>
  <c r="BH23" i="43" s="1"/>
  <c r="AW23" i="43"/>
  <c r="BE23" i="43" s="1"/>
  <c r="AY18" i="43"/>
  <c r="BG18" i="43" s="1"/>
  <c r="AV21" i="43"/>
  <c r="W46" i="58" s="1"/>
  <c r="AZ21" i="43"/>
  <c r="BH21" i="43" s="1"/>
  <c r="AV23" i="43"/>
  <c r="AX20" i="43"/>
  <c r="BF20" i="43" s="1"/>
  <c r="AZ20" i="43"/>
  <c r="BH20" i="43" s="1"/>
  <c r="AY16" i="43"/>
  <c r="AX16" i="43"/>
  <c r="BF16" i="43" s="1"/>
  <c r="AW16" i="43"/>
  <c r="BE16" i="43" s="1"/>
  <c r="AZ16" i="43"/>
  <c r="BH16" i="43" s="1"/>
  <c r="AY20" i="43"/>
  <c r="BG20" i="43" s="1"/>
  <c r="AW18" i="43"/>
  <c r="BE18" i="43" s="1"/>
  <c r="AW21" i="43"/>
  <c r="BE21" i="43" s="1"/>
  <c r="AY22" i="43"/>
  <c r="BG22" i="43" s="1"/>
  <c r="AX23" i="43"/>
  <c r="BF23" i="43" s="1"/>
  <c r="AZ22" i="43"/>
  <c r="BH22" i="43" s="1"/>
  <c r="Z40" i="64" l="1"/>
  <c r="G20" i="69" s="1"/>
  <c r="AA40" i="64"/>
  <c r="H20" i="69" s="1"/>
  <c r="J102" i="60"/>
  <c r="Z44" i="64"/>
  <c r="Y48" i="58"/>
  <c r="AA44" i="64" s="1"/>
  <c r="J100" i="60"/>
  <c r="Z42" i="64"/>
  <c r="Y46" i="58"/>
  <c r="AA42" i="64" s="1"/>
  <c r="J97" i="60"/>
  <c r="Z39" i="64"/>
  <c r="G19" i="69" s="1"/>
  <c r="Y43" i="58"/>
  <c r="AA39" i="64" s="1"/>
  <c r="H19" i="69" s="1"/>
  <c r="J95" i="60"/>
  <c r="Z37" i="64"/>
  <c r="G17" i="69" s="1"/>
  <c r="Y41" i="58"/>
  <c r="AA37" i="64" s="1"/>
  <c r="H17" i="69" s="1"/>
  <c r="C20" i="62"/>
  <c r="L95" i="60"/>
  <c r="K100" i="60"/>
  <c r="X47" i="58"/>
  <c r="K101" i="60"/>
  <c r="L101" i="60"/>
  <c r="X45" i="58"/>
  <c r="L100" i="60"/>
  <c r="K97" i="60"/>
  <c r="L97" i="60"/>
  <c r="K95" i="60"/>
  <c r="BA20" i="43"/>
  <c r="W45" i="58"/>
  <c r="BB17" i="43"/>
  <c r="BF17" i="43"/>
  <c r="BC17" i="43"/>
  <c r="BG17" i="43"/>
  <c r="Z46" i="58"/>
  <c r="BD17" i="43"/>
  <c r="BH17" i="43"/>
  <c r="BG19" i="43"/>
  <c r="BC19" i="43"/>
  <c r="BH19" i="43"/>
  <c r="BD19" i="43"/>
  <c r="Z43" i="58"/>
  <c r="BD18" i="43"/>
  <c r="BA19" i="43"/>
  <c r="BE19" i="43"/>
  <c r="M95" i="60"/>
  <c r="Z41" i="58"/>
  <c r="BC23" i="43"/>
  <c r="W48" i="58"/>
  <c r="BF19" i="43"/>
  <c r="BB19" i="43"/>
  <c r="Z48" i="58"/>
  <c r="BA22" i="43"/>
  <c r="W47" i="58"/>
  <c r="BA17" i="43"/>
  <c r="BE17" i="43"/>
  <c r="BB18" i="43"/>
  <c r="BB21" i="43"/>
  <c r="BD21" i="43"/>
  <c r="BB22" i="43"/>
  <c r="BC18" i="43"/>
  <c r="BC21" i="43"/>
  <c r="BA23" i="43"/>
  <c r="BD23" i="43"/>
  <c r="BD22" i="43"/>
  <c r="BB23" i="43"/>
  <c r="BA18" i="43"/>
  <c r="BC16" i="43"/>
  <c r="BD20" i="43"/>
  <c r="BC20" i="43"/>
  <c r="BC22" i="43"/>
  <c r="BB20" i="43"/>
  <c r="BB16" i="43"/>
  <c r="BA21" i="43"/>
  <c r="BD16" i="43"/>
  <c r="BA16" i="43"/>
  <c r="M97" i="60" l="1"/>
  <c r="J101" i="60"/>
  <c r="Z43" i="64"/>
  <c r="Y47" i="58"/>
  <c r="AA43" i="64" s="1"/>
  <c r="H22" i="69" s="1"/>
  <c r="G22" i="69"/>
  <c r="J99" i="60"/>
  <c r="Z41" i="64"/>
  <c r="G21" i="69" s="1"/>
  <c r="Y45" i="58"/>
  <c r="AA41" i="64" s="1"/>
  <c r="H21" i="69" s="1"/>
  <c r="Z47" i="58"/>
  <c r="AH47" i="58" s="1"/>
  <c r="F16" i="63"/>
  <c r="E16" i="63"/>
  <c r="D16" i="63"/>
  <c r="G16" i="63"/>
  <c r="K103" i="60"/>
  <c r="D49" i="62" s="1"/>
  <c r="Z45" i="58"/>
  <c r="AH45" i="58" s="1"/>
  <c r="M101" i="60"/>
  <c r="L103" i="60"/>
  <c r="E49" i="62" s="1"/>
  <c r="AE48" i="58"/>
  <c r="M102" i="60"/>
  <c r="AE46" i="58"/>
  <c r="M100" i="60"/>
  <c r="AE47" i="58"/>
  <c r="AH41" i="58"/>
  <c r="AA41" i="58"/>
  <c r="AA46" i="58"/>
  <c r="AH46" i="58"/>
  <c r="AE41" i="58"/>
  <c r="AH48" i="58"/>
  <c r="AA48" i="58"/>
  <c r="AA43" i="58"/>
  <c r="AH43" i="58"/>
  <c r="AE43" i="58"/>
  <c r="BA24" i="43"/>
  <c r="BB24" i="43"/>
  <c r="BD24" i="43"/>
  <c r="BC24" i="43"/>
  <c r="AA47" i="58" l="1"/>
  <c r="AB46" i="58"/>
  <c r="AA45" i="58"/>
  <c r="AB45" i="58" s="1"/>
  <c r="H16" i="63"/>
  <c r="I16" i="63" s="1"/>
  <c r="AE45" i="58"/>
  <c r="M99" i="60"/>
  <c r="I21" i="42"/>
  <c r="E47" i="59" s="1"/>
  <c r="D88" i="60" s="1"/>
  <c r="I22" i="42"/>
  <c r="E48" i="59" s="1"/>
  <c r="D89" i="60" s="1"/>
  <c r="I20" i="42"/>
  <c r="E46" i="59" s="1"/>
  <c r="D87" i="60" s="1"/>
  <c r="I17" i="42"/>
  <c r="E43" i="59" s="1"/>
  <c r="D84" i="60" s="1"/>
  <c r="I18" i="42"/>
  <c r="E44" i="59" s="1"/>
  <c r="D85" i="60" s="1"/>
  <c r="I19" i="42"/>
  <c r="E45" i="59" s="1"/>
  <c r="D86" i="60" s="1"/>
  <c r="I16" i="42"/>
  <c r="E42" i="59" s="1"/>
  <c r="D83" i="60" s="1"/>
  <c r="H17" i="42"/>
  <c r="H18" i="42"/>
  <c r="H19" i="42"/>
  <c r="H20" i="42"/>
  <c r="H21" i="42"/>
  <c r="H22" i="42"/>
  <c r="H16" i="42"/>
  <c r="G17" i="42"/>
  <c r="Q43" i="59" s="1"/>
  <c r="G18" i="42"/>
  <c r="Q44" i="59" s="1"/>
  <c r="G19" i="42"/>
  <c r="Q45" i="59" s="1"/>
  <c r="G20" i="42"/>
  <c r="Q46" i="59" s="1"/>
  <c r="G21" i="42"/>
  <c r="Q47" i="59" s="1"/>
  <c r="E88" i="60" s="1"/>
  <c r="G22" i="42"/>
  <c r="Q48" i="59" s="1"/>
  <c r="E89" i="60" s="1"/>
  <c r="G16" i="42"/>
  <c r="Q42" i="59" s="1"/>
  <c r="E83" i="60" s="1"/>
  <c r="D22" i="42"/>
  <c r="D21" i="42"/>
  <c r="D20" i="42"/>
  <c r="D17" i="42"/>
  <c r="D18" i="42"/>
  <c r="D19" i="42"/>
  <c r="D16" i="42"/>
  <c r="C20" i="42"/>
  <c r="C18" i="42"/>
  <c r="C16" i="42"/>
  <c r="B16" i="42"/>
  <c r="AU22" i="42"/>
  <c r="V40" i="58" s="1"/>
  <c r="AT22" i="42"/>
  <c r="U40" i="58" s="1"/>
  <c r="AM22" i="42"/>
  <c r="T40" i="58" s="1"/>
  <c r="V36" i="64" s="1"/>
  <c r="AL22" i="42"/>
  <c r="S40" i="58" s="1"/>
  <c r="AE22" i="42"/>
  <c r="R40" i="58" s="1"/>
  <c r="AD22" i="42"/>
  <c r="Q40" i="58" s="1"/>
  <c r="W22" i="42"/>
  <c r="V22" i="42"/>
  <c r="O40" i="58" s="1"/>
  <c r="AY21" i="42"/>
  <c r="BG21" i="42" s="1"/>
  <c r="AX21" i="42"/>
  <c r="BF21" i="42" s="1"/>
  <c r="AW21" i="42"/>
  <c r="BE21" i="42" s="1"/>
  <c r="AU21" i="42"/>
  <c r="AT21" i="42"/>
  <c r="U39" i="58" s="1"/>
  <c r="AL21" i="42"/>
  <c r="S39" i="58" s="1"/>
  <c r="AD21" i="42"/>
  <c r="Q39" i="58" s="1"/>
  <c r="V21" i="42"/>
  <c r="O39" i="58" s="1"/>
  <c r="AY20" i="42"/>
  <c r="BG20" i="42" s="1"/>
  <c r="AX20" i="42"/>
  <c r="BF20" i="42" s="1"/>
  <c r="AW20" i="42"/>
  <c r="BE20" i="42" s="1"/>
  <c r="AU20" i="42"/>
  <c r="AT20" i="42"/>
  <c r="U38" i="58" s="1"/>
  <c r="AL20" i="42"/>
  <c r="S38" i="58" s="1"/>
  <c r="AD20" i="42"/>
  <c r="Q38" i="58" s="1"/>
  <c r="V20" i="42"/>
  <c r="O38" i="58" s="1"/>
  <c r="AU19" i="42"/>
  <c r="V37" i="58" s="1"/>
  <c r="AR19" i="42"/>
  <c r="AP19" i="42"/>
  <c r="AN19" i="42"/>
  <c r="AM19" i="42"/>
  <c r="T37" i="58" s="1"/>
  <c r="V33" i="64" s="1"/>
  <c r="AJ19" i="42"/>
  <c r="AH19" i="42"/>
  <c r="AF19" i="42"/>
  <c r="AE19" i="42"/>
  <c r="R37" i="58" s="1"/>
  <c r="Z19" i="42"/>
  <c r="X19" i="42"/>
  <c r="W19" i="42"/>
  <c r="V19" i="42"/>
  <c r="O37" i="58" s="1"/>
  <c r="AU18" i="42"/>
  <c r="V36" i="58" s="1"/>
  <c r="AP18" i="42"/>
  <c r="AN18" i="42"/>
  <c r="AM18" i="42"/>
  <c r="T36" i="58" s="1"/>
  <c r="V32" i="64" s="1"/>
  <c r="AJ18" i="42"/>
  <c r="AH18" i="42"/>
  <c r="AF18" i="42"/>
  <c r="AE18" i="42"/>
  <c r="R36" i="58" s="1"/>
  <c r="AB18" i="42"/>
  <c r="Z18" i="42"/>
  <c r="X18" i="42"/>
  <c r="W18" i="42"/>
  <c r="P36" i="58" s="1"/>
  <c r="T18" i="42"/>
  <c r="R18" i="42"/>
  <c r="AU17" i="42"/>
  <c r="V35" i="58" s="1"/>
  <c r="AT17" i="42"/>
  <c r="U35" i="58" s="1"/>
  <c r="AM17" i="42"/>
  <c r="T35" i="58" s="1"/>
  <c r="V31" i="64" s="1"/>
  <c r="AL17" i="42"/>
  <c r="S35" i="58" s="1"/>
  <c r="AE17" i="42"/>
  <c r="R35" i="58" s="1"/>
  <c r="AD17" i="42"/>
  <c r="Q35" i="58" s="1"/>
  <c r="W17" i="42"/>
  <c r="P35" i="58" s="1"/>
  <c r="V17" i="42"/>
  <c r="O35" i="58" s="1"/>
  <c r="AU16" i="42"/>
  <c r="V34" i="58" s="1"/>
  <c r="AT16" i="42"/>
  <c r="U34" i="58" s="1"/>
  <c r="AM16" i="42"/>
  <c r="T34" i="58" s="1"/>
  <c r="V30" i="64" s="1"/>
  <c r="AL16" i="42"/>
  <c r="S34" i="58" s="1"/>
  <c r="AE16" i="42"/>
  <c r="R34" i="58" s="1"/>
  <c r="AD16" i="42"/>
  <c r="Q34" i="58" s="1"/>
  <c r="W16" i="42"/>
  <c r="P34" i="58" s="1"/>
  <c r="V16" i="42"/>
  <c r="O34" i="58" s="1"/>
  <c r="E40" i="38"/>
  <c r="E39" i="38"/>
  <c r="E38" i="38"/>
  <c r="E37" i="38"/>
  <c r="E36" i="38"/>
  <c r="E35" i="38"/>
  <c r="E34" i="38"/>
  <c r="E20" i="42" l="1"/>
  <c r="E38" i="58"/>
  <c r="E21" i="42"/>
  <c r="E39" i="58"/>
  <c r="E22" i="42"/>
  <c r="E40" i="58"/>
  <c r="E16" i="42"/>
  <c r="E34" i="58"/>
  <c r="E18" i="42"/>
  <c r="E36" i="58"/>
  <c r="E17" i="42"/>
  <c r="E35" i="58"/>
  <c r="E19" i="42"/>
  <c r="E37" i="58"/>
  <c r="K86" i="60"/>
  <c r="L86" i="60"/>
  <c r="K83" i="60"/>
  <c r="L83" i="60"/>
  <c r="K88" i="60"/>
  <c r="L88" i="60"/>
  <c r="L87" i="60"/>
  <c r="K87" i="60"/>
  <c r="AY22" i="42"/>
  <c r="BG22" i="42" s="1"/>
  <c r="P40" i="58"/>
  <c r="AW19" i="42"/>
  <c r="BE19" i="42" s="1"/>
  <c r="P37" i="58"/>
  <c r="AZ20" i="42"/>
  <c r="BH20" i="42" s="1"/>
  <c r="V38" i="58"/>
  <c r="X38" i="58" s="1"/>
  <c r="AZ21" i="42"/>
  <c r="BH21" i="42" s="1"/>
  <c r="V39" i="58"/>
  <c r="X39" i="58" s="1"/>
  <c r="X35" i="58"/>
  <c r="X34" i="58"/>
  <c r="X36" i="58"/>
  <c r="AZ17" i="42"/>
  <c r="BH17" i="42" s="1"/>
  <c r="V18" i="42"/>
  <c r="O36" i="58" s="1"/>
  <c r="AT19" i="42"/>
  <c r="U37" i="58" s="1"/>
  <c r="AY18" i="42"/>
  <c r="BG18" i="42" s="1"/>
  <c r="AV16" i="42"/>
  <c r="W34" i="58" s="1"/>
  <c r="AL18" i="42"/>
  <c r="S36" i="58" s="1"/>
  <c r="AZ16" i="42"/>
  <c r="BH16" i="42" s="1"/>
  <c r="AV17" i="42"/>
  <c r="AD18" i="42"/>
  <c r="Q36" i="58" s="1"/>
  <c r="AY17" i="42"/>
  <c r="BG17" i="42" s="1"/>
  <c r="AZ18" i="42"/>
  <c r="BH18" i="42" s="1"/>
  <c r="AL19" i="42"/>
  <c r="S37" i="58" s="1"/>
  <c r="AX19" i="42"/>
  <c r="BF19" i="42" s="1"/>
  <c r="AV20" i="42"/>
  <c r="W38" i="58" s="1"/>
  <c r="AD19" i="42"/>
  <c r="Q37" i="58" s="1"/>
  <c r="AV21" i="42"/>
  <c r="AT18" i="42"/>
  <c r="U36" i="58" s="1"/>
  <c r="AV22" i="42"/>
  <c r="AZ22" i="42"/>
  <c r="BH22" i="42" s="1"/>
  <c r="AX16" i="42"/>
  <c r="BF16" i="42" s="1"/>
  <c r="AW17" i="42"/>
  <c r="BE17" i="42" s="1"/>
  <c r="AW18" i="42"/>
  <c r="BE18" i="42" s="1"/>
  <c r="AY19" i="42"/>
  <c r="BG19" i="42" s="1"/>
  <c r="AW22" i="42"/>
  <c r="BE22" i="42" s="1"/>
  <c r="AW16" i="42"/>
  <c r="AY16" i="42"/>
  <c r="BG16" i="42" s="1"/>
  <c r="AX17" i="42"/>
  <c r="BF17" i="42" s="1"/>
  <c r="AX18" i="42"/>
  <c r="BF18" i="42" s="1"/>
  <c r="AZ19" i="42"/>
  <c r="BH19" i="42" s="1"/>
  <c r="AX22" i="42"/>
  <c r="BF22" i="42" s="1"/>
  <c r="J88" i="60" l="1"/>
  <c r="Z35" i="64"/>
  <c r="Y39" i="58"/>
  <c r="AA35" i="64" s="1"/>
  <c r="J87" i="60"/>
  <c r="Z34" i="64"/>
  <c r="Y38" i="58"/>
  <c r="AA34" i="64" s="1"/>
  <c r="J85" i="60"/>
  <c r="Z32" i="64"/>
  <c r="Y36" i="58"/>
  <c r="AA32" i="64" s="1"/>
  <c r="J84" i="60"/>
  <c r="Z31" i="64"/>
  <c r="Y35" i="58"/>
  <c r="AA31" i="64" s="1"/>
  <c r="J83" i="60"/>
  <c r="Z30" i="64"/>
  <c r="G14" i="69" s="1"/>
  <c r="Y34" i="58"/>
  <c r="AA30" i="64" s="1"/>
  <c r="H14" i="69" s="1"/>
  <c r="K84" i="60"/>
  <c r="L84" i="60"/>
  <c r="L85" i="60"/>
  <c r="K85" i="60"/>
  <c r="X37" i="58"/>
  <c r="X40" i="58"/>
  <c r="L89" i="60"/>
  <c r="K89" i="60"/>
  <c r="G15" i="63" s="1"/>
  <c r="M87" i="60"/>
  <c r="Z38" i="58"/>
  <c r="BE16" i="42"/>
  <c r="BA16" i="42"/>
  <c r="Z36" i="58"/>
  <c r="BC22" i="42"/>
  <c r="W40" i="58"/>
  <c r="M83" i="60"/>
  <c r="Z34" i="58"/>
  <c r="Z39" i="58"/>
  <c r="BA21" i="42"/>
  <c r="W39" i="58"/>
  <c r="BD17" i="42"/>
  <c r="W35" i="58"/>
  <c r="M84" i="60" s="1"/>
  <c r="Z35" i="58"/>
  <c r="BD21" i="42"/>
  <c r="BD20" i="42"/>
  <c r="BB21" i="42"/>
  <c r="BC21" i="42"/>
  <c r="AV18" i="42"/>
  <c r="W36" i="58" s="1"/>
  <c r="AV19" i="42"/>
  <c r="W37" i="58" s="1"/>
  <c r="BC20" i="42"/>
  <c r="BD16" i="42"/>
  <c r="BD22" i="42"/>
  <c r="BB20" i="42"/>
  <c r="BA20" i="42"/>
  <c r="BC17" i="42"/>
  <c r="BB16" i="42"/>
  <c r="BB22" i="42"/>
  <c r="BB17" i="42"/>
  <c r="BC16" i="42"/>
  <c r="BA22" i="42"/>
  <c r="BA17" i="42"/>
  <c r="J89" i="60" l="1"/>
  <c r="Z36" i="64"/>
  <c r="Y40" i="58"/>
  <c r="AA36" i="64" s="1"/>
  <c r="H16" i="69" s="1"/>
  <c r="G16" i="69"/>
  <c r="J86" i="60"/>
  <c r="Z33" i="64"/>
  <c r="Y37" i="58"/>
  <c r="AA33" i="64" s="1"/>
  <c r="H15" i="69" s="1"/>
  <c r="G15" i="69"/>
  <c r="M85" i="60"/>
  <c r="E15" i="63"/>
  <c r="F15" i="63"/>
  <c r="D15" i="63"/>
  <c r="H15" i="63" s="1"/>
  <c r="I15" i="63" s="1"/>
  <c r="BB18" i="42"/>
  <c r="L90" i="60"/>
  <c r="E48" i="62" s="1"/>
  <c r="M86" i="60"/>
  <c r="Z37" i="58"/>
  <c r="AA37" i="58" s="1"/>
  <c r="BC19" i="42"/>
  <c r="BD19" i="42"/>
  <c r="K90" i="60"/>
  <c r="D48" i="62" s="1"/>
  <c r="AE40" i="58"/>
  <c r="AE39" i="58"/>
  <c r="M88" i="60"/>
  <c r="Z40" i="58"/>
  <c r="AA40" i="58" s="1"/>
  <c r="AH36" i="58"/>
  <c r="AA36" i="58"/>
  <c r="AH39" i="58"/>
  <c r="AA39" i="58"/>
  <c r="AH35" i="58"/>
  <c r="AA35" i="58"/>
  <c r="AH34" i="58"/>
  <c r="AA34" i="58"/>
  <c r="AB34" i="58" s="1"/>
  <c r="AE35" i="58"/>
  <c r="AE34" i="58"/>
  <c r="BC18" i="42"/>
  <c r="AH38" i="58"/>
  <c r="AA38" i="58"/>
  <c r="AE38" i="58"/>
  <c r="BA18" i="42"/>
  <c r="AE36" i="58" s="1"/>
  <c r="BD18" i="42"/>
  <c r="BB19" i="42"/>
  <c r="BB23" i="42" s="1"/>
  <c r="BA19" i="42"/>
  <c r="AB38" i="58" l="1"/>
  <c r="AH37" i="58"/>
  <c r="AB36" i="58"/>
  <c r="AE37" i="58"/>
  <c r="M89" i="60"/>
  <c r="M90" i="60" s="1"/>
  <c r="F48" i="62" s="1"/>
  <c r="C15" i="62" s="1"/>
  <c r="BC23" i="42"/>
  <c r="BD23" i="42"/>
  <c r="AH40" i="58"/>
  <c r="BA23" i="42"/>
  <c r="AV22" i="41"/>
  <c r="AT22" i="41"/>
  <c r="U19" i="58" s="1"/>
  <c r="AU22" i="41"/>
  <c r="AM22" i="41"/>
  <c r="AL22" i="41"/>
  <c r="S19" i="58" s="1"/>
  <c r="AE22" i="41"/>
  <c r="R19" i="58" s="1"/>
  <c r="AD22" i="41"/>
  <c r="Q19" i="58" s="1"/>
  <c r="W22" i="41"/>
  <c r="P19" i="58" s="1"/>
  <c r="V22" i="41"/>
  <c r="O19" i="58" s="1"/>
  <c r="K63" i="60" l="1"/>
  <c r="W19" i="58"/>
  <c r="AW22" i="41"/>
  <c r="AZ22" i="41"/>
  <c r="AY22" i="41"/>
  <c r="AX22" i="41"/>
  <c r="BF22" i="41" s="1"/>
  <c r="I17" i="41"/>
  <c r="E22" i="59" s="1"/>
  <c r="D58" i="60" s="1"/>
  <c r="I18" i="41"/>
  <c r="E23" i="59" s="1"/>
  <c r="D59" i="60" s="1"/>
  <c r="I19" i="41"/>
  <c r="E24" i="59" s="1"/>
  <c r="D60" i="60" s="1"/>
  <c r="I20" i="41"/>
  <c r="E25" i="59" s="1"/>
  <c r="D61" i="60" s="1"/>
  <c r="I21" i="41"/>
  <c r="E26" i="59" s="1"/>
  <c r="D62" i="60" s="1"/>
  <c r="I22" i="41"/>
  <c r="E27" i="59" s="1"/>
  <c r="D63" i="60" s="1"/>
  <c r="I23" i="41"/>
  <c r="E28" i="59" s="1"/>
  <c r="D64" i="60" s="1"/>
  <c r="I24" i="41"/>
  <c r="E29" i="59" s="1"/>
  <c r="D65" i="60" s="1"/>
  <c r="I25" i="41"/>
  <c r="E30" i="59" s="1"/>
  <c r="D66" i="60" s="1"/>
  <c r="I26" i="41"/>
  <c r="E31" i="59" s="1"/>
  <c r="D67" i="60" s="1"/>
  <c r="I27" i="41"/>
  <c r="E32" i="59" s="1"/>
  <c r="D68" i="60" s="1"/>
  <c r="I28" i="41"/>
  <c r="E33" i="59" s="1"/>
  <c r="D69" i="60" s="1"/>
  <c r="I29" i="41"/>
  <c r="E34" i="59" s="1"/>
  <c r="D70" i="60" s="1"/>
  <c r="I30" i="41"/>
  <c r="E35" i="59" s="1"/>
  <c r="D71" i="60" s="1"/>
  <c r="I31" i="41"/>
  <c r="E36" i="59" s="1"/>
  <c r="D72" i="60" s="1"/>
  <c r="I32" i="41"/>
  <c r="E37" i="59" s="1"/>
  <c r="D73" i="60" s="1"/>
  <c r="I33" i="41"/>
  <c r="E38" i="59" s="1"/>
  <c r="D74" i="60" s="1"/>
  <c r="I34" i="41"/>
  <c r="E39" i="59" s="1"/>
  <c r="D75" i="60" s="1"/>
  <c r="I35" i="41"/>
  <c r="E40" i="59" s="1"/>
  <c r="D76" i="60" s="1"/>
  <c r="I36" i="41"/>
  <c r="E41" i="59" s="1"/>
  <c r="D77" i="60" s="1"/>
  <c r="I16" i="41"/>
  <c r="E21" i="59" s="1"/>
  <c r="D57" i="60" s="1"/>
  <c r="H17" i="41"/>
  <c r="H18" i="41"/>
  <c r="H19" i="41"/>
  <c r="H20" i="41"/>
  <c r="H21" i="41"/>
  <c r="H22" i="41"/>
  <c r="H23" i="41"/>
  <c r="H24" i="41"/>
  <c r="H25" i="41"/>
  <c r="H26" i="41"/>
  <c r="H27" i="41"/>
  <c r="H28" i="41"/>
  <c r="H29" i="41"/>
  <c r="H30" i="41"/>
  <c r="H31" i="41"/>
  <c r="H32" i="41"/>
  <c r="H33" i="41"/>
  <c r="H34" i="41"/>
  <c r="H35" i="41"/>
  <c r="H36" i="41"/>
  <c r="H16" i="41"/>
  <c r="G17" i="41"/>
  <c r="Q22" i="59" s="1"/>
  <c r="E58" i="60" s="1"/>
  <c r="G18" i="41"/>
  <c r="Q23" i="59" s="1"/>
  <c r="E59" i="60" s="1"/>
  <c r="G19" i="41"/>
  <c r="Q24" i="59" s="1"/>
  <c r="E60" i="60" s="1"/>
  <c r="G20" i="41"/>
  <c r="Q25" i="59" s="1"/>
  <c r="E61" i="60" s="1"/>
  <c r="G21" i="41"/>
  <c r="Q26" i="59" s="1"/>
  <c r="E62" i="60" s="1"/>
  <c r="G22" i="41"/>
  <c r="Q27" i="59" s="1"/>
  <c r="E63" i="60" s="1"/>
  <c r="G23" i="41"/>
  <c r="Q28" i="59" s="1"/>
  <c r="E64" i="60" s="1"/>
  <c r="G24" i="41"/>
  <c r="Q29" i="59" s="1"/>
  <c r="E65" i="60" s="1"/>
  <c r="G25" i="41"/>
  <c r="Q30" i="59" s="1"/>
  <c r="E66" i="60" s="1"/>
  <c r="G26" i="41"/>
  <c r="Q31" i="59" s="1"/>
  <c r="E67" i="60" s="1"/>
  <c r="G27" i="41"/>
  <c r="Q32" i="59" s="1"/>
  <c r="E68" i="60" s="1"/>
  <c r="G28" i="41"/>
  <c r="Q33" i="59" s="1"/>
  <c r="E69" i="60" s="1"/>
  <c r="G29" i="41"/>
  <c r="Q34" i="59" s="1"/>
  <c r="E70" i="60" s="1"/>
  <c r="G30" i="41"/>
  <c r="Q35" i="59" s="1"/>
  <c r="E71" i="60" s="1"/>
  <c r="G31" i="41"/>
  <c r="Q36" i="59" s="1"/>
  <c r="E72" i="60" s="1"/>
  <c r="G32" i="41"/>
  <c r="Q37" i="59" s="1"/>
  <c r="E73" i="60" s="1"/>
  <c r="G33" i="41"/>
  <c r="Q38" i="59" s="1"/>
  <c r="E74" i="60" s="1"/>
  <c r="G34" i="41"/>
  <c r="Q39" i="59" s="1"/>
  <c r="E75" i="60" s="1"/>
  <c r="G35" i="41"/>
  <c r="Q40" i="59" s="1"/>
  <c r="E76" i="60" s="1"/>
  <c r="G36" i="41"/>
  <c r="Q41" i="59" s="1"/>
  <c r="E77" i="60" s="1"/>
  <c r="G16" i="41"/>
  <c r="Q21" i="59" s="1"/>
  <c r="E57" i="60" s="1"/>
  <c r="E17" i="41"/>
  <c r="E18" i="41"/>
  <c r="E19" i="41"/>
  <c r="E20" i="41"/>
  <c r="E21" i="41"/>
  <c r="E22" i="41"/>
  <c r="E23" i="41"/>
  <c r="E24" i="41"/>
  <c r="E25" i="41"/>
  <c r="E26" i="41"/>
  <c r="E27" i="41"/>
  <c r="E28" i="41"/>
  <c r="E29" i="41"/>
  <c r="E30" i="41"/>
  <c r="E31" i="41"/>
  <c r="E32" i="41"/>
  <c r="E33" i="41"/>
  <c r="E34" i="41"/>
  <c r="E35" i="41"/>
  <c r="E36" i="41"/>
  <c r="E16" i="41"/>
  <c r="D36" i="41"/>
  <c r="D35" i="41"/>
  <c r="D34" i="41"/>
  <c r="D33" i="41"/>
  <c r="D32" i="41"/>
  <c r="D31" i="41"/>
  <c r="D30" i="41"/>
  <c r="D29" i="41"/>
  <c r="D28" i="41"/>
  <c r="D27" i="41"/>
  <c r="D26" i="41"/>
  <c r="D25" i="41"/>
  <c r="D24" i="41"/>
  <c r="D23" i="41"/>
  <c r="D22" i="41"/>
  <c r="D21" i="41"/>
  <c r="D20" i="41"/>
  <c r="D19" i="41"/>
  <c r="D18" i="41"/>
  <c r="D17" i="41"/>
  <c r="D16" i="41"/>
  <c r="BB22" i="41" l="1"/>
  <c r="BC22" i="41"/>
  <c r="BD22" i="41"/>
  <c r="BH22" i="41"/>
  <c r="BA22" i="41"/>
  <c r="BE22" i="41"/>
  <c r="J42" i="60"/>
  <c r="J158" i="60"/>
  <c r="J108" i="60"/>
  <c r="J156" i="60"/>
  <c r="J109" i="60"/>
  <c r="J121" i="60"/>
  <c r="J155" i="60"/>
  <c r="J157" i="60"/>
  <c r="J98" i="60"/>
  <c r="J154" i="60"/>
  <c r="J110" i="60"/>
  <c r="X19" i="58"/>
  <c r="J96" i="60"/>
  <c r="J122" i="60"/>
  <c r="J49" i="60"/>
  <c r="AU36" i="41"/>
  <c r="V33" i="58" s="1"/>
  <c r="AT36" i="41"/>
  <c r="U33" i="58" s="1"/>
  <c r="AM36" i="41"/>
  <c r="T33" i="58" s="1"/>
  <c r="V29" i="64" s="1"/>
  <c r="AL36" i="41"/>
  <c r="S33" i="58" s="1"/>
  <c r="AE36" i="41"/>
  <c r="R33" i="58" s="1"/>
  <c r="AD36" i="41"/>
  <c r="Q33" i="58" s="1"/>
  <c r="W36" i="41"/>
  <c r="P33" i="58" s="1"/>
  <c r="V36" i="41"/>
  <c r="O33" i="58" s="1"/>
  <c r="R41" i="59"/>
  <c r="AU35" i="41"/>
  <c r="V32" i="58" s="1"/>
  <c r="AT35" i="41"/>
  <c r="U32" i="58" s="1"/>
  <c r="AM35" i="41"/>
  <c r="T32" i="58" s="1"/>
  <c r="V28" i="64" s="1"/>
  <c r="AL35" i="41"/>
  <c r="S32" i="58" s="1"/>
  <c r="AE35" i="41"/>
  <c r="R32" i="58" s="1"/>
  <c r="AD35" i="41"/>
  <c r="Q32" i="58" s="1"/>
  <c r="W35" i="41"/>
  <c r="V35" i="41"/>
  <c r="O32" i="58" s="1"/>
  <c r="R40" i="59"/>
  <c r="AU34" i="41"/>
  <c r="V31" i="58" s="1"/>
  <c r="AT34" i="41"/>
  <c r="U31" i="58" s="1"/>
  <c r="AM34" i="41"/>
  <c r="T31" i="58" s="1"/>
  <c r="V27" i="64" s="1"/>
  <c r="AL34" i="41"/>
  <c r="S31" i="58" s="1"/>
  <c r="AE34" i="41"/>
  <c r="R31" i="58" s="1"/>
  <c r="AD34" i="41"/>
  <c r="Q31" i="58" s="1"/>
  <c r="W34" i="41"/>
  <c r="V34" i="41"/>
  <c r="O31" i="58" s="1"/>
  <c r="R39" i="59"/>
  <c r="AU33" i="41"/>
  <c r="V30" i="58" s="1"/>
  <c r="AT33" i="41"/>
  <c r="U30" i="58" s="1"/>
  <c r="AM33" i="41"/>
  <c r="T30" i="58" s="1"/>
  <c r="V26" i="64" s="1"/>
  <c r="AL33" i="41"/>
  <c r="S30" i="58" s="1"/>
  <c r="AE33" i="41"/>
  <c r="R30" i="58" s="1"/>
  <c r="AD33" i="41"/>
  <c r="Q30" i="58" s="1"/>
  <c r="W33" i="41"/>
  <c r="V33" i="41"/>
  <c r="O30" i="58" s="1"/>
  <c r="R38" i="59"/>
  <c r="C33" i="41" a="1"/>
  <c r="C33" i="41" s="1"/>
  <c r="AU32" i="41"/>
  <c r="V29" i="58" s="1"/>
  <c r="AM32" i="41"/>
  <c r="T29" i="58" s="1"/>
  <c r="V25" i="64" s="1"/>
  <c r="AF32" i="41"/>
  <c r="AL32" i="41" s="1"/>
  <c r="S29" i="58" s="1"/>
  <c r="U25" i="64" s="1"/>
  <c r="AE32" i="41"/>
  <c r="R29" i="58" s="1"/>
  <c r="AB32" i="41"/>
  <c r="Z32" i="41"/>
  <c r="X32" i="41"/>
  <c r="W32" i="41"/>
  <c r="T32" i="41"/>
  <c r="R32" i="41"/>
  <c r="R37" i="59"/>
  <c r="AU31" i="41"/>
  <c r="V28" i="58" s="1"/>
  <c r="AM31" i="41"/>
  <c r="T28" i="58" s="1"/>
  <c r="V24" i="64" s="1"/>
  <c r="AF31" i="41"/>
  <c r="AE31" i="41"/>
  <c r="R28" i="58" s="1"/>
  <c r="AB31" i="41"/>
  <c r="Z31" i="41"/>
  <c r="X31" i="41"/>
  <c r="W31" i="41"/>
  <c r="T31" i="41"/>
  <c r="R31" i="41"/>
  <c r="R36" i="59"/>
  <c r="AU30" i="41"/>
  <c r="V27" i="58" s="1"/>
  <c r="AT30" i="41"/>
  <c r="U27" i="58" s="1"/>
  <c r="W23" i="64" s="1"/>
  <c r="AM30" i="41"/>
  <c r="T27" i="58" s="1"/>
  <c r="V23" i="64" s="1"/>
  <c r="AL30" i="41"/>
  <c r="S27" i="58" s="1"/>
  <c r="U23" i="64" s="1"/>
  <c r="AE30" i="41"/>
  <c r="R27" i="58" s="1"/>
  <c r="AD30" i="41"/>
  <c r="Q27" i="58" s="1"/>
  <c r="W30" i="41"/>
  <c r="V30" i="41"/>
  <c r="O27" i="58" s="1"/>
  <c r="R35" i="59"/>
  <c r="AU29" i="41"/>
  <c r="V26" i="58" s="1"/>
  <c r="AM29" i="41"/>
  <c r="T26" i="58" s="1"/>
  <c r="V22" i="64" s="1"/>
  <c r="AF29" i="41"/>
  <c r="AE29" i="41"/>
  <c r="R26" i="58" s="1"/>
  <c r="AB29" i="41"/>
  <c r="Z29" i="41"/>
  <c r="X29" i="41"/>
  <c r="W29" i="41"/>
  <c r="P26" i="58" s="1"/>
  <c r="T29" i="41"/>
  <c r="R29" i="41"/>
  <c r="P29" i="41"/>
  <c r="R34" i="59"/>
  <c r="AU28" i="41"/>
  <c r="V25" i="58" s="1"/>
  <c r="AM28" i="41"/>
  <c r="T25" i="58" s="1"/>
  <c r="V21" i="64" s="1"/>
  <c r="AF28" i="41"/>
  <c r="AE28" i="41"/>
  <c r="R25" i="58" s="1"/>
  <c r="AB28" i="41"/>
  <c r="Z28" i="41"/>
  <c r="X28" i="41"/>
  <c r="W28" i="41"/>
  <c r="T28" i="41"/>
  <c r="R28" i="41"/>
  <c r="P28" i="41"/>
  <c r="R33" i="59"/>
  <c r="AU27" i="41"/>
  <c r="V24" i="58" s="1"/>
  <c r="AM27" i="41"/>
  <c r="T24" i="58" s="1"/>
  <c r="V20" i="64" s="1"/>
  <c r="AF27" i="41"/>
  <c r="AE27" i="41"/>
  <c r="R24" i="58" s="1"/>
  <c r="AB27" i="41"/>
  <c r="Z27" i="41"/>
  <c r="X27" i="41"/>
  <c r="W27" i="41"/>
  <c r="T27" i="41"/>
  <c r="V27" i="41" s="1"/>
  <c r="O24" i="58" s="1"/>
  <c r="C27" i="41" a="1"/>
  <c r="C27" i="41" s="1"/>
  <c r="AU26" i="41"/>
  <c r="V23" i="58" s="1"/>
  <c r="AT26" i="41"/>
  <c r="U23" i="58" s="1"/>
  <c r="AM26" i="41"/>
  <c r="T23" i="58" s="1"/>
  <c r="V18" i="64" s="1"/>
  <c r="AL26" i="41"/>
  <c r="S23" i="58" s="1"/>
  <c r="AE26" i="41"/>
  <c r="R23" i="58" s="1"/>
  <c r="AD26" i="41"/>
  <c r="Q23" i="58" s="1"/>
  <c r="W26" i="41"/>
  <c r="V26" i="41"/>
  <c r="O23" i="58" s="1"/>
  <c r="R31" i="59"/>
  <c r="AU25" i="41"/>
  <c r="V22" i="58" s="1"/>
  <c r="AT25" i="41"/>
  <c r="U22" i="58" s="1"/>
  <c r="AM25" i="41"/>
  <c r="T22" i="58" s="1"/>
  <c r="V17" i="64" s="1"/>
  <c r="AL25" i="41"/>
  <c r="S22" i="58" s="1"/>
  <c r="AE25" i="41"/>
  <c r="R22" i="58" s="1"/>
  <c r="AD25" i="41"/>
  <c r="Q22" i="58" s="1"/>
  <c r="W25" i="41"/>
  <c r="P22" i="58" s="1"/>
  <c r="V25" i="41"/>
  <c r="O22" i="58" s="1"/>
  <c r="R30" i="59"/>
  <c r="AU24" i="41"/>
  <c r="V21" i="58" s="1"/>
  <c r="AT24" i="41"/>
  <c r="U21" i="58" s="1"/>
  <c r="AM24" i="41"/>
  <c r="T21" i="58" s="1"/>
  <c r="V16" i="64" s="1"/>
  <c r="AL24" i="41"/>
  <c r="S21" i="58" s="1"/>
  <c r="AE24" i="41"/>
  <c r="R21" i="58" s="1"/>
  <c r="AD24" i="41"/>
  <c r="Q21" i="58" s="1"/>
  <c r="W24" i="41"/>
  <c r="V24" i="41"/>
  <c r="O21" i="58" s="1"/>
  <c r="R29" i="59"/>
  <c r="AU23" i="41"/>
  <c r="V20" i="58" s="1"/>
  <c r="AT23" i="41"/>
  <c r="U20" i="58" s="1"/>
  <c r="AM23" i="41"/>
  <c r="T20" i="58" s="1"/>
  <c r="V15" i="64" s="1"/>
  <c r="AL23" i="41"/>
  <c r="S20" i="58" s="1"/>
  <c r="AE23" i="41"/>
  <c r="R20" i="58" s="1"/>
  <c r="AD23" i="41"/>
  <c r="Q20" i="58" s="1"/>
  <c r="W23" i="41"/>
  <c r="V23" i="41"/>
  <c r="O20" i="58" s="1"/>
  <c r="R28" i="59"/>
  <c r="R27" i="59"/>
  <c r="AU21" i="41"/>
  <c r="V18" i="58" s="1"/>
  <c r="AT21" i="41"/>
  <c r="U18" i="58" s="1"/>
  <c r="AM21" i="41"/>
  <c r="T18" i="58" s="1"/>
  <c r="V14" i="64" s="1"/>
  <c r="AL21" i="41"/>
  <c r="S18" i="58" s="1"/>
  <c r="AE21" i="41"/>
  <c r="R18" i="58" s="1"/>
  <c r="AD21" i="41"/>
  <c r="Q18" i="58" s="1"/>
  <c r="W21" i="41"/>
  <c r="V21" i="41"/>
  <c r="O18" i="58" s="1"/>
  <c r="R26" i="59"/>
  <c r="AU20" i="41"/>
  <c r="V17" i="58" s="1"/>
  <c r="AM20" i="41"/>
  <c r="T17" i="58" s="1"/>
  <c r="V13" i="64" s="1"/>
  <c r="AF20" i="41"/>
  <c r="AE20" i="41"/>
  <c r="R17" i="58" s="1"/>
  <c r="AB20" i="41"/>
  <c r="Z20" i="41"/>
  <c r="X20" i="41"/>
  <c r="W20" i="41"/>
  <c r="T20" i="41"/>
  <c r="R20" i="41"/>
  <c r="P20" i="41"/>
  <c r="R25" i="59"/>
  <c r="AU19" i="41"/>
  <c r="V16" i="58" s="1"/>
  <c r="AT19" i="41"/>
  <c r="U16" i="58" s="1"/>
  <c r="W12" i="64" s="1"/>
  <c r="AM19" i="41"/>
  <c r="T16" i="58" s="1"/>
  <c r="V12" i="64" s="1"/>
  <c r="AL19" i="41"/>
  <c r="S16" i="58" s="1"/>
  <c r="U12" i="64" s="1"/>
  <c r="AE19" i="41"/>
  <c r="R16" i="58" s="1"/>
  <c r="AD19" i="41"/>
  <c r="Q16" i="58" s="1"/>
  <c r="W19" i="41"/>
  <c r="P16" i="58" s="1"/>
  <c r="V19" i="41"/>
  <c r="O16" i="58" s="1"/>
  <c r="R24" i="59"/>
  <c r="AU18" i="41"/>
  <c r="V15" i="58" s="1"/>
  <c r="AM18" i="41"/>
  <c r="T15" i="58" s="1"/>
  <c r="V11" i="64" s="1"/>
  <c r="AF18" i="41"/>
  <c r="AE18" i="41"/>
  <c r="R15" i="58" s="1"/>
  <c r="AB18" i="41"/>
  <c r="Z18" i="41"/>
  <c r="X18" i="41"/>
  <c r="W18" i="41"/>
  <c r="P15" i="58" s="1"/>
  <c r="T18" i="41"/>
  <c r="R18" i="41"/>
  <c r="P18" i="41"/>
  <c r="R23" i="59"/>
  <c r="AU17" i="41"/>
  <c r="AM17" i="41"/>
  <c r="T14" i="58" s="1"/>
  <c r="V10" i="64" s="1"/>
  <c r="AF17" i="41"/>
  <c r="AE17" i="41"/>
  <c r="R14" i="58" s="1"/>
  <c r="AB17" i="41"/>
  <c r="Z17" i="41"/>
  <c r="X17" i="41"/>
  <c r="W17" i="41"/>
  <c r="T17" i="41"/>
  <c r="R17" i="41"/>
  <c r="P17" i="41"/>
  <c r="R22" i="59"/>
  <c r="AU16" i="41"/>
  <c r="AM16" i="41"/>
  <c r="T13" i="58" s="1"/>
  <c r="AF16" i="41"/>
  <c r="AE16" i="41"/>
  <c r="R13" i="58" s="1"/>
  <c r="AB16" i="41"/>
  <c r="Z16" i="41"/>
  <c r="X16" i="41"/>
  <c r="W16" i="41"/>
  <c r="T16" i="41"/>
  <c r="R16" i="41"/>
  <c r="P16" i="41"/>
  <c r="R21" i="59"/>
  <c r="C16" i="41" a="1"/>
  <c r="C16" i="41" s="1"/>
  <c r="B16" i="41" a="1"/>
  <c r="B16" i="41" s="1"/>
  <c r="Z19" i="64" l="1"/>
  <c r="G11" i="69" s="1"/>
  <c r="AA19" i="64"/>
  <c r="H11" i="69" s="1"/>
  <c r="V9" i="64"/>
  <c r="X13" i="58"/>
  <c r="Z9" i="64" s="1"/>
  <c r="J63" i="60"/>
  <c r="AT16" i="41"/>
  <c r="U13" i="58" s="1"/>
  <c r="W9" i="64" s="1"/>
  <c r="AD29" i="41"/>
  <c r="Q26" i="58" s="1"/>
  <c r="J145" i="60"/>
  <c r="J146" i="60"/>
  <c r="AT32" i="41"/>
  <c r="U29" i="58" s="1"/>
  <c r="W25" i="64" s="1"/>
  <c r="X22" i="58"/>
  <c r="L67" i="60"/>
  <c r="K67" i="60"/>
  <c r="K74" i="60"/>
  <c r="L74" i="60"/>
  <c r="L76" i="60"/>
  <c r="K76" i="60"/>
  <c r="X15" i="58"/>
  <c r="X26" i="58"/>
  <c r="L75" i="60"/>
  <c r="K75" i="60"/>
  <c r="L77" i="60"/>
  <c r="K77" i="60"/>
  <c r="AW16" i="41"/>
  <c r="P13" i="58"/>
  <c r="M96" i="60"/>
  <c r="AW17" i="41"/>
  <c r="P14" i="58"/>
  <c r="X16" i="58"/>
  <c r="AW27" i="41"/>
  <c r="P24" i="58"/>
  <c r="AY28" i="41"/>
  <c r="P25" i="58"/>
  <c r="AW30" i="41"/>
  <c r="P27" i="58"/>
  <c r="AY26" i="41"/>
  <c r="P23" i="58"/>
  <c r="AW21" i="41"/>
  <c r="P18" i="58"/>
  <c r="AZ31" i="41"/>
  <c r="P28" i="58"/>
  <c r="AW32" i="41"/>
  <c r="P29" i="58"/>
  <c r="AW33" i="41"/>
  <c r="P30" i="58"/>
  <c r="AL16" i="41"/>
  <c r="S13" i="58" s="1"/>
  <c r="U9" i="64" s="1"/>
  <c r="AW20" i="41"/>
  <c r="P17" i="58"/>
  <c r="AW34" i="41"/>
  <c r="P31" i="58"/>
  <c r="AH84" i="58"/>
  <c r="AW23" i="41"/>
  <c r="P20" i="58"/>
  <c r="AW35" i="41"/>
  <c r="P32" i="58"/>
  <c r="AW24" i="41"/>
  <c r="P21" i="58"/>
  <c r="X33" i="58"/>
  <c r="AT17" i="41"/>
  <c r="U14" i="58" s="1"/>
  <c r="W10" i="64" s="1"/>
  <c r="AL27" i="41"/>
  <c r="S24" i="58" s="1"/>
  <c r="U20" i="64" s="1"/>
  <c r="V28" i="41"/>
  <c r="O25" i="58" s="1"/>
  <c r="AL28" i="41"/>
  <c r="S25" i="58" s="1"/>
  <c r="U21" i="64" s="1"/>
  <c r="V29" i="41"/>
  <c r="O26" i="58" s="1"/>
  <c r="AD18" i="41"/>
  <c r="Q15" i="58" s="1"/>
  <c r="AL29" i="41"/>
  <c r="V31" i="41"/>
  <c r="O28" i="58" s="1"/>
  <c r="AD27" i="41"/>
  <c r="Q24" i="58" s="1"/>
  <c r="AT27" i="41"/>
  <c r="U24" i="58" s="1"/>
  <c r="W20" i="64" s="1"/>
  <c r="AT20" i="41"/>
  <c r="U17" i="58" s="1"/>
  <c r="W13" i="64" s="1"/>
  <c r="AV19" i="41"/>
  <c r="W16" i="58" s="1"/>
  <c r="AD28" i="41"/>
  <c r="Q25" i="58" s="1"/>
  <c r="AT31" i="41"/>
  <c r="U28" i="58" s="1"/>
  <c r="W24" i="64" s="1"/>
  <c r="AD32" i="41"/>
  <c r="Q29" i="58" s="1"/>
  <c r="AV35" i="41"/>
  <c r="AX35" i="41"/>
  <c r="AY36" i="41"/>
  <c r="AY31" i="41"/>
  <c r="AZ25" i="41"/>
  <c r="AZ24" i="41"/>
  <c r="AZ21" i="41"/>
  <c r="AX17" i="41"/>
  <c r="AD17" i="41"/>
  <c r="Q14" i="58" s="1"/>
  <c r="AL20" i="41"/>
  <c r="S17" i="58" s="1"/>
  <c r="U13" i="64" s="1"/>
  <c r="AL31" i="41"/>
  <c r="S28" i="58" s="1"/>
  <c r="U24" i="64" s="1"/>
  <c r="V16" i="41"/>
  <c r="O13" i="58" s="1"/>
  <c r="V20" i="41"/>
  <c r="O17" i="58" s="1"/>
  <c r="AT29" i="41"/>
  <c r="U26" i="58" s="1"/>
  <c r="W22" i="64" s="1"/>
  <c r="V32" i="41"/>
  <c r="AY35" i="41"/>
  <c r="AV36" i="41"/>
  <c r="AD16" i="41"/>
  <c r="Q13" i="58" s="1"/>
  <c r="AY17" i="41"/>
  <c r="AY21" i="41"/>
  <c r="AZ32" i="41"/>
  <c r="V17" i="41"/>
  <c r="O14" i="58" s="1"/>
  <c r="AD20" i="41"/>
  <c r="Q17" i="58" s="1"/>
  <c r="AV25" i="41"/>
  <c r="W22" i="58" s="1"/>
  <c r="AZ28" i="41"/>
  <c r="AV33" i="41"/>
  <c r="W30" i="58" s="1"/>
  <c r="AZ33" i="41"/>
  <c r="V18" i="41"/>
  <c r="O15" i="58" s="1"/>
  <c r="AV26" i="41"/>
  <c r="W23" i="58" s="1"/>
  <c r="AZ26" i="41"/>
  <c r="AT28" i="41"/>
  <c r="U25" i="58" s="1"/>
  <c r="W21" i="64" s="1"/>
  <c r="AV30" i="41"/>
  <c r="W27" i="58" s="1"/>
  <c r="AD31" i="41"/>
  <c r="Q28" i="58" s="1"/>
  <c r="AZ36" i="41"/>
  <c r="AV34" i="41"/>
  <c r="W31" i="58" s="1"/>
  <c r="AX18" i="41"/>
  <c r="AW18" i="41"/>
  <c r="AZ18" i="41"/>
  <c r="AY19" i="41"/>
  <c r="AX19" i="41"/>
  <c r="AW19" i="41"/>
  <c r="AW29" i="41"/>
  <c r="AY29" i="41"/>
  <c r="AX29" i="41"/>
  <c r="AZ19" i="41"/>
  <c r="AX30" i="41"/>
  <c r="AZ30" i="41"/>
  <c r="AY30" i="41"/>
  <c r="BC30" i="41" s="1"/>
  <c r="AX36" i="41"/>
  <c r="BB36" i="41" s="1"/>
  <c r="AY27" i="41"/>
  <c r="AZ27" i="41"/>
  <c r="AX32" i="41"/>
  <c r="AY32" i="41"/>
  <c r="AT18" i="41"/>
  <c r="U15" i="58" s="1"/>
  <c r="W11" i="64" s="1"/>
  <c r="AV21" i="41"/>
  <c r="W18" i="58" s="1"/>
  <c r="AX21" i="41"/>
  <c r="AV23" i="41"/>
  <c r="W20" i="58" s="1"/>
  <c r="AV24" i="41"/>
  <c r="AX24" i="41"/>
  <c r="AX27" i="41"/>
  <c r="AZ16" i="41"/>
  <c r="AY16" i="41"/>
  <c r="AX16" i="41"/>
  <c r="AL17" i="41"/>
  <c r="S14" i="58" s="1"/>
  <c r="U10" i="64" s="1"/>
  <c r="AL18" i="41"/>
  <c r="S15" i="58" s="1"/>
  <c r="U11" i="64" s="1"/>
  <c r="AY18" i="41"/>
  <c r="AZ20" i="41"/>
  <c r="AY20" i="41"/>
  <c r="AX20" i="41"/>
  <c r="AZ23" i="41"/>
  <c r="AY23" i="41"/>
  <c r="AX23" i="41"/>
  <c r="AY24" i="41"/>
  <c r="AX25" i="41"/>
  <c r="AY25" i="41"/>
  <c r="AZ29" i="41"/>
  <c r="AX34" i="41"/>
  <c r="AZ34" i="41"/>
  <c r="AY34" i="41"/>
  <c r="AW26" i="41"/>
  <c r="AZ17" i="41"/>
  <c r="AW25" i="41"/>
  <c r="AX26" i="41"/>
  <c r="AW28" i="41"/>
  <c r="AW31" i="41"/>
  <c r="AX33" i="41"/>
  <c r="AZ35" i="41"/>
  <c r="BD35" i="41" s="1"/>
  <c r="AW36" i="41"/>
  <c r="AX28" i="41"/>
  <c r="AX31" i="41"/>
  <c r="AY33" i="41"/>
  <c r="F42" i="63" l="1"/>
  <c r="D42" i="63"/>
  <c r="G42" i="63"/>
  <c r="E42" i="63"/>
  <c r="J77" i="60"/>
  <c r="Z29" i="64"/>
  <c r="J70" i="60"/>
  <c r="Z22" i="64"/>
  <c r="J66" i="60"/>
  <c r="Z17" i="64"/>
  <c r="Y22" i="58"/>
  <c r="AA17" i="64" s="1"/>
  <c r="Z22" i="58"/>
  <c r="AA22" i="58" s="1"/>
  <c r="M66" i="60"/>
  <c r="J60" i="60"/>
  <c r="Z12" i="64"/>
  <c r="J59" i="60"/>
  <c r="Z11" i="64"/>
  <c r="Y23" i="64"/>
  <c r="Y12" i="64"/>
  <c r="Y16" i="58"/>
  <c r="AA12" i="64" s="1"/>
  <c r="Z15" i="58"/>
  <c r="AA15" i="58" s="1"/>
  <c r="BC34" i="41"/>
  <c r="BD34" i="41"/>
  <c r="BD30" i="41"/>
  <c r="BB30" i="41"/>
  <c r="BD26" i="41"/>
  <c r="BC25" i="41"/>
  <c r="BB25" i="41"/>
  <c r="BC26" i="41"/>
  <c r="L66" i="60"/>
  <c r="K66" i="60"/>
  <c r="BC24" i="41"/>
  <c r="BD33" i="41"/>
  <c r="BC36" i="41"/>
  <c r="BB33" i="41"/>
  <c r="BB34" i="41"/>
  <c r="AV16" i="41"/>
  <c r="W13" i="58" s="1"/>
  <c r="BD24" i="41"/>
  <c r="BC33" i="41"/>
  <c r="BB24" i="41"/>
  <c r="K60" i="60"/>
  <c r="Z26" i="58"/>
  <c r="AA26" i="58" s="1"/>
  <c r="AE42" i="58"/>
  <c r="X32" i="58"/>
  <c r="J57" i="60"/>
  <c r="AE44" i="58"/>
  <c r="M98" i="60"/>
  <c r="M103" i="60" s="1"/>
  <c r="F49" i="62" s="1"/>
  <c r="C16" i="62" s="1"/>
  <c r="AE80" i="58"/>
  <c r="M154" i="60"/>
  <c r="X18" i="58"/>
  <c r="K62" i="60"/>
  <c r="X23" i="58"/>
  <c r="X25" i="58"/>
  <c r="AE70" i="58"/>
  <c r="M121" i="60"/>
  <c r="AE95" i="58"/>
  <c r="M43" i="60"/>
  <c r="X31" i="58"/>
  <c r="AE76" i="58"/>
  <c r="M145" i="60"/>
  <c r="X28" i="58"/>
  <c r="X21" i="58"/>
  <c r="K65" i="60"/>
  <c r="L65" i="60"/>
  <c r="AE94" i="58"/>
  <c r="M42" i="60"/>
  <c r="X20" i="58"/>
  <c r="L64" i="60"/>
  <c r="K64" i="60"/>
  <c r="X30" i="58"/>
  <c r="X24" i="58"/>
  <c r="Z24" i="58" s="1"/>
  <c r="L68" i="60"/>
  <c r="K68" i="60"/>
  <c r="AE83" i="58"/>
  <c r="M157" i="60"/>
  <c r="AE82" i="58"/>
  <c r="M156" i="60"/>
  <c r="AE63" i="58"/>
  <c r="M109" i="60"/>
  <c r="AE81" i="58"/>
  <c r="M155" i="60"/>
  <c r="AE84" i="58"/>
  <c r="M158" i="60"/>
  <c r="K70" i="60"/>
  <c r="L70" i="60"/>
  <c r="X17" i="58"/>
  <c r="AE77" i="58"/>
  <c r="M146" i="60"/>
  <c r="X29" i="58"/>
  <c r="AE64" i="58"/>
  <c r="M110" i="60"/>
  <c r="AE19" i="58"/>
  <c r="M63" i="60"/>
  <c r="L62" i="60"/>
  <c r="AE62" i="58"/>
  <c r="M108" i="60"/>
  <c r="X27" i="58"/>
  <c r="K71" i="60"/>
  <c r="L71" i="60"/>
  <c r="L59" i="60"/>
  <c r="K59" i="60"/>
  <c r="L57" i="60"/>
  <c r="AE71" i="58"/>
  <c r="M122" i="60"/>
  <c r="AE60" i="58"/>
  <c r="M49" i="60"/>
  <c r="X14" i="58"/>
  <c r="Z10" i="64" s="1"/>
  <c r="L60" i="60"/>
  <c r="BE33" i="41"/>
  <c r="BA33" i="41"/>
  <c r="BH25" i="41"/>
  <c r="BD25" i="41"/>
  <c r="AA71" i="58"/>
  <c r="AH71" i="58"/>
  <c r="BE20" i="41"/>
  <c r="AA63" i="58"/>
  <c r="AH63" i="58"/>
  <c r="AA76" i="58"/>
  <c r="AH76" i="58"/>
  <c r="BG18" i="41"/>
  <c r="BH24" i="41"/>
  <c r="W21" i="58"/>
  <c r="BF23" i="41"/>
  <c r="BB23" i="41"/>
  <c r="BG21" i="41"/>
  <c r="BC21" i="41"/>
  <c r="BE32" i="41"/>
  <c r="AA64" i="58"/>
  <c r="AH64" i="58"/>
  <c r="BE27" i="41"/>
  <c r="Z33" i="58"/>
  <c r="AA60" i="58"/>
  <c r="AH60" i="58"/>
  <c r="Z16" i="58"/>
  <c r="AA81" i="58"/>
  <c r="AH81" i="58"/>
  <c r="BE36" i="41"/>
  <c r="BA36" i="41"/>
  <c r="BF18" i="41"/>
  <c r="BG17" i="41"/>
  <c r="AV31" i="41"/>
  <c r="W28" i="58" s="1"/>
  <c r="BH23" i="41"/>
  <c r="BD23" i="41"/>
  <c r="BG16" i="41"/>
  <c r="BC16" i="41"/>
  <c r="BA19" i="41"/>
  <c r="BE19" i="41"/>
  <c r="BH36" i="41"/>
  <c r="BD36" i="41"/>
  <c r="BB35" i="41"/>
  <c r="AH44" i="58"/>
  <c r="AA44" i="58"/>
  <c r="AB43" i="58" s="1"/>
  <c r="AH62" i="58"/>
  <c r="AA62" i="58"/>
  <c r="AH19" i="58"/>
  <c r="AA19" i="58"/>
  <c r="AA42" i="58"/>
  <c r="AB41" i="58" s="1"/>
  <c r="AH42" i="58"/>
  <c r="BF16" i="41"/>
  <c r="BE29" i="41"/>
  <c r="BH16" i="41"/>
  <c r="AA95" i="58"/>
  <c r="AH95" i="58"/>
  <c r="BE24" i="41"/>
  <c r="BA24" i="41"/>
  <c r="BE35" i="41"/>
  <c r="BA35" i="41"/>
  <c r="BE17" i="41"/>
  <c r="BE26" i="41"/>
  <c r="BA26" i="41"/>
  <c r="AH77" i="58"/>
  <c r="AA77" i="58"/>
  <c r="BG23" i="41"/>
  <c r="BC23" i="41"/>
  <c r="AV27" i="41"/>
  <c r="W24" i="58" s="1"/>
  <c r="BG20" i="41"/>
  <c r="AV28" i="41"/>
  <c r="W25" i="58" s="1"/>
  <c r="AV20" i="41"/>
  <c r="W17" i="58" s="1"/>
  <c r="BC19" i="41"/>
  <c r="BG19" i="41"/>
  <c r="BC35" i="41"/>
  <c r="BF17" i="41"/>
  <c r="AV29" i="41"/>
  <c r="W26" i="58" s="1"/>
  <c r="S26" i="58"/>
  <c r="U22" i="64" s="1"/>
  <c r="Z20" i="58"/>
  <c r="AH80" i="58"/>
  <c r="AA80" i="58"/>
  <c r="BA21" i="41"/>
  <c r="BE21" i="41"/>
  <c r="BE30" i="41"/>
  <c r="BA30" i="41"/>
  <c r="AA70" i="58"/>
  <c r="AH70" i="58"/>
  <c r="BE18" i="41"/>
  <c r="AH15" i="58" s="1"/>
  <c r="BE31" i="41"/>
  <c r="BB21" i="41"/>
  <c r="BF21" i="41"/>
  <c r="BE28" i="41"/>
  <c r="BB26" i="41"/>
  <c r="BF20" i="41"/>
  <c r="BB19" i="41"/>
  <c r="BF19" i="41"/>
  <c r="BE25" i="41"/>
  <c r="AH22" i="58" s="1"/>
  <c r="BA25" i="41"/>
  <c r="AE22" i="58" s="1"/>
  <c r="BH17" i="41"/>
  <c r="BH20" i="41"/>
  <c r="BD19" i="41"/>
  <c r="BH19" i="41"/>
  <c r="BH18" i="41"/>
  <c r="AV32" i="41"/>
  <c r="W29" i="58" s="1"/>
  <c r="O29" i="58"/>
  <c r="BD21" i="41"/>
  <c r="BH21" i="41"/>
  <c r="AH83" i="58"/>
  <c r="AA83" i="58"/>
  <c r="AA94" i="58"/>
  <c r="AB94" i="58" s="1"/>
  <c r="AH94" i="58"/>
  <c r="BE23" i="41"/>
  <c r="BA23" i="41"/>
  <c r="BE34" i="41"/>
  <c r="BA34" i="41"/>
  <c r="AH82" i="58"/>
  <c r="AA82" i="58"/>
  <c r="BE16" i="41"/>
  <c r="AV18" i="41"/>
  <c r="W15" i="58" s="1"/>
  <c r="BH26" i="41"/>
  <c r="BH33" i="41"/>
  <c r="BG26" i="41"/>
  <c r="AV17" i="41"/>
  <c r="W14" i="58" s="1"/>
  <c r="Y10" i="64" s="1"/>
  <c r="BH34" i="41"/>
  <c r="BH35" i="41"/>
  <c r="BF26" i="41"/>
  <c r="BH30" i="41"/>
  <c r="H42" i="63" l="1"/>
  <c r="I42" i="63" s="1"/>
  <c r="AB62" i="58"/>
  <c r="F45" i="62"/>
  <c r="C13" i="62" s="1"/>
  <c r="M44" i="60"/>
  <c r="AB70" i="58"/>
  <c r="J76" i="60"/>
  <c r="Z28" i="64"/>
  <c r="Y32" i="58"/>
  <c r="AA28" i="64" s="1"/>
  <c r="Z32" i="58"/>
  <c r="AH32" i="58" s="1"/>
  <c r="J75" i="60"/>
  <c r="Z27" i="64"/>
  <c r="Y31" i="58"/>
  <c r="AA27" i="64" s="1"/>
  <c r="Z31" i="58"/>
  <c r="J74" i="60"/>
  <c r="Z26" i="64"/>
  <c r="G13" i="69" s="1"/>
  <c r="Y30" i="58"/>
  <c r="AA26" i="64" s="1"/>
  <c r="H13" i="69" s="1"/>
  <c r="J73" i="60"/>
  <c r="Z25" i="64"/>
  <c r="J72" i="60"/>
  <c r="Z24" i="64"/>
  <c r="J71" i="60"/>
  <c r="Z23" i="64"/>
  <c r="Y27" i="58"/>
  <c r="AA23" i="64" s="1"/>
  <c r="J69" i="60"/>
  <c r="Z21" i="64"/>
  <c r="J68" i="60"/>
  <c r="Z20" i="64"/>
  <c r="G12" i="69" s="1"/>
  <c r="J67" i="60"/>
  <c r="Z18" i="64"/>
  <c r="Z23" i="58"/>
  <c r="J65" i="60"/>
  <c r="Z16" i="64"/>
  <c r="Y21" i="58"/>
  <c r="AA16" i="64" s="1"/>
  <c r="J64" i="60"/>
  <c r="Z15" i="64"/>
  <c r="Y20" i="58"/>
  <c r="J62" i="60"/>
  <c r="Z14" i="64"/>
  <c r="Y18" i="58"/>
  <c r="AA14" i="64" s="1"/>
  <c r="J61" i="60"/>
  <c r="Z13" i="64"/>
  <c r="G10" i="69" s="1"/>
  <c r="Y25" i="64"/>
  <c r="Y29" i="58"/>
  <c r="AA25" i="64" s="1"/>
  <c r="Y20" i="64"/>
  <c r="Y24" i="58"/>
  <c r="AA20" i="64" s="1"/>
  <c r="Y24" i="64"/>
  <c r="Y28" i="58"/>
  <c r="AA24" i="64" s="1"/>
  <c r="BB28" i="41"/>
  <c r="BH29" i="41"/>
  <c r="Y21" i="64"/>
  <c r="Y25" i="58"/>
  <c r="AA21" i="64" s="1"/>
  <c r="Y22" i="64"/>
  <c r="Y26" i="58"/>
  <c r="AA22" i="64" s="1"/>
  <c r="BH28" i="41"/>
  <c r="BH31" i="41"/>
  <c r="Y13" i="64"/>
  <c r="Y17" i="58"/>
  <c r="AA13" i="64" s="1"/>
  <c r="BC20" i="41"/>
  <c r="Y11" i="64"/>
  <c r="Y15" i="58"/>
  <c r="AA11" i="64" s="1"/>
  <c r="BD20" i="41"/>
  <c r="BB20" i="41"/>
  <c r="Y9" i="64"/>
  <c r="F10" i="69" s="1"/>
  <c r="Y13" i="58"/>
  <c r="AA9" i="64" s="1"/>
  <c r="J58" i="60"/>
  <c r="Y14" i="58"/>
  <c r="K61" i="60"/>
  <c r="Z18" i="58"/>
  <c r="AA18" i="58" s="1"/>
  <c r="BH27" i="41"/>
  <c r="BB31" i="41"/>
  <c r="BB27" i="41"/>
  <c r="BA31" i="41"/>
  <c r="M73" i="60"/>
  <c r="Z28" i="58"/>
  <c r="M68" i="60"/>
  <c r="M65" i="60"/>
  <c r="Z13" i="58"/>
  <c r="AH13" i="58" s="1"/>
  <c r="AH26" i="58"/>
  <c r="AE30" i="58"/>
  <c r="Z30" i="58"/>
  <c r="AH30" i="58" s="1"/>
  <c r="BH32" i="41"/>
  <c r="BA28" i="41"/>
  <c r="BA16" i="41"/>
  <c r="BD16" i="41"/>
  <c r="BB32" i="41"/>
  <c r="Z25" i="58"/>
  <c r="AH25" i="58" s="1"/>
  <c r="BB16" i="41"/>
  <c r="L72" i="60"/>
  <c r="L69" i="60"/>
  <c r="M123" i="60"/>
  <c r="F52" i="62" s="1"/>
  <c r="C18" i="62" s="1"/>
  <c r="Z29" i="58"/>
  <c r="AA29" i="58" s="1"/>
  <c r="Z21" i="58"/>
  <c r="AA21" i="58" s="1"/>
  <c r="F44" i="62"/>
  <c r="C12" i="62" s="1"/>
  <c r="Z14" i="58"/>
  <c r="AH14" i="58" s="1"/>
  <c r="M116" i="60"/>
  <c r="F51" i="62" s="1"/>
  <c r="AE33" i="58"/>
  <c r="M77" i="60"/>
  <c r="L73" i="60"/>
  <c r="K73" i="60"/>
  <c r="K57" i="60"/>
  <c r="M159" i="60"/>
  <c r="F56" i="62" s="1"/>
  <c r="C22" i="62" s="1"/>
  <c r="M67" i="60"/>
  <c r="Z17" i="58"/>
  <c r="AH17" i="58" s="1"/>
  <c r="L58" i="60"/>
  <c r="Z27" i="58"/>
  <c r="AA27" i="58" s="1"/>
  <c r="K58" i="60"/>
  <c r="AE16" i="58"/>
  <c r="M60" i="60"/>
  <c r="L61" i="60"/>
  <c r="K72" i="60"/>
  <c r="M149" i="60"/>
  <c r="F55" i="62" s="1"/>
  <c r="C21" i="62" s="1"/>
  <c r="BA18" i="41"/>
  <c r="BC32" i="41"/>
  <c r="BC17" i="41"/>
  <c r="AA33" i="58"/>
  <c r="AH33" i="58"/>
  <c r="BC18" i="41"/>
  <c r="BB17" i="41"/>
  <c r="AH16" i="58"/>
  <c r="AA16" i="58"/>
  <c r="BA27" i="41"/>
  <c r="BA20" i="41"/>
  <c r="BD32" i="41"/>
  <c r="BB18" i="41"/>
  <c r="BC29" i="41"/>
  <c r="AA31" i="58"/>
  <c r="AH31" i="58"/>
  <c r="AH18" i="58"/>
  <c r="BB29" i="41"/>
  <c r="AE21" i="58"/>
  <c r="BC27" i="41"/>
  <c r="AA28" i="58"/>
  <c r="AH28" i="58"/>
  <c r="AA24" i="58"/>
  <c r="AH24" i="58"/>
  <c r="AH23" i="58"/>
  <c r="AA23" i="58"/>
  <c r="AE31" i="58"/>
  <c r="BD31" i="41"/>
  <c r="BD27" i="41"/>
  <c r="AE20" i="58"/>
  <c r="BD28" i="41"/>
  <c r="BA32" i="41"/>
  <c r="AE29" i="58" s="1"/>
  <c r="BC28" i="41"/>
  <c r="BD18" i="41"/>
  <c r="BD17" i="41"/>
  <c r="AH20" i="58"/>
  <c r="AA20" i="58"/>
  <c r="BD29" i="41"/>
  <c r="BA17" i="41"/>
  <c r="BA29" i="41"/>
  <c r="AE26" i="58" s="1"/>
  <c r="BC31" i="41"/>
  <c r="AA32" i="58" l="1"/>
  <c r="AE32" i="58"/>
  <c r="M75" i="60"/>
  <c r="M72" i="60"/>
  <c r="AE28" i="58"/>
  <c r="M70" i="60"/>
  <c r="AA15" i="64"/>
  <c r="H10" i="69" s="1"/>
  <c r="M64" i="60"/>
  <c r="M62" i="60"/>
  <c r="AE17" i="58"/>
  <c r="AE13" i="58"/>
  <c r="H12" i="69"/>
  <c r="F12" i="69"/>
  <c r="AE24" i="58"/>
  <c r="AE15" i="58"/>
  <c r="M59" i="60"/>
  <c r="AA10" i="64"/>
  <c r="M61" i="60"/>
  <c r="M57" i="60"/>
  <c r="AH29" i="58"/>
  <c r="F57" i="62"/>
  <c r="F32" i="62"/>
  <c r="M58" i="60"/>
  <c r="G14" i="63"/>
  <c r="F14" i="63"/>
  <c r="E14" i="63"/>
  <c r="D14" i="63"/>
  <c r="C17" i="62"/>
  <c r="M76" i="60"/>
  <c r="AE18" i="58"/>
  <c r="AA13" i="58"/>
  <c r="AE25" i="58"/>
  <c r="M74" i="60"/>
  <c r="M69" i="60"/>
  <c r="BB37" i="41"/>
  <c r="AE14" i="58"/>
  <c r="AA30" i="58"/>
  <c r="AB30" i="58" s="1"/>
  <c r="AA25" i="58"/>
  <c r="AB24" i="58" s="1"/>
  <c r="AH21" i="58"/>
  <c r="AA17" i="58"/>
  <c r="AA14" i="58"/>
  <c r="BC37" i="41"/>
  <c r="AH27" i="58"/>
  <c r="BD37" i="41"/>
  <c r="L78" i="60"/>
  <c r="E47" i="62" s="1"/>
  <c r="E31" i="62" s="1"/>
  <c r="AE27" i="58"/>
  <c r="M71" i="60"/>
  <c r="K78" i="60"/>
  <c r="D47" i="62" s="1"/>
  <c r="BA37" i="41"/>
  <c r="O40" i="38"/>
  <c r="O39" i="38"/>
  <c r="O36" i="38"/>
  <c r="O37" i="38"/>
  <c r="O38" i="38"/>
  <c r="O41" i="38"/>
  <c r="O35" i="38"/>
  <c r="O34" i="38"/>
  <c r="O33" i="38"/>
  <c r="O32" i="38"/>
  <c r="O30" i="38"/>
  <c r="O31" i="38"/>
  <c r="O24" i="38"/>
  <c r="O25" i="38"/>
  <c r="O26" i="38"/>
  <c r="O27" i="38"/>
  <c r="O28" i="38"/>
  <c r="O29" i="38"/>
  <c r="O23" i="38"/>
  <c r="O21" i="38"/>
  <c r="O22" i="38"/>
  <c r="O20" i="38"/>
  <c r="O17" i="38"/>
  <c r="O18" i="38"/>
  <c r="O14" i="38"/>
  <c r="O15" i="38"/>
  <c r="O16" i="38"/>
  <c r="H14" i="63" l="1"/>
  <c r="I14" i="63" s="1"/>
  <c r="M78" i="60"/>
  <c r="F47" i="62" s="1"/>
  <c r="E50" i="62"/>
  <c r="D31" i="62"/>
  <c r="D50" i="62"/>
  <c r="AB13" i="58"/>
  <c r="O13" i="38"/>
  <c r="F31" i="62" l="1"/>
  <c r="C14" i="62"/>
  <c r="F50" i="62"/>
  <c r="O16" i="37"/>
  <c r="R5" i="59" s="1"/>
  <c r="I19" i="37"/>
  <c r="E8" i="59" s="1"/>
  <c r="D16" i="60" s="1"/>
  <c r="I17" i="37"/>
  <c r="E6" i="59" s="1"/>
  <c r="D14" i="60" s="1"/>
  <c r="I18" i="37"/>
  <c r="E7" i="59" s="1"/>
  <c r="D15" i="60" s="1"/>
  <c r="I16" i="37"/>
  <c r="E5" i="59" s="1"/>
  <c r="D13" i="60" s="1"/>
  <c r="H17" i="37"/>
  <c r="H18" i="37"/>
  <c r="H19" i="37"/>
  <c r="H16" i="37"/>
  <c r="E17" i="37"/>
  <c r="E18" i="37"/>
  <c r="E19" i="37"/>
  <c r="E16" i="37"/>
  <c r="D19" i="37"/>
  <c r="D17" i="37"/>
  <c r="D18" i="37"/>
  <c r="D16" i="37"/>
  <c r="O59" i="38"/>
  <c r="O58" i="38"/>
  <c r="O57" i="38"/>
  <c r="O56" i="38"/>
  <c r="O97" i="38" l="1"/>
  <c r="O98" i="38"/>
  <c r="O99" i="38"/>
  <c r="AU16" i="37" l="1"/>
  <c r="V56" i="58" s="1"/>
  <c r="X52" i="64" s="1"/>
  <c r="AT16" i="37"/>
  <c r="U56" i="58" s="1"/>
  <c r="AM16" i="37"/>
  <c r="T56" i="58" s="1"/>
  <c r="V52" i="64" s="1"/>
  <c r="AL16" i="37"/>
  <c r="S56" i="58" s="1"/>
  <c r="AE16" i="37"/>
  <c r="AD16" i="37"/>
  <c r="Q56" i="58" s="1"/>
  <c r="W16" i="37"/>
  <c r="P56" i="58" s="1"/>
  <c r="V16" i="37"/>
  <c r="O56" i="58" s="1"/>
  <c r="AX16" i="37" l="1"/>
  <c r="BF16" i="37" s="1"/>
  <c r="R56" i="58"/>
  <c r="AY16" i="37"/>
  <c r="BG16" i="37" s="1"/>
  <c r="AW16" i="37"/>
  <c r="BE16" i="37" s="1"/>
  <c r="AZ16" i="37"/>
  <c r="BH16" i="37" s="1"/>
  <c r="AV16" i="37"/>
  <c r="W56" i="58" s="1"/>
  <c r="X56" i="58" l="1"/>
  <c r="Z56" i="58" s="1"/>
  <c r="Z100" i="58" s="1"/>
  <c r="K13" i="60"/>
  <c r="BA16" i="37"/>
  <c r="BB16" i="37"/>
  <c r="BB20" i="37" s="1"/>
  <c r="BD16" i="37"/>
  <c r="BD20" i="37" s="1"/>
  <c r="BC16" i="37"/>
  <c r="BC20" i="37" s="1"/>
  <c r="J13" i="60" l="1"/>
  <c r="L13" i="60" s="1"/>
  <c r="Z52" i="64"/>
  <c r="G24" i="69" s="1"/>
  <c r="Y56" i="58"/>
  <c r="M13" i="60" s="1"/>
  <c r="K17" i="60"/>
  <c r="D41" i="62" s="1"/>
  <c r="E9" i="63"/>
  <c r="E25" i="63" s="1"/>
  <c r="E28" i="63" s="1"/>
  <c r="G9" i="63"/>
  <c r="G25" i="63" s="1"/>
  <c r="E30" i="63" s="1"/>
  <c r="F9" i="63"/>
  <c r="F25" i="63" s="1"/>
  <c r="E29" i="63" s="1"/>
  <c r="AA56" i="58"/>
  <c r="AB56" i="58" s="1"/>
  <c r="AB100" i="58" s="1"/>
  <c r="AH56" i="58"/>
  <c r="BA20" i="37"/>
  <c r="L17" i="60" l="1"/>
  <c r="E41" i="62" s="1"/>
  <c r="E30" i="62" s="1"/>
  <c r="E34" i="62" s="1"/>
  <c r="F37" i="63"/>
  <c r="F53" i="63" s="1"/>
  <c r="E57" i="63" s="1"/>
  <c r="G37" i="63"/>
  <c r="G53" i="63" s="1"/>
  <c r="E58" i="63" s="1"/>
  <c r="D37" i="63"/>
  <c r="E37" i="63"/>
  <c r="E53" i="63" s="1"/>
  <c r="E56" i="63" s="1"/>
  <c r="AE56" i="58"/>
  <c r="E46" i="62"/>
  <c r="E62" i="62" s="1"/>
  <c r="M17" i="60"/>
  <c r="F41" i="62" s="1"/>
  <c r="AA52" i="64"/>
  <c r="Y100" i="58"/>
  <c r="D30" i="62"/>
  <c r="D34" i="62" s="1"/>
  <c r="D46" i="62"/>
  <c r="D62" i="62" s="1"/>
  <c r="H9" i="63"/>
  <c r="D25" i="63"/>
  <c r="H37" i="63" l="1"/>
  <c r="I37" i="63" s="1"/>
  <c r="D53" i="63"/>
  <c r="F30" i="62"/>
  <c r="F34" i="62" s="1"/>
  <c r="F46" i="62"/>
  <c r="F62" i="62" s="1"/>
  <c r="C25" i="62" s="1"/>
  <c r="C9" i="62"/>
  <c r="H24" i="69"/>
  <c r="AA96" i="64"/>
  <c r="E27" i="63"/>
  <c r="E59" i="63" s="1"/>
  <c r="H25" i="63"/>
  <c r="C79" i="63"/>
  <c r="C9" i="63"/>
  <c r="I9" i="63" s="1"/>
  <c r="E55" i="63" l="1"/>
  <c r="H53" i="63"/>
  <c r="I53" i="63" s="1"/>
  <c r="C34" i="62"/>
  <c r="C25" i="63"/>
  <c r="I25"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<sst xmlns="http://schemas.openxmlformats.org/spreadsheetml/2006/main" count="3888" uniqueCount="1209">
  <si>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</si>
  <si>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</si>
  <si>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</si>
  <si>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</si>
  <si>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</si>
  <si>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</si>
  <si>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</si>
  <si>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</si>
  <si>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</si>
  <si>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</si>
  <si>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</si>
  <si>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</si>
  <si>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</si>
  <si>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</si>
  <si>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</si>
  <si>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</si>
  <si>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</si>
  <si>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</si>
  <si>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</si>
  <si>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</si>
  <si>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</si>
  <si>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</si>
  <si>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</si>
  <si>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</si>
  <si>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</si>
  <si>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</si>
  <si>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</si>
  <si>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</si>
  <si>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</si>
  <si>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</si>
  <si>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</si>
  <si>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</si>
  <si>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</si>
  <si>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</si>
  <si>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</si>
  <si>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</si>
  <si>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</si>
  <si>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</si>
  <si>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</si>
  <si>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</si>
  <si>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</si>
  <si>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</si>
  <si>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</si>
  <si>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</si>
  <si>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</si>
  <si>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</si>
  <si>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</si>
  <si>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</si>
  <si>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</si>
  <si>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</si>
  <si>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</si>
  <si>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</si>
  <si>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</si>
  <si>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</si>
  <si>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</si>
  <si>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</si>
  <si>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</si>
  <si>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</si>
  <si>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</si>
  <si>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</si>
  <si>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</si>
  <si>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</si>
  <si>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</si>
  <si>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</si>
  <si>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</si>
  <si>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</si>
  <si>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</si>
  <si>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</si>
  <si>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</si>
  <si>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</si>
  <si>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</si>
  <si>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</si>
  <si>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</si>
  <si>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</si>
  <si>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</si>
  <si>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</si>
  <si>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</si>
  <si>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</si>
  <si>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</si>
  <si>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</si>
  <si>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</si>
  <si>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</si>
  <si>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</si>
  <si>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</si>
  <si>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</si>
  <si>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</si>
  <si>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</si>
  <si>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</si>
  <si>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</si>
  <si>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</si>
  <si>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</si>
  <si>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</si>
  <si>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</si>
  <si>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</si>
  <si>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</si>
  <si>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</si>
  <si>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</si>
  <si>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</si>
  <si>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</si>
  <si>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</si>
  <si>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</si>
  <si>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</si>
  <si>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</si>
  <si>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</si>
  <si>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</si>
  <si>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</si>
  <si>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</si>
  <si>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</si>
  <si>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</si>
  <si>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</si>
  <si>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</si>
  <si>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</si>
  <si>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</si>
  <si>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</si>
  <si>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</si>
  <si>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</si>
  <si>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</si>
  <si>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</si>
  <si>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</si>
  <si>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</si>
  <si>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</si>
  <si>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</si>
  <si>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</si>
  <si>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</si>
  <si>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</si>
  <si>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</si>
  <si>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</si>
  <si>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</si>
  <si>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</si>
  <si>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</si>
  <si>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</si>
  <si>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</si>
  <si>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</si>
  <si>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</si>
  <si>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</si>
  <si>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</si>
  <si>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</si>
  <si>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</si>
  <si>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</si>
  <si>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</si>
  <si>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</si>
  <si>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</si>
  <si>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</si>
  <si>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</si>
  <si>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</si>
  <si>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</si>
  <si>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</si>
  <si>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</si>
  <si>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</si>
  <si>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</si>
  <si>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</si>
  <si>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</si>
  <si>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</si>
  <si>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</si>
  <si>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</si>
  <si>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</si>
  <si>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</si>
  <si>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</si>
  <si>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</si>
  <si>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</si>
  <si>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</si>
  <si>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</si>
  <si>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</si>
  <si>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</si>
  <si>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</si>
  <si>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</si>
  <si>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</si>
  <si>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</si>
  <si>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</si>
  <si>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</si>
  <si>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</si>
  <si>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</si>
  <si>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</si>
  <si>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</si>
  <si>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</si>
  <si>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</si>
  <si>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1.1.8 Asistir a 20.000 audiencias públicas y realizar las actuaciones que se requieran en protección de los derechos y defensa del interés público, en temas de urbanismo, espacio público, actividad económica y de los comportamientos contrarios a la convivencia (Ley 1801 de 2016)</t>
  </si>
  <si>
    <t>&gt;=95%</t>
  </si>
  <si>
    <t>1.1.9 Realizar 12.000 intervenciones de manera oportuna para evitar situaciones de caducidad y perdida de fuerza ejecutoria en las actuaciones administrativas y policivas</t>
  </si>
  <si>
    <t>1.1.10 Impulsar 2.800 expedientes que contengan orden de policía (MULTA) en firme y ejecutoriada, para que se efectúen cobros persuasivos y/o se de traslado para el cobro coactivo.</t>
  </si>
  <si>
    <t>Estados de vulneración establecidos</t>
  </si>
  <si>
    <t>Personas sensibilizadas en el Distrito Capital</t>
  </si>
  <si>
    <t>Acciones en favor de las víctimas del conflicto armado interno adelantadas</t>
  </si>
  <si>
    <t>Acciones constitucionales elaboradas para prevenir vulneración de derechos</t>
  </si>
  <si>
    <t>Seguimientos realizados por el Ministerio Público a las medidas de protección impuestas por las Comisarias de Familia</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</si>
  <si>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</si>
  <si>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</si>
  <si>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</si>
  <si>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</si>
  <si>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</si>
  <si>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</si>
  <si>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</si>
  <si>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1.3.4 Realizar 1 coordinación interinstitucional para focalizar los servicios y ayudas efectivas que soliciten las poblaciones vulnerables con énfasis en sujetos de especial protección constitucional, en particular, personas mayores, mujeres y población migrante.</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</si>
  <si>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</si>
  <si>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</si>
  <si>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</si>
  <si>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</si>
  <si>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2.2.2 Realizar 90 acciones de prevención y control a la función pública - seguimientos, para fortalecer la moralidad pública en el Distrito Capital.</t>
  </si>
  <si>
    <t>2.2.1 Realizar 790 acciones de prevención y control a la función pública para fortalecer la moralidad pública.</t>
  </si>
  <si>
    <t>2.3.1 Realizar 55 audiencias públicas y/o mesas de trabajo, las cuales permitan la participación ciudadana, con énfasis en los Derechos e intereses colectivos.</t>
  </si>
  <si>
    <t>2.3.2 Realizar 140 acompañamientos a los ciudadanos que intervienen en los diferentes espacios de participación ciudadana.</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</si>
  <si>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</si>
  <si>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</si>
  <si>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</si>
  <si>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</si>
  <si>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</si>
  <si>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</si>
  <si>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</si>
  <si>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</si>
  <si>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98.250 Intervenciones realizadas de oficio o a petición de parte por los Agentes del Ministerio Público</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</si>
  <si>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</si>
  <si>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</si>
  <si>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</si>
  <si>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73.600 Peticiones atendidas y clasificadas como Orientación</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</si>
  <si>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</si>
  <si>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38.200 Peticiones atendidas y clasificadas como Asistencia</t>
  </si>
  <si>
    <t>1. Recibir las solicitudes de conciliación y unión marital de hecho.
2. Realizar registro de la solicitud en el aplicativo SICAAC.  
3. Atender las solicitudes de conciliación y unión marital de hecho según lineamientos institucionales.</t>
  </si>
  <si>
    <t>10.500 Solicitudes de conciliación y uniones maritales de hecho atendidas</t>
  </si>
  <si>
    <t>16.200 Peticiones o requerimientos ciudadanos atendidos en garantía de derecho o intervención</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</si>
  <si>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</si>
  <si>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</si>
  <si>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</si>
  <si>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</si>
  <si>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</si>
  <si>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5.000 Audiencias asistidas con actuaciones</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</si>
  <si>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</si>
  <si>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</si>
  <si>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700 Expedientes de policía impulsados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</si>
  <si>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</si>
  <si>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</si>
  <si>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48.000 personas sensibilizadas</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</si>
  <si>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</si>
  <si>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6.800 acciones en favor de las víctimas del conflicto armado interno realizadas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</si>
  <si>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</si>
  <si>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6.100 Acciones constitucionales elaboradas</t>
  </si>
  <si>
    <t>1. Identificar las medidas de protección establecidas por la Comisaría de Familia
2. Realizar el seguimiento a la medida de protección.
3. Registrar en el sistema de información misional el seguimiento realizado y las actuaciones que éste generó.</t>
  </si>
  <si>
    <t>1.200 seguimientos realizados por los Agentes del Ministerio Público a las medidas de protección establecidas por las Comisarias de Familia</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</si>
  <si>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</si>
  <si>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1.092 espacios de participación interinstitucional con presencia y acompañamiento de la Entidad</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</si>
  <si>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</si>
  <si>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 xml:space="preserve">182 Seguimientos realizados a la amenaza y vulneración de los derechos </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</si>
  <si>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</si>
  <si>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2 Actividades realizadas para acercar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</si>
  <si>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</si>
  <si>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</si>
  <si>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</si>
  <si>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</si>
  <si>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1, Verificar que entidades del orden local o distrital, entregan ayudas a las poblaciones vulnerables.
2, Evaluar las rutas para acceder a las mismas.
3, Realizar una mesa de trabajo con las entidades para establecer en lo posible una sola ruta de atención de manera integral por todas las instituciones del Distrito Capital D.C.</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</si>
  <si>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</si>
  <si>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</si>
  <si>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</si>
  <si>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</si>
  <si>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</si>
  <si>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</si>
  <si>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</si>
  <si>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</si>
  <si>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</si>
  <si>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</si>
  <si>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</si>
  <si>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</si>
  <si>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Coordinaciones Interinstitucionales Realizadas</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</si>
  <si>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</si>
  <si>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</si>
  <si>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</si>
  <si>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</si>
  <si>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</si>
  <si>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</si>
  <si>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</si>
  <si>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Coordinación interinstitucional realizada</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</si>
  <si>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</si>
  <si>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</si>
  <si>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</si>
  <si>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Coordinaciones Interinstitucionales realizadas
(Esta meta tiene prevista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</si>
  <si>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</si>
  <si>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</si>
  <si>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</si>
  <si>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</si>
  <si>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</si>
  <si>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</si>
  <si>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</si>
  <si>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</si>
  <si>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</si>
  <si>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</si>
  <si>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</si>
  <si>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</si>
  <si>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</si>
  <si>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</si>
  <si>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</si>
  <si>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</si>
  <si>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</si>
  <si>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</si>
  <si>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</si>
  <si>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</si>
  <si>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</si>
  <si>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</si>
  <si>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</si>
  <si>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</si>
  <si>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</si>
  <si>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</si>
  <si>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</si>
  <si>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</si>
  <si>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SANDRA ELIZABETH GARCIA ANGARITA
Personera Delegada para la Coordinación de Prevención y Control a la Función Pública
BIVIANA  ROCIO AGUILLON MAYORGA
Personera Delegada para la Coordinación de gestión de Personerías Locales</t>
  </si>
  <si>
    <t>3 Informes de Prevención y Control a la Función Publica en los cuales se evaluaron políticas ambientales, manejo de recursos hídricos, protección y bienestar animal y desarrollo urbano, en el Distrito Capital.</t>
  </si>
  <si>
    <t>1 Informe de seguimiento a los resultados de  acciones de prevención y control a la función publica en los cuales se evaluaron políticas ambientales, manejo de recursos hídricos, protección y bienestar animal y desarrollo urbano, en el Distrito Capital.</t>
  </si>
  <si>
    <t>200 Informes de Acción de Prevención y Control a la Función Publica en el Distrito Capital, para fortalecer la moralidad pública</t>
  </si>
  <si>
    <t>Acciones de Prevención y Control a la Función Pública realizadas, con informe.</t>
  </si>
  <si>
    <t>Seguimientos realizados sobre acciones previas, con informe</t>
  </si>
  <si>
    <t xml:space="preserve">40 Acompañamientos a los ciudadanos realizados. </t>
  </si>
  <si>
    <t>20 Espacios de dialogo realizados</t>
  </si>
  <si>
    <t>20 Informes de seguimientos realizados para fortalecer la moralidad pública en el Distrito Capital</t>
  </si>
  <si>
    <t>7 Audiencias públicas y/o mesas de trabajo realizadas.</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</si>
  <si>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</si>
  <si>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</si>
  <si>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</si>
  <si>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 xml:space="preserve">3.1.1 Identificar y decidir de fondo 4.500  procesos, priorizando aquellos que se encuentren con riesgo de prescripción y/o vencidos en su etapa procesal (indagación, investigación y juzgamiento). </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</si>
  <si>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</si>
  <si>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</si>
  <si>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</si>
  <si>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</si>
  <si>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</si>
  <si>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</si>
  <si>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</si>
  <si>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</si>
  <si>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</si>
  <si>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</si>
  <si>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</si>
  <si>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</si>
  <si>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</si>
  <si>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</si>
  <si>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</si>
  <si>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</si>
  <si>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</si>
  <si>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</si>
  <si>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</si>
  <si>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</si>
  <si>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</si>
  <si>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</si>
  <si>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</si>
  <si>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</si>
  <si>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</si>
  <si>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</si>
  <si>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</si>
  <si>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</si>
  <si>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</si>
  <si>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</si>
  <si>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</si>
  <si>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</si>
  <si>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</si>
  <si>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</si>
  <si>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</si>
  <si>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</si>
  <si>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</si>
  <si>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</si>
  <si>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</si>
  <si>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</si>
  <si>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</si>
  <si>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</si>
  <si>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</si>
  <si>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</si>
  <si>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</si>
  <si>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</si>
  <si>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</si>
  <si>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</si>
  <si>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</si>
  <si>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</si>
  <si>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</si>
  <si>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</si>
  <si>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</si>
  <si>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</si>
  <si>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</si>
  <si>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</si>
  <si>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</si>
  <si>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</si>
  <si>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</si>
  <si>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</si>
  <si>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</si>
  <si>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</si>
  <si>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</si>
  <si>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</si>
  <si>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</si>
  <si>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</si>
  <si>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</si>
  <si>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</si>
  <si>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</si>
  <si>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</si>
  <si>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</si>
  <si>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</si>
  <si>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</si>
  <si>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</si>
  <si>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</si>
  <si>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</si>
  <si>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</si>
  <si>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</si>
  <si>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</si>
  <si>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</si>
  <si>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</si>
  <si>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</si>
  <si>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1. Analizar informe del plan de Acción del SGC de la vigencia anterior
2. Elaborar el Plan de Acción del SGC para la sostenibilidad y mejora de la vigencia 
3. Ejecutar el Plan de Acción del SGC para la sostenibilidad y mejora.
4. Hacer seguimiento a la ejecución del Plan.
5. Generar informe de avance en la ejecución del plan.</t>
  </si>
  <si>
    <t>Avance en la implementación del MIPG en por lo menos el 23%</t>
  </si>
  <si>
    <t>Direccionamiento estratégico y Planeación
Evaluación de Resultados</t>
  </si>
  <si>
    <t>Tecnológicos
Talento Humano</t>
  </si>
  <si>
    <t>Tecnológicos
Financieros
Talento Humano</t>
  </si>
  <si>
    <t>1.  Definir el plan de Acciondel SGA
2. Ejecutar el Plan de Acción
3. Hacer seguimiento al avance</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</si>
  <si>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</si>
  <si>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</si>
  <si>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</si>
  <si>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</si>
  <si>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</si>
  <si>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</si>
  <si>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</si>
  <si>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</si>
  <si>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</si>
  <si>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</si>
  <si>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</si>
  <si>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</si>
  <si>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</si>
  <si>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</si>
  <si>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</si>
  <si>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</si>
  <si>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</si>
  <si>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</si>
  <si>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</si>
  <si>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</si>
  <si>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</si>
  <si>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</si>
  <si>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</si>
  <si>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</si>
  <si>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</si>
  <si>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</si>
  <si>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</si>
  <si>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</si>
  <si>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</si>
  <si>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</si>
  <si>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</si>
  <si>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</si>
  <si>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</si>
  <si>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</si>
  <si>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</si>
  <si>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</si>
  <si>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4.3.2 Incluir el 97% de las Novedades en la nómina oportunamente, para liquidación y pago </t>
  </si>
  <si>
    <t xml:space="preserve">4.3.3 Lograr el 90 % de usuarios internos  satisfechos con las solicitudes de servicios atendidas de la SGTH (Certificaciones laborales, bonos pensionales y autorizaciones de retiro de cesantías).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</si>
  <si>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</si>
  <si>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</si>
  <si>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</si>
  <si>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</si>
  <si>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t>4.3.8 Realizar 36 capacitaciones sobre los Sistemas de Gestión y Evaluación del Desempeño Laboral de la Entidad.</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</si>
  <si>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</si>
  <si>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</si>
  <si>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</si>
  <si>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</si>
  <si>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</si>
  <si>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</si>
  <si>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</si>
  <si>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</si>
  <si>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</si>
  <si>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</si>
  <si>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</si>
  <si>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</si>
  <si>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</si>
  <si>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</si>
  <si>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</si>
  <si>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</si>
  <si>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</si>
  <si>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</si>
  <si>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</si>
  <si>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</si>
  <si>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</si>
  <si>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</si>
  <si>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</si>
  <si>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</si>
  <si>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</si>
  <si>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</si>
  <si>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</si>
  <si>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</si>
  <si>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</si>
  <si>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</si>
  <si>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</si>
  <si>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</si>
  <si>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</si>
  <si>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</si>
  <si>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</si>
  <si>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</si>
  <si>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</si>
  <si>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</si>
  <si>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</si>
  <si>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</si>
  <si>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</si>
  <si>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</si>
  <si>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</si>
  <si>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</si>
  <si>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</si>
  <si>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</si>
  <si>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</si>
  <si>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</si>
  <si>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</si>
  <si>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</si>
  <si>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</si>
  <si>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</si>
  <si>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</si>
  <si>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</si>
  <si>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</si>
  <si>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</si>
  <si>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</si>
  <si>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</si>
  <si>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</si>
  <si>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</si>
  <si>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</si>
  <si>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</si>
  <si>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</si>
  <si>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</si>
  <si>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</si>
  <si>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</si>
  <si>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</si>
  <si>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</si>
  <si>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</si>
  <si>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</si>
  <si>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</si>
  <si>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</si>
  <si>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</si>
  <si>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</si>
  <si>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</si>
  <si>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</si>
  <si>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</si>
  <si>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</si>
  <si>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</si>
  <si>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</si>
  <si>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</si>
  <si>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</si>
  <si>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</si>
  <si>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</si>
  <si>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</si>
  <si>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</si>
  <si>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</si>
  <si>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</si>
  <si>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</si>
  <si>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</si>
  <si>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</si>
  <si>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</si>
  <si>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</si>
  <si>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</si>
  <si>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</si>
  <si>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</si>
  <si>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</si>
  <si>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</si>
  <si>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</si>
  <si>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</si>
  <si>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</si>
  <si>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</si>
  <si>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</si>
  <si>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</si>
  <si>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</si>
  <si>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</si>
  <si>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</si>
  <si>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</si>
  <si>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</si>
  <si>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</si>
  <si>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</si>
  <si>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</si>
  <si>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</si>
  <si>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</si>
  <si>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</si>
  <si>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</si>
  <si>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</si>
  <si>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</si>
  <si>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</si>
  <si>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</si>
  <si>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</si>
  <si>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</si>
  <si>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</si>
  <si>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</si>
  <si>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</si>
  <si>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</si>
  <si>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</si>
  <si>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</si>
  <si>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</si>
  <si>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</si>
  <si>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</si>
  <si>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</si>
  <si>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</si>
  <si>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</si>
  <si>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</si>
  <si>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</si>
  <si>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</si>
  <si>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</si>
  <si>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</si>
  <si>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</si>
  <si>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</si>
  <si>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</si>
  <si>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</si>
  <si>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</si>
  <si>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</si>
  <si>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</si>
  <si>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</si>
  <si>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</si>
  <si>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</si>
  <si>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</si>
  <si>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2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</si>
  <si>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</si>
  <si>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</si>
  <si>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</si>
  <si>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</si>
  <si>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</si>
  <si>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</si>
  <si>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</si>
  <si>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</si>
  <si>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</si>
  <si>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</si>
  <si>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</si>
  <si>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</si>
  <si>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</si>
  <si>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</si>
  <si>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</si>
  <si>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</si>
  <si>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</si>
  <si>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</si>
  <si>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</si>
  <si>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</si>
  <si>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</si>
  <si>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</si>
  <si>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</si>
  <si>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</si>
  <si>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</si>
  <si>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</si>
  <si>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</si>
  <si>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</si>
  <si>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</si>
  <si>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</si>
  <si>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</si>
  <si>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</si>
  <si>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</si>
  <si>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</si>
  <si>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</si>
  <si>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</si>
  <si>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</si>
  <si>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</si>
  <si>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</si>
  <si>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</si>
  <si>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</si>
  <si>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</si>
  <si>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</si>
  <si>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</si>
  <si>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</si>
  <si>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</si>
  <si>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5.3.1 Desarrollar diez (10) actividades de apropiación social del conocimiento para la creación de la cultura de la investigación e innovación.</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</si>
  <si>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</si>
  <si>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</si>
  <si>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</si>
  <si>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</si>
  <si>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</si>
  <si>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</si>
  <si>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</si>
  <si>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</si>
  <si>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</si>
  <si>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</si>
  <si>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</si>
  <si>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</si>
  <si>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</si>
  <si>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</si>
  <si>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</si>
  <si>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</si>
  <si>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</si>
  <si>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</si>
  <si>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</si>
  <si>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</si>
  <si>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</si>
  <si>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</si>
  <si>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</si>
  <si>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</si>
  <si>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</si>
  <si>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</si>
  <si>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</si>
  <si>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</si>
  <si>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</si>
  <si>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</si>
  <si>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</si>
  <si>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</si>
  <si>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</si>
  <si>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</si>
  <si>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</si>
  <si>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</si>
  <si>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</si>
  <si>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</si>
  <si>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</si>
  <si>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</si>
  <si>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</si>
  <si>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</si>
  <si>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</si>
  <si>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</si>
  <si>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</si>
  <si>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P.D. para Asuntos Penales I, Penales II, Policivos y Civiles, Derechos Humanos, Familia y Orientación y Asistencia.
P.D. para la Coordinación de la Gestión de Personerías Locales y sus Personerías Locales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</si>
  <si>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</si>
  <si>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</si>
  <si>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</si>
  <si>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</si>
  <si>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</si>
  <si>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</si>
  <si>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</si>
  <si>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</si>
  <si>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</si>
  <si>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</si>
  <si>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</si>
  <si>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</si>
  <si>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</si>
  <si>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</si>
  <si>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</si>
  <si>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1.1.11 Establecer de forma periódica, 60 estados de la vulneración de  los derechos humanos en las localidades, dando a conocer a las Entidades correspondientes los hechos observados que requieren su intervención.</t>
  </si>
  <si>
    <t>4.1.3 Realizar el 100% de las actividades definidas en la estrategia de servicios ciudadanos digitales, que permitan acceder a los tramites y servicios de la Entidad a través de canales digitales rápidos, fiables y seguros</t>
  </si>
  <si>
    <t>4.5.2 Realizar 8 jornadas de sensibilización a funcionarios de la Personería de Bogotá D.C. sobre la prevención de las faltas disciplinarias más recurrentes en la Entidad.</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</si>
  <si>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</si>
  <si>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</si>
  <si>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</si>
  <si>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</si>
  <si>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</si>
  <si>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</si>
  <si>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</si>
  <si>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</si>
  <si>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</si>
  <si>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</si>
  <si>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</si>
  <si>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</si>
  <si>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</si>
  <si>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</si>
  <si>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</si>
  <si>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</si>
  <si>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SANDRA PATRICIA MACHADO ARQUEZ / JEFE OFICINA ASESORA DE COMUNICACIONES</t>
  </si>
  <si>
    <t>PAULA ANDREA GIRON URIBE
PERSONERA DELEGADA PARA LA COORDINACIÓN DEL MINISTERIO PÚBLICO Y LOS DERECHOS HUMANOS
BIVIANA  ROCIO AGUILLON MAYORGA
PERSONERA DELEGADA PARA LA COORDINACIÓN DE GESTIÓN DE PERSONERÍAS LOCALES</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</si>
  <si>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</si>
  <si>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</si>
  <si>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</si>
  <si>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</si>
  <si>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Recibir, revisar y radicar las comunicaciones oficiales externas o internas en el Grupo de Correspodencia.
Distribuir las comunicaciones recibidas a los destinatarios internos (dependencias) o externos.
Realizar el registro en las planilas o controles correspondientes.</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</si>
  <si>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</si>
  <si>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</si>
  <si>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</si>
  <si>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</si>
  <si>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</si>
  <si>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</si>
  <si>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</si>
  <si>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</si>
  <si>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</si>
  <si>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</si>
  <si>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</si>
  <si>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</si>
  <si>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</si>
  <si>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</si>
  <si>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</si>
  <si>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</si>
  <si>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</si>
  <si>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</si>
  <si>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</si>
  <si>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</si>
  <si>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</si>
  <si>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</si>
  <si>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</si>
  <si>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</si>
  <si>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</si>
  <si>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</si>
  <si>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</si>
  <si>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</si>
  <si>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</si>
  <si>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</si>
  <si>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</si>
  <si>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</si>
  <si>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</si>
  <si>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</si>
  <si>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</si>
  <si>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</si>
  <si>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</si>
  <si>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</si>
  <si>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</si>
  <si>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</si>
  <si>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</si>
  <si>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</si>
  <si>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</si>
  <si>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</si>
  <si>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</si>
  <si>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</si>
  <si>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</si>
  <si>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</si>
  <si>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</si>
  <si>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</si>
  <si>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</si>
  <si>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</si>
  <si>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</si>
  <si>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</si>
  <si>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</si>
  <si>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</si>
  <si>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</si>
  <si>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</si>
  <si>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</si>
  <si>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</si>
  <si>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</si>
  <si>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</si>
  <si>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</si>
  <si>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</si>
  <si>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</si>
  <si>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</si>
  <si>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</si>
  <si>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</si>
  <si>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</si>
  <si>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</si>
  <si>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</si>
  <si>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</si>
  <si>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</si>
  <si>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</si>
  <si>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</si>
  <si>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</si>
  <si>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</si>
  <si>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</si>
  <si>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</si>
  <si>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</si>
  <si>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</si>
  <si>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</si>
  <si>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</si>
  <si>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</si>
  <si>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</si>
  <si>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</si>
  <si>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</si>
  <si>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</si>
  <si>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</si>
  <si>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</si>
  <si>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</si>
  <si>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</si>
  <si>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</si>
  <si>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</si>
  <si>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</si>
  <si>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</si>
  <si>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</si>
  <si>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</si>
  <si>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</si>
  <si>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</si>
  <si>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</si>
  <si>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</si>
  <si>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</si>
  <si>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</si>
  <si>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</si>
  <si>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</si>
  <si>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</si>
  <si>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</si>
  <si>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</si>
  <si>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</si>
  <si>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</si>
  <si>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</si>
  <si>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</si>
  <si>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</si>
  <si>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</si>
  <si>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</si>
  <si>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</si>
  <si>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</si>
  <si>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</si>
  <si>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</si>
  <si>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</si>
  <si>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</si>
  <si>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</si>
  <si>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</si>
  <si>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</si>
  <si>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</si>
  <si>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</si>
  <si>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</si>
  <si>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</si>
  <si>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</si>
  <si>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</si>
  <si>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05-RI-21</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</si>
  <si>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</si>
  <si>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</si>
  <si>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</si>
  <si>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</si>
  <si>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</si>
  <si>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</si>
  <si>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</si>
  <si>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</si>
  <si>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</si>
  <si>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</si>
  <si>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</si>
  <si>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</si>
  <si>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</si>
  <si>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</si>
  <si>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</si>
  <si>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</si>
  <si>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</si>
  <si>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</si>
  <si>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</si>
  <si>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</si>
  <si>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</si>
  <si>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</si>
  <si>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</si>
  <si>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</si>
  <si>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</si>
  <si>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</si>
  <si>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</si>
  <si>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</si>
  <si>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</si>
  <si>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</si>
  <si>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</si>
  <si>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</si>
  <si>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</si>
  <si>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</si>
  <si>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</si>
  <si>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</si>
  <si>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</si>
  <si>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</si>
  <si>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</si>
  <si>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</si>
  <si>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</si>
  <si>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</si>
  <si>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</si>
  <si>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</si>
  <si>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</si>
  <si>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</si>
  <si>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</si>
  <si>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</si>
  <si>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</si>
  <si>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</si>
  <si>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</si>
  <si>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</si>
  <si>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</si>
  <si>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</si>
  <si>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</si>
  <si>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</si>
  <si>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</si>
  <si>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</si>
  <si>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Trimestre</t>
  </si>
  <si>
    <t>Ejecución Acumulada Año</t>
  </si>
  <si>
    <t>Año 2020</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</si>
  <si>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</si>
  <si>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</si>
  <si>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</si>
  <si>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</si>
  <si>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</si>
  <si>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</si>
  <si>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</si>
  <si>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</si>
  <si>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</si>
  <si>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</si>
  <si>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</si>
  <si>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</si>
  <si>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</si>
  <si>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</si>
  <si>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</si>
  <si>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</si>
  <si>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</si>
  <si>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</si>
  <si>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Identifificación del Indicador</t>
  </si>
  <si>
    <t>Año 2021</t>
  </si>
  <si>
    <t>Observaciones / Recomendaciones</t>
  </si>
  <si>
    <t>INFORME DETALLADO DESEMPEÑO DE PROCESOS 
SGC</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</si>
  <si>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</si>
  <si>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</si>
  <si>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</si>
  <si>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</si>
  <si>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</si>
  <si>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</si>
  <si>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</si>
  <si>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</si>
  <si>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</si>
  <si>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</si>
  <si>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</si>
  <si>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</si>
  <si>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</si>
  <si>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</si>
  <si>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</si>
  <si>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Desempeño Promedio 
Año 2021</t>
  </si>
  <si>
    <t xml:space="preserve">No de Indicadores con ejecución menor a la programada </t>
  </si>
  <si>
    <t>Meta anual cumplida.
De acuerdo con los rangos de cumplimiento definidos para este indicador, alcanzó el nivel satisfactorio.</t>
  </si>
  <si>
    <t>Este indicador esta programado de manera constante en el año con 100% de magnitud esperada en cada periodo, su ejecución promedio en el trimestre se encuentra conforme a lo planeado.
Alcanza un cumplimiento al corte del 25% sobre el total programado en el año.
De acuerdo con los rangos de cumplimiento definidos para este indicador, en este periodo y en el corte acumulado se encuentra en el nivel satisfactorio.
Se recomienda continuar haciendo monitoreo a indicador para mantener e nivel de ejecución alcanzado hasta ahora.</t>
  </si>
  <si>
    <t>Sobre ejecución</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</si>
  <si>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</si>
  <si>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</si>
  <si>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</si>
  <si>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</si>
  <si>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</si>
  <si>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</si>
  <si>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</si>
  <si>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</si>
  <si>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</si>
  <si>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</si>
  <si>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</si>
  <si>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</si>
  <si>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</si>
  <si>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</si>
  <si>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</si>
  <si>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</si>
  <si>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</si>
  <si>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</si>
  <si>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</si>
  <si>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</si>
  <si>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</si>
  <si>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</si>
  <si>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</si>
  <si>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</si>
  <si>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</si>
  <si>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</si>
  <si>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PLAN OPERATIVO ANUAL 2021</t>
  </si>
  <si>
    <t>Porcentaje Promedio de Cumplimiento 
por tipo de Proceso</t>
  </si>
  <si>
    <t xml:space="preserve"> PLAN OPERATIVO ANUAL 2021</t>
  </si>
  <si>
    <t>Este indicador alcanza una ejecución en el trimestre del 9% de requisitos implementados y del 14%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</si>
  <si>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</si>
  <si>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Meta anual cumplida acorde con la programación de la vigencia.
De acuerdo con los rangos de cumplimiento definidos para este indicador, alcanzó el nivel satisfactorio.</t>
  </si>
  <si>
    <t>Acumulado al corte</t>
  </si>
  <si>
    <t>CUMPLIMIENTO ACUMULADO
POA AÑO
POR INDICADOR</t>
  </si>
  <si>
    <t>Para el año 2021 no se programó avance.</t>
  </si>
  <si>
    <t>Este indicador alcanza un cumplimiento al corte del 100% en el trimestre,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</si>
  <si>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</si>
  <si>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</si>
  <si>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</si>
  <si>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</si>
  <si>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</si>
  <si>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</si>
  <si>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</si>
  <si>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</si>
  <si>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</si>
  <si>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</si>
  <si>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</si>
  <si>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</si>
  <si>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</si>
  <si>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</si>
  <si>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</si>
  <si>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</si>
  <si>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</si>
  <si>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</si>
  <si>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</si>
  <si>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</si>
  <si>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</si>
  <si>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</si>
  <si>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</si>
  <si>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</si>
  <si>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</si>
  <si>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</si>
  <si>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</si>
  <si>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</si>
  <si>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</si>
  <si>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</si>
  <si>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</si>
  <si>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</si>
  <si>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</si>
  <si>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</si>
  <si>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</si>
  <si>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</si>
  <si>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</si>
  <si>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</si>
  <si>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</si>
  <si>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</si>
  <si>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</si>
  <si>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</si>
  <si>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</si>
  <si>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</si>
  <si>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AÑO 2022</t>
  </si>
  <si>
    <t>AÑO 2023</t>
  </si>
  <si>
    <t>AÑO 2024</t>
  </si>
  <si>
    <t>AÑO 2021</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</si>
  <si>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</si>
  <si>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</si>
  <si>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</si>
  <si>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</si>
  <si>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</si>
  <si>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</si>
  <si>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</si>
  <si>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</si>
  <si>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Versión:
6</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</si>
  <si>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</si>
  <si>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</si>
  <si>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</si>
  <si>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</si>
  <si>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</si>
  <si>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</si>
  <si>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</si>
  <si>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</si>
  <si>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</si>
  <si>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</si>
  <si>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</si>
  <si>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</si>
  <si>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</si>
  <si>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</si>
  <si>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</si>
  <si>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</si>
  <si>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</si>
  <si>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</si>
  <si>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</si>
  <si>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</si>
  <si>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</si>
  <si>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</si>
  <si>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</si>
  <si>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</si>
  <si>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</si>
  <si>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</si>
  <si>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</si>
  <si>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</si>
  <si>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</si>
  <si>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</si>
  <si>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</si>
  <si>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</si>
  <si>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</si>
  <si>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</si>
  <si>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</si>
  <si>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</si>
  <si>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</si>
  <si>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</si>
  <si>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GRADO DE CUMPLIMIENTO 
AÑO 2021</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</si>
  <si>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</si>
  <si>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</si>
  <si>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</si>
  <si>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</si>
  <si>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</si>
  <si>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</si>
  <si>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</si>
  <si>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</si>
  <si>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</si>
  <si>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</si>
  <si>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</si>
  <si>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</si>
  <si>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</si>
  <si>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</si>
  <si>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</si>
  <si>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</si>
  <si>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</si>
  <si>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</si>
  <si>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</si>
  <si>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</si>
  <si>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</si>
  <si>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</si>
  <si>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1.1.1 Realizar 347.900 intervenciones dentro del ejercicio del Ministerio Público para prevenir la vulneración de derechos y/o lograr el  restablecimiento de los mismos.</t>
  </si>
  <si>
    <t>1.1.2 Orientar 269.700 personas en garantía de derechos.</t>
  </si>
  <si>
    <t>1.1.3 Asistir 130.545 personas en garantía de derechos.</t>
  </si>
  <si>
    <t>1.1.4 Asistir a 32.186 personas en mecanismos alternativos de solución de conflictos.</t>
  </si>
  <si>
    <t>1.1.5 Atender y gestionar 64.307 peticiones y/o requerimientos presentados por la comunidad en garantía de derechos.</t>
  </si>
  <si>
    <t>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</si>
  <si>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25.680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</si>
  <si>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20.390 acciones constitucionales, la vulneración de derechos  con énfasis en sujetos de especial protección constitucional.</t>
  </si>
  <si>
    <t>1.2.4 Fortalecer el ejercicio del ministerio público ante las comisarías de familia, mediante el seguimiento a 3.940 medidas de protección que estas imponen.</t>
  </si>
  <si>
    <t>1.2.5 Participar en 4.632 comités, mesas y consejos interinstitucionales en garantía de derechos, con énfasis en temas relacionados con sujetos de especial protección constitucional, en particular, persona mayor, mujer y población migrante.</t>
  </si>
  <si>
    <t>1.2.6 Realizar 712 seguimientos a la amenaza y vulneración de los derechos, con énfasis en sujetos de especial protección constitucional, en particular, persona mayor, mujer y población migrante</t>
  </si>
  <si>
    <t>1.1. Realizar 879.578 acciones que promuevan la defensa, garantía y restablecimiento de los derechos de las personas en el Distrito Capital.</t>
  </si>
  <si>
    <t>1.2. Realizar 242.714 acciones que propendan por la efectiva defensa y garantía de los derechos de los sujetos de especial protección constitucional, con énfasis en las personas mayores, mujeres y la población migrante en el Distrito Capital.</t>
  </si>
  <si>
    <t>Fecha de corte: 30 de septiembre de 2021</t>
  </si>
  <si>
    <t>Tercer Trimestre</t>
  </si>
  <si>
    <t>Acumulada Corte
30/09/2021</t>
  </si>
  <si>
    <t>Ejecución Acumulada Corte
30/09/2021</t>
  </si>
  <si>
    <t>Acumulado Corte 30/09/2021</t>
  </si>
  <si>
    <t>Alcanza un cumplimiento para el corte del 98.7% sobre el total programado para este mismo periodo.
En el año alcanza un cumplimiento del 71,05%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</si>
  <si>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Se evidencia una ejecución acorde frente la programación del trimestre alcanzando el 100% de cumplimiento sin embargo al corte acumulado alcanza un cumplimiento del 78,6% sobre el total programado para este mismo periodo por cuant se presenta meor ejecución en un 3% de las actvidades programadas.
De acuerdo con los rangos de cumplimiento definidos para este indicador, en este periodo se ubica en el nivel satisfactorio y en el corte acumulado se ubica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</si>
  <si>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una ejecución en el trimestre del 11% de requisitos implementados y del 29%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</si>
  <si>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Para el trimestre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</si>
  <si>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Para el periodo no se programó avance. Su ejecución está prevista para el cuarto trimestre de 2021.</t>
  </si>
  <si>
    <t>Para el periodo no se programó avance, su ejecución es conforme a lo planeado.
De acuerdo con los rangos de cumplimiento definidos para este indicador, en el corte acumulado se encuentra en el nivel satisfactorio.
Se recomienda continuar haciendo monitoreo a indicador para mantener el nivel de ejecución alcanzado hasta ahora.</t>
  </si>
  <si>
    <t>Meta anual cumplida.
De acuerdo con los rangos de cumplimiento definidos para este indicador se encuentra en el nivel satisfactorio.</t>
  </si>
  <si>
    <t>Este indicador alcanza una ejecución en el trimestre del 9% de requisitos implementados y del 24%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</si>
  <si>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Meta anual cumplida.
Este indicador está programado de manera constante en dos periodos en el año con una magnitud del 90% promedio; en el tercer trimestre alcanza la meta con el 93,4 de percepción de  los usuarios que califican el servicio en bueno y excelente y un porcentaje de cumplimiento del 103,8%.
De acuerdo con los rangos de cumplimiento definidos para este indicador se ubica en el nivel satisfactorio.
Se recomienda al proceso tomar como línea base este resultado para proyecciones futuras.</t>
  </si>
  <si>
    <t>Para el periodo no se programó avance. La ejecución está prevista para el cuarto trimestre de 2021.</t>
  </si>
  <si>
    <t>Se evidencia una mayor ejecución frente la programación del trimestre con 7.851 personas orientadas menos en relación con la programación para el periodo alcanzando el 38.4% de porcentaje adicional de cumplimiento y un 11.9%  para la ejecución acumulada.
Alcanza un cumplimiento al corte del 84%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</si>
  <si>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8.225 intervenciones adicionales equivalente al 28.7% de porcentaje adicional de cumplimiento. Esta situación ha sido reiterativa en lo corrido del año.
En el año alcanza un cumplimiento del 95.2%.
De acuerdo con los rangos de cumplimiento definidos para este indicador, en este trimestre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</si>
  <si>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frente a la programación del trimestre con 2.377 personas asistidas adicionales en relación con la programación para el periodo alcanzando el 38% de cumplimiento adicional, no obstante frente a la programación acumulada al corte se mantiene una ejecución menor.
Alcanza un cumplimiento al corte del 66,8% sobre el total programado en el año.
De acuerdo con los rangos de cumplimiento definidos para este indicador, en este periodo se ubica en nivel satisfactorio y en el corte acumulado se ubica el nivel aceptable.
Se recomienda al proceso revisar la programación frente al contexto interno y externo y establecer las acciones correctivas y/o de mejora que le permitan dar cumplimiento a la meta y  la coherencia en la ejecución frente a la programación prevista para la vigencia.</t>
  </si>
  <si>
    <t>Se evidencia una ejecución muy superior frente a la programación del trimestre con 1.274 personas asistidas en mecanismos alternativos de solución de conflictos adicionales en relación con la programación para este periodo, alcanzando el 205.3% de cumplimiento. 
Alcanza un cumplimiento al corte del 88.6% y del 82.8% sobre el total programado en el año.
De acuerdo con los rangos de cumplimiento definidos para este indicador, en este periodo y en el corte acumulado se ubica el nivel satisfactorio.
Este indicador tuvo una reprogramación en el mes de agosto, no obstante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</si>
  <si>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frente a la programación del trimestre con 1.389 peticiones o requerimientos atendidos menos en relación con la programación para el periodo alcanzando el 73.2% de cumplimiento.
Alcanza un cumplimiento al corte del 85% que también resulta menor frente a la programación acumulada al corte y alcanza un 63.1% de cumplimiento del total programado en el año.
De acuerdo con los rangos de cumplimiento definidos para este indicador, en este periodo se ubica en nivel insatisfactorio y en el corte acumulado se ubica el nivel aceptable.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</si>
  <si>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Alcanza un cumplimiento al corte acumulado del 85% en igual procentaje frente al total programado en el año, este porcentaje se alcanza con los 6 espacios ejecutados en el trimestre..
De acuerdo con los rangos de cumplimiento definidos para este indicador en el corte acumulado se ubica el nivel aceptable.
Se recomienda al proceso realizar monitoreo, seguimiento y establecer las acciones correctivas y/o de mejora que le permitan dar cumplimiento a la meta y  la coherencia en la ejecución frente a la programación prevista para la vigencia.</t>
  </si>
  <si>
    <t>El indicador esta previsto para que el % de acciones de tutela, desacatos e impugnaciones previstas para cumplir el criterio sea mayor o igual al 95%, situación evidenciada en primer trimestre con un 4.2% mayor y que en este trimestre se mantiene alcanzando una ejecución de 99.9%.
En el año alcanza un cumplimiento del 78.6%.
De acuerdo con los rangos de cumplimiento definidos para este indicador, en este trimestre y en el corte acumulado se encuentra en el nivel satisfactorio.
Se recomienda al proceso revisar la tendencia para tomarla como línea base para proyecciones futuras.</t>
  </si>
  <si>
    <t>Se evidencia una mayor ejecución frente la programación del trimestre con 368 audiencias públicas adicionales en relación con la programación para el periodo alcanzando el 126.7% de cumplimiento.
Alcanza un cumplimiento acumulado al corte del 120.9% y un 91.4%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</si>
  <si>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mayor ejecución frente a la programación del trimestre con 277 intervenciones (impulsos procesales) realizados oportunamente de manera adicional en relación con la programación para el periodo alcanzando el 134.2% de cumplimiento.
Alcanza un cumplimiento acumulado al corte del 129.9% y un 97.8% sobre el total programado en el año.
De acuerdo con los rangos de cumplimiento definidos para este indicador, en este periodo y en el corte acumulado se ubica el nivel satisfactorio.
Se recomienda continuar haciendo monitoreo al indicador y establecer las acciones de mejora que permitan la coherencia en la ejecución frente a la programación prevista para la vigencia.</t>
  </si>
  <si>
    <t>Esta meta se cumplido desde el triemestre anterior, no obstante para el tercer trimestre se evidencia una ejecución adicional de 110 expedientes con impulso procesal para un total en el año de 819 frente a 700 programados para el 2021.
Alcanza un cumplimiento acumulado al corte del 154.5% y del 117% sobre el total programado en el año.
De acuerdo con los rangos de cumplimiento definidos para este indicador, en este periodo y en el corte acumulado se ubica el nivel insatisfactorio.
Se recomienda al proceso revisar la programación frente al contexto interno y externo y establecer las acciones correctivas y/o de mejora que le permitan dar cumplimiento a la meta y  la coherencia en la ejecución frente a la programación prevista para la vigencia. De igual manera, revisar la tendencia de este indicador y el resultado para tomarlo como línea base y proyecciones futuras.</t>
  </si>
  <si>
    <t>Desde el segundo trimestre se había superado la meta prevista para el año con un total de 51.231 personas sensibilizadas en el Distrito y en el tercer trimestre se observa una ejecución adicional de 17.775 personas sensibilizadas adicionales, lo que genera una desviación muy significativa ya que la actual la tendencia creciente se mantiene de tal manera que ya se ha cumplido y superado la meta del año 2021.
En el año alcanza un cumplimiento del 110.7%.
De acuerdo con los rangos de cumplimiento definidos para este indicador se encuentra en el nivel satisfactorio.
Se recomienda al proceso revisar la programación frente al contexto interno y externo y establecer las acciones de mejora, además se debe analizar cuidadosamente la tendencia en aumento por cuanto en el segundo y tercer trimestre del año ya se ha superado el 100% del total de la programación para el 2021; de igua manera, evaluar la opción de incrementar la magnitud de la meta para lo que queda de la vigencia. Así mismo, revisar la tendencia de este indicador y el resultado para tomarlo como línea base y proyecciones futuras</t>
  </si>
  <si>
    <t>La magnitud de esta meta fue reprogramada en el mes de agosto, sin embargo se evidencia una mayor ejecución frente la programación del trimestre con 2.122 acciones en favor de la víctimas adicinales en relación con la programación para el periodo alcanzando el 410.2% de cumplimiento  lo que genera una desviación muy significativa.
Alcanza un cumplimiento al corte del 139.8% sobre el total programado en el año alcanzando y sobrepasando la magnitud de la meta.
De acuerdo con los rangos de cumplimiento definidos para este indicador, en este periodo y en el corte acumulado se alcanza el nivel satisfactorio.
Se recomienda realizar monitoreo al indicador y establecer las acciones de mejora que permitan la coherencia en la ejecución frente a la programación prevista para la vigencia. De igual manera, revisar la tendencia de este indicador y el resultado para tomarlo como línea base y proyecciones futuras.</t>
  </si>
  <si>
    <t>Se evidencia una mayor ejecución frente la programación del trimestre con 286 acciones constitucionales adicionales en relación con la programación para el periodo alcanzando el 126.7% de cumplimiento.
Alcanza un cumplimiento acumulado al corte del 91.2% y 77.5% sobre el total programado en el año.
De acuerdo con los rangos de cumplimiento definidos para este indicador, en este periodo y en el corte acumulado se alcanza el nivel satisfactorio.
Se recomienda realizar monitoreo al indicador y establecer las acciones de mejora que le permitan dar cumplimiento a la meta y  la coherencia en la ejecución frente a la programación prevista para la vigencia.</t>
  </si>
  <si>
    <t>Se evidencia una menor ejecución frente a la programación del trimestre con 46 seguimientos menos equivalente a 84.1% de cumplimiento.
Alcanza un cumplimiento  acumulado al corte del 93.8% y en el año alcanza un cumplimiento del 77.9%.
De acuerdo con los rangos de cumplimiento definidos para este indicador, en este trimestre se encuentra en nivel aceptable y en el corte acumulado se encuentra en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</si>
  <si>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Meta cumplida con 2.220 espacios interinstitucionales frente a la programación anual de 1.402 lo que genera un cumplimient anticipado de la meta y una desviación muy significativa.
Alcanza un cumplimiento  acumulado al corte del 227.9% y en el año alcanza un cumplimiento del 158.3%.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desde el segundo trimestre del año ya se ha superado el 100% del total de la programación para el 2021 y a pesar de la reprogramación efectuada en agosto está tendencia continua; de igual manera, evaluar la opción de incrementar la magnitud de la meta para lo que queda de la vigencia. Se debe revisar la tendencia de este indicador y el resultado para tomarlo como línea base y proyecciones futuras.</t>
  </si>
  <si>
    <t>Para la vigencia 2021 no se programó avance.</t>
  </si>
  <si>
    <t>Se evidencia incumplimiento en la programación para el trimestre.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</si>
  <si>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15 seguimientos adicionales equivalente a 120.8% de cumplimiento; esta situación puede verificarse en el reporte mensualizado donde se observa ejecución mayor en cada mes lo que genera desviación y que se presentó desde el primer trimestre y se mantuvo en el actual.
En el año supera la magnitud programada para la meta con 239 seguimientos y un cumplimiento del 104.8%.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 Se debe revisar la tendencia de este indicador y el resultado para tomarlo como línea base y proyecciones futuras.</t>
  </si>
  <si>
    <t xml:space="preserve">Se evidencia una menor ejecución frente a la programación del trimestre con 32 acciones de prevención y control menos equivalente al 56% de cumplimiento; al corte alcalnzaun cumplimiento del 97% y en el año alcanza un cumplimiento del 76%.
De acuerdo con los rangos de cumplimiento definidos para este indicador, en este trimestre se ubica en nivel aceptable y en el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 </t>
  </si>
  <si>
    <t>Meta anual cumplida anticipada desde el segundo trimestre con 23 seguimientos realizados frente a 20 programados para el año 2021.
Alcanza un cumplimiento en el año del 115%.
De acuerdo con los rangos de cumplimiento definidos para este indicador se encuentra en el nivel satisfactorio.
Se recomienda al proceso revisar la programación frente al contexto interno y externo y establecer las acciones de mejora, además se debe analizar cuidadosamente la ejecución desde el segundo trimestre del año por cuanto ya se ha superado el 100% del total de la programación para el 2021 prevista en 20 seguimientos; de igual manera, evaluar la opción de incrementar la magnitud de la meta para lo que queda de la vigencia. Se debe revisar la tendencia de este indicador y el resultado para tomarlo como línea base y proyecciones futuras.</t>
  </si>
  <si>
    <t>El trimestre se ejecutó acorde a la programación y se da cumplimiento a la meta superada por 1 audiencia pública y/o mesa de trabajo. 
La ejecución acumulada al corte alcanza el 114% de cumplimiento  y en el año alcanza un 114% de cumplimiento.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</si>
  <si>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Meta anual cumplida anticipada desde el segundo trimestre del año en el tercer trimestre alcanza un total de 70 acompañamientos frente a 40 programados para el año, lo que genera una desviación muy significativa.
En el año alcanza un cumplimiento del 175% con 70 acompañamientos.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ejecución del segundo y tercer trimestre del año por cuanto ya se ha superado el 100% del total de la programación para el 2021; de igual manera, evaluar la opción de incrementar la magnitud de la meta para lo que queda de la vigencia.
Se debe revisar la tendencia de este indicador y el resultado para tomarlo como línea base y proyecciones futuras.</t>
  </si>
  <si>
    <t>Se evidencia una mayor ejecución que supera la programación del trimestre con 1 esapcio de dialogo realizado adicional equivalente a 117% de cumplimiento.
La ejecución acumulada al corte alcanza el 88% de cumplimiento y en el año alcanza un cumplimiento del 70%.
De acuerdo con los rangos de cumplimiento definidos para este indicador, en este trimestre se encuentra en el nivel satisfactorio y en el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</si>
  <si>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189 procesos priorizados adicionales, equivalente al 235% de cumplimiento; esta situación puede verificarse en el reporte mensualizado donde se observa ejecución mayor en el primer, segundo y tercer; trimestre lo que genera una desviación muy importante.
La meta al corte se ha cumplido y sobreejecutado, en el año alcanza un cumplimiento del 130.7% con un total de 1.176 procesos priorizados frente a 900 programados en el año 2021.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del indicador, de igual manera, se debe revisar la tendencia de este indicador y el resultado para tomarlo como línea base y proyecciones futuras.</t>
  </si>
  <si>
    <t>Este indicador esta programado de manera constante en el año con 100% de magnitud esperada en cada periodo, se evidencia una mayor ejecución, frente a la programación del trimestre con 108% en relación con la programación para el trimestre alcanzando el 108.1% de cumplimiento y 83.2% en el corte acumulado.
Alcanza un cumplimiento del 62.4% sobre el total programado en el año.
De acuerdo con los rangos de cumplimiento definidos para este indicador, en este periodo se ubica en nivel satisfactorio y en el corte acumulado se ubica el nivel aceptable.
Se recomienda al proceso monitorear la ejecución y revisar la programación frente al contexto interno y externo y la tendencia para que se establezcan las acciones correctivas y/o de mejora que le permitan dar cumplimiento a la meta y la coherencia en la ejecución frente a la programación prevista para la vigencia.</t>
  </si>
  <si>
    <t>Meta anual cumplida anticipada.
Alcanza un cumplimiento en el año del 100% con 51 visitas de seguimiento a OCID.
Se recomienda al proceso revisar la tendencia de este indicador y el resultado para tomarlo como línea base y proyecciones futuras.</t>
  </si>
  <si>
    <t>Para el periodo no se programó avance, no obstante, el proceso generó un escenario de intercambio de conocimiento.
La ejecución acumulada al corte alcanza el 100% de cumplimiento, entre tanto en el año alcanza un 50% de cumplimiento.
Se recomienda al proceso realizar monitoreo al indicador y establecer las acciones de mejora en procura decumplir la meta y mantener la coherencia en la ejecución frente a la programación prevista para la vigencia.</t>
  </si>
  <si>
    <t>El trimestre se ejecutó acorde a la programación. 
La ejecución acumulada al corte alcanza el 100% de cumplimiento, entre tanto en el año alcanza un 75% de cumplimiento.
De acuerdo con los rangos de cumplimiento definidos para este indicador, en este trimestre y en el corte acumulado se encuentra en el nivel satisfactorio.
Se recomienda continuar haciendo monitoreo a indicador para mantener e nivel de ejecución alcanzado hasta ahora y en procura de mantener la coherencia en la ejecución frente a la programación prevista para la vigencia.</t>
  </si>
  <si>
    <t>Este indicador presenta avance en el trimestre de 0.35 en el desarrollo del sistema de comunicación con las OCID  y alcanza un cumplimiento del 233.3% en el trimestre.
La ejecución acumulada al corte alcanza el 100% de cumplimiento, entre tanto en el año alcanza un 80% de cumplimiento.
De acuerdo con los rangos de cumplimiento definidos para este indicador, en este periodo y en el corte acumulado se encuentra en el nivel insatisfactorio.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</si>
  <si>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Este indicador alcanza un cumplimiento en el trimestre del 100%, su ejecución es conforme a lo planeado.
La ejecución acumulada al corte alcanza el 100% de cumplimiento, entre tanto en el año alcanza un 70% de cumplimiento.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</si>
  <si>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en el trimestre del 120%, su ejecución es mayor a lo planeado.
La ejecución acumulada al corte alcanza el 114.3 de cumplimiento, entre tanto en el año alcanza un 80% de cumplimiento.
De acuerdo con los rangos de cumplimiento definidos para este indicador, en este periodo y en el corte acumulado se encuentra en el nivel 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</si>
  <si>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Este indicador esta programado de manera constante en el año con 97% de magnitud esperada en cada periodo; al corte se observa en el reporte ejecución promedio de 96.8% promedio, sin embargo, el acumulado al corte se encuentra en 97.7% promedio, esta situación puede verificarse en el reporte mensualizado para los tres trimestres.
Alcanza un cumplimiento del 75.5% sobre el total programado en el año.
Se recomienda al proceso realizar monitoreo y establecer las acciones de mejora teniendo en cuenta la tendencia del indicador que le permitan dar cumplimiento a la meta y la coherencia en la ejecución frente a la programación prevista para la vigencia.</t>
  </si>
  <si>
    <t>Este indicador esta programado de manera constante en el año con 90% de magnitud esperada en cada periodo; al corte se observa en el reporte ejecución promedio mayor a lo esperado en 97% promedio, sin embargo, el acumulado al corte se encuentra en 95.9% promedio, esta situación puede verificarse en el reporte mensualizado para los tres trimestres.
Alcanza un cumplimiento del 79.9% sobre el total programado en el año.
Se recomienda al proceso revisar la programación frente al contexto interno y externo y establecer las acciones de mejora teniendo en cuenta la tendencia del indicador, de igual manera, evaluar la opción de incrementar la magnitud de la meta para lo que queda de la vigencia.</t>
  </si>
  <si>
    <t>Este indicador alcanza un cumplimiento en el trimestre del 99.8%, un 97.9% al corte acumulado y 66.7% frente al programando anual.
De acuerdo con los rangos de cumplimiento definidos para este indicador, en este periodo y en el corte acumulado alcanzan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</si>
  <si>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Este indicador alcanza un cumplimiento en el trimestre del 152.3%, con una ejecución mayor a la programada para el periodo.
De acuerdo con los rangos de cumplimiento definidos para este indicador, en este periodo y en el corte acumulado alcanzan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</si>
  <si>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mayor ejecución frente la programación del trimestre alcanzando el 174.7% de cumplimiento.
Alcanza un cumplimiento acumulado al corte del 91.4% y un 51.9% sobre el total programado en el año.
De acuerdo con los rangos de cumplimiento definidos para este indicador, en este periodo y en el corte acumulado se alcanza el nivel insatisfactorio.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</si>
  <si>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Se evidencia una menor ejecución frente la programación del trimestre con 0,7% de avance menos en relación con la programación para el periodo alcanzando el 94.8% de cumplimiento.
Alcanza un cumplimiento acumulado al corte del 98.7% y el 66.6%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para que se logre la coherencia en la ejecución frente a la programación prevista para la vigencia.</t>
  </si>
  <si>
    <t>Este indicador alcanza un cumplimiento acumulado al corte del 100%  y el 66.7% sobre el total programado en el año,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</si>
  <si>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alcanza un cumplimiento del 100% y acumulado al corte del 99.9%.
Alcanza un cumplimiento del 74.9%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se logre la coherencia en la ejecución frente a la programación prevista para la vigencia.</t>
  </si>
  <si>
    <t>Este indicador esta programado de manera constante en el año con 97% de magnitud esperada en cada periodo, alcanza una ejecución del 116.1% con cumplimiento en el trimestre del 119.7%. 
La ejecución acumulada al corte alcanza el 109.9% de cumplimiento entre tanto en el año alcanza un 82.4% de cumplimiento.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</si>
  <si>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menor ejecución frente la programación del trimestre con 5.1% de porcentaje de presupuesto ejecutado menos en relación con la programación para el periodo alcanzando el 79.6% de cumplimiento.
Alcanza un cumplimiento acumulado al corte del 91.8% y el 69.58% sobre el total programado en el año.
De acuerdo con los rangos de cumplimiento definidos para este indicador, en este trimestre se encuentra en nivel insatisfactorio en el trimestre y en el corte acumulado se alcanza el nivel aceptable.
Se recomienda continuar haciendo monitoreo al indicador y establecer las acciones de mejora que permitan dar cumplimiento a la meta y la coherencia en la ejecución frente a la programación prevista para la vigencia.</t>
  </si>
  <si>
    <t>Se evidencia una menor ejecución del trimestre con 0.3% porcentaje de compromisos programados y ejecutados menos en relación con la programación para el periodo alcanzando el 98.61% de cumplimiento.
Alcanza un cumplimiento acumulado al corte del 90.24% y el 58.9% sobre el total programado en el año.
De acuerdo con los rangos de cumplimiento definidos para este indicador, en este periodo se encuentra en nivel aceptable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</si>
  <si>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Se evidencia una mayor ejecución frente a la programación del trimestre con 13% porcentaje del PAA ejecutado adicional en relación con la programación para el periodo, alcanzando el 262.5% de cumplimiento, lo que le permite avanzar en la ejecución al corte la que ha estado por debajo de la programación. Entre tanto la ejecución acumualda al corte presenta un 18% menos de ejecución del PAA con lo cual alcanza un cumplimiento al corte del 79.8%  y un 74.7%sobre el total programado en el año.
De acuerdo con los rangos de cumplimiento definidos para este indicador, en este periodo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</si>
  <si>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Se evidencia una menor ejecución frente la programación del trimestre con 9.5% de porcentaje de porcentaje de contratos de la modalidad menos en relación con la programación para el periodo alcanzando el 84.2% de cumplimiento.
Alcanza un cumplimiento del 63.1% sobre el total programado en el año.
De acuerdo con los rangos de cumplimiento definidos para este indicador, en este trimestre y en el corte acumulado se alcanza el nivel insatisfactorio.
Se recomienda continuar haciendo monitoreo al indicador y establecer las acciones de mejora que permitan dar cumplimiento a la meta y la coherencia en la ejecución frente a la programación prevista para la vigencia.</t>
  </si>
  <si>
    <t>Se evidencia una menor ejecución frente la programación del trimestre con 1.7% de porcentaje de porcentaje de contratos de la modalidad menos en relación con la programación para el periodo alcanzando el 97.2% de cumplimiento.
Alcanza un cumplimiento del 72.9% sobre el total programado en el año.
De acuerdo con los rangos de cumplimiento definidos para este indicador, en este trimestre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</si>
  <si>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Este indicador alcanza un cumplimiento del trimestre del 100%  y el 75% sobre el total programado en el año,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</si>
  <si>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95% de magnitud esperada en cada periodo, alcanza un cumplimiento en trimestre del 103.6%. Se evidencia una mayor ejecución frente la programación del trimestre con 3.4% de comunicaciones oficiales adicionales.
Alcanza el 76.91% de cumplimiento en el año.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</si>
  <si>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Este indicador esta programado de manera constante en el año con 80% de magnitud esperada en cada periodo, su ejecución promedio en el trimestre se encuentra en 81.7% y la acumulada al corte es del 80.5%.
De acuerdo con los rangos de cumplimiento definidos para este indicador, en este periodo y en el corte acumulado se encuentra en el nivel satisfactorio.
Se recomienda continuar haciendo monitoreo a indicador para cumplir la  meta y que permita la coherencia en la ejecución frente a la programación prevista para la vigencia.</t>
  </si>
  <si>
    <t>Se evidencia una mayor ejecución del trimestre con 4 actividades para el diseño equivalente al 142.9% de porcentaje de cumplimiento, la que puede verificarse en el reporte mensualizado.
Alcanza el 121.1% acumulado al corte y en el año alcanza un cumplimiento del 92%.
De acuerdo con los rangos de cumplimiento definidos para este indicador, en este trimestre y en el corte acumulado se encuentra en el nivel satisfactorio.
Se recomienda continuar haciendo monitoreo al indicador y establecer las acciones de mejora que permitan la coherencia en la ejecución frente a la programación prevista para la vigencia.</t>
  </si>
  <si>
    <t>Se evidencia una menor ejecución del trimestre con 1 actividad equivalente al 85.7% de porcentaje de cumplimiento, la que puede verificarse en el reporte mensualizado.
Alcanza el 89.5% acumulado al corte y en el año alcanza un cumplimiento del 68%.
De acuerdo con los rangos de cumplimiento definidos para este indicador, en este trimestre y en el corte acumulado se encuentra en el nivel aceptable.
Se recomienda continuar haciendo monitoreo al indicador y establecer las acciones de mejora que permitan la coherencia en la ejecución frente a la programación prevista para la vigencia.</t>
  </si>
  <si>
    <t>Meta cumplida acorde a lo programado.
Este indicador alcanza un cumplimiento al corte del 100% en el trimestre, su ejecución es conforme a lo planeado.
De acuerdo con los rangos de cumplimiento definidos para este indicador, en este periodo y en el corte acumulado se encuentra en el nivel satisfactorio.</t>
  </si>
  <si>
    <t>Se evidencia una mayor ejecución que supera la programación del trimestre con 3 medidas de preservación emitidas adicionales equivalente a 150% de cumplimiento; esta situación puede verificarse en el reporte mensualizado.
En el año supera la meta con 28 medidas de preservación emitidas frente a 24 programadas en el año 2021, la meta al corte se ha cumplido y sobreejecutado, en el año alcanza un cumplimiento del 116.7%.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del indicador, de igual manera, se debe revisar la tendencia de este indicador y el resultado para tomarlo como línea base y proyecciones futuras.</t>
  </si>
  <si>
    <t>Se evidencia una mayor ejecución que supera la programación del trimestre con 18 procesos disciplinarios con decisión de fondo proferida adicionales equivalente a 160% de cumplimiento; esta situación puede verificarse en el reporte mensualizado.
En el año supera la meta con 116  procesos disciplinarios con decisión de fondo proferida frente a 100 programadas en el año 2021, la meta al corte se ha cumplido y sobreejecutado, en el año alcanza un cumplimiento del 116%.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del indicador, de igual manera, se debe revisar la tendencia de este indicador y el resultado para tomarlo como línea base y proyecciones futuras.</t>
  </si>
  <si>
    <t>Para el periodo no se programó avance.
Se recomienda hacer monitoreo a indicador para dar cumplimiento a la meta</t>
  </si>
  <si>
    <t>CUMPLIMIENTO PROGRAMACIÓN EN EL PERIODO 
Tercer Trimestre de 2021</t>
  </si>
  <si>
    <t>CUMPLIMIENTO PROGRAMACIÓN - ACUMULADO
Corte 30/09/2021</t>
  </si>
  <si>
    <t>CUMPLIMIENTO PROMEDIO AL CORTE 30-09-2021
POR INDICADOR</t>
  </si>
  <si>
    <t>Corte: 30 de septiembre de 2021</t>
  </si>
  <si>
    <t xml:space="preserve">TRIMESTRE 3 </t>
  </si>
  <si>
    <t xml:space="preserve">PERIODO: TRIMESTRE 3 DE 2021 </t>
  </si>
  <si>
    <t>Se evidencia incumplimiento en la programación para el trimestre y el año 2021, cuya ejecución debió haber terminado en este trimestre.
De acuerdo con los rangos de cumplimiento definidos para este indicador se ubica en el nive insatisfactorio.
Se recomienda al proceso realizar monitoreo, seguimiento y establecer las acciones correctivas y/o de mejora que le permitan dar cumplimiento a la meta y  la coherencia en la ejecución frente a la programación prevista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</si>
</sst>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dd/mm/yyyy;@"/>
    <numFmt numFmtId="166" formatCode="#,##0.0"/>
    <numFmt numFmtId="167" formatCode="0;[Red]0"/>
    <numFmt numFmtId="168" formatCode="0.000%"/>
    <numFmt numFmtId="169" formatCode="dd\-mm\-yyyy"/>
    <numFmt numFmtId="170" formatCode="#,##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0" tint="-0.249977111117893"/>
      <name val="Arial"/>
      <family val="2"/>
    </font>
    <font>
      <sz val="18"/>
      <color theme="1"/>
      <name val="Arial"/>
      <family val="2"/>
    </font>
    <font>
      <sz val="12"/>
      <color theme="0" tint="-0.249977111117893"/>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sz val="12"/>
      <color theme="2" tint="-9.9978637043366805E-2"/>
      <name val="Arial"/>
      <family val="2"/>
    </font>
    <font>
      <sz val="12"/>
      <color theme="0" tint="-0.14999847407452621"/>
      <name val="Arial"/>
      <family val="2"/>
    </font>
    <font>
      <sz val="14"/>
      <color theme="0" tint="-0.14999847407452621"/>
      <name val="Arial"/>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sz val="14"/>
      <color rgb="FF00B050"/>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s>
  <fills count="4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499984740745262"/>
        <bgColor indexed="64"/>
      </patternFill>
    </fill>
    <fill>
      <patternFill patternType="solid">
        <fgColor theme="2" tint="-0.249977111117893"/>
        <bgColor indexed="64"/>
      </patternFill>
    </fill>
    <fill>
      <patternFill patternType="lightUp">
        <bgColor theme="0" tint="-0.34998626667073579"/>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FFC000"/>
        <bgColor indexed="64"/>
      </patternFill>
    </fill>
    <fill>
      <patternFill patternType="solid">
        <fgColor rgb="FF66FF33"/>
        <bgColor indexed="64"/>
      </patternFill>
    </fill>
  </fills>
  <borders count="8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715">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3" fontId="39" fillId="11" borderId="31" xfId="0"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9" fontId="39" fillId="11" borderId="31" xfId="6" applyFont="1" applyFill="1" applyBorder="1" applyAlignment="1" applyProtection="1">
      <alignment horizontal="center" vertical="center"/>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12" fillId="9" borderId="2" xfId="1" applyFont="1" applyFill="1" applyBorder="1" applyAlignment="1" applyProtection="1">
      <alignment horizontal="center"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0" fontId="23" fillId="0" borderId="6" xfId="34" applyFont="1" applyBorder="1" applyAlignment="1" applyProtection="1">
      <alignment horizontal="left" vertical="center" wrapText="1"/>
    </xf>
    <xf numFmtId="9" fontId="21" fillId="7" borderId="3" xfId="8"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3" fontId="39" fillId="0" borderId="2" xfId="5" applyNumberFormat="1" applyFont="1" applyBorder="1" applyAlignment="1" applyProtection="1">
      <alignment horizontal="center"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42" fillId="0" borderId="5" xfId="0" applyFont="1" applyBorder="1" applyAlignment="1" applyProtection="1">
      <alignment horizontal="justify" vertical="top"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9" fillId="0" borderId="1" xfId="1" applyFont="1" applyBorder="1" applyAlignment="1" applyProtection="1">
      <alignment horizontal="lef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2" xfId="20" applyNumberFormat="1" applyFont="1" applyBorder="1" applyAlignment="1" applyProtection="1">
      <alignment horizontal="left"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9" fontId="21" fillId="0" borderId="3" xfId="8" applyFont="1" applyFill="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1" fillId="0" borderId="3" xfId="7" applyNumberFormat="1" applyFont="1" applyBorder="1" applyAlignment="1" applyProtection="1">
      <alignment horizontal="center" vertical="center" wrapText="1"/>
    </xf>
    <xf numFmtId="0" fontId="21" fillId="0" borderId="3" xfId="7"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0" fontId="39" fillId="0" borderId="3" xfId="36" applyNumberFormat="1" applyFont="1" applyBorder="1" applyAlignment="1" applyProtection="1">
      <alignment horizontal="center" vertical="center" wrapText="1"/>
    </xf>
    <xf numFmtId="0" fontId="39" fillId="0" borderId="3" xfId="36" applyNumberFormat="1" applyFont="1" applyFill="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0" fontId="20" fillId="0" borderId="6" xfId="20" applyFont="1" applyBorder="1" applyAlignment="1" applyProtection="1">
      <alignment horizontal="center" vertical="center" wrapText="1"/>
    </xf>
    <xf numFmtId="0" fontId="44" fillId="0" borderId="3" xfId="7" applyNumberFormat="1" applyFont="1" applyBorder="1" applyAlignment="1" applyProtection="1">
      <alignment horizontal="center" vertical="center" wrapText="1"/>
    </xf>
    <xf numFmtId="0" fontId="44" fillId="0" borderId="3" xfId="7" applyNumberFormat="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3" fontId="20" fillId="0" borderId="6" xfId="20" applyNumberFormat="1" applyFont="1" applyBorder="1" applyAlignment="1" applyProtection="1">
      <alignment horizontal="center" vertical="center" wrapText="1"/>
    </xf>
    <xf numFmtId="9" fontId="44" fillId="0" borderId="3" xfId="8" applyFont="1" applyBorder="1" applyAlignment="1" applyProtection="1">
      <alignment horizontal="center" vertical="center" wrapText="1"/>
    </xf>
    <xf numFmtId="0" fontId="20" fillId="0" borderId="2" xfId="20" applyFont="1" applyBorder="1" applyAlignment="1" applyProtection="1">
      <alignment horizontal="left" vertical="center" wrapText="1"/>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0" fontId="39" fillId="0" borderId="3" xfId="7" applyNumberFormat="1" applyFont="1" applyBorder="1" applyAlignment="1" applyProtection="1">
      <alignment horizontal="center" vertical="center" wrapText="1"/>
    </xf>
    <xf numFmtId="0" fontId="39" fillId="0" borderId="3" xfId="7" applyNumberFormat="1" applyFont="1" applyFill="1" applyBorder="1" applyAlignment="1" applyProtection="1">
      <alignment horizontal="center" vertical="center" wrapText="1"/>
    </xf>
    <xf numFmtId="9" fontId="39" fillId="0" borderId="3" xfId="7"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164" fontId="39" fillId="3" borderId="3" xfId="36" applyNumberFormat="1" applyFont="1" applyFill="1" applyBorder="1" applyAlignment="1" applyProtection="1">
      <alignment horizontal="center" vertical="center" wrapText="1"/>
    </xf>
    <xf numFmtId="0" fontId="8" fillId="0" borderId="2" xfId="34" applyBorder="1" applyAlignment="1" applyProtection="1">
      <alignment horizontal="left" vertical="center" wrapText="1"/>
    </xf>
    <xf numFmtId="0" fontId="39" fillId="0" borderId="3" xfId="37" applyNumberFormat="1" applyFont="1" applyBorder="1" applyAlignment="1" applyProtection="1">
      <alignment horizontal="center" vertical="center" wrapText="1"/>
    </xf>
    <xf numFmtId="0" fontId="39" fillId="0" borderId="3" xfId="38" applyNumberFormat="1" applyFont="1" applyBorder="1" applyAlignment="1" applyProtection="1">
      <alignment horizontal="center" vertical="center" wrapText="1"/>
    </xf>
    <xf numFmtId="0" fontId="39" fillId="0" borderId="3" xfId="39" applyNumberFormat="1" applyFont="1" applyBorder="1" applyAlignment="1" applyProtection="1">
      <alignment horizontal="center" vertical="center" wrapText="1"/>
    </xf>
    <xf numFmtId="0" fontId="39" fillId="0" borderId="3" xfId="40" applyNumberFormat="1" applyFont="1" applyBorder="1" applyAlignment="1" applyProtection="1">
      <alignment horizontal="center" vertical="center" wrapText="1"/>
    </xf>
    <xf numFmtId="1" fontId="39" fillId="7" borderId="3" xfId="9" applyNumberFormat="1" applyFont="1" applyFill="1" applyBorder="1" applyAlignment="1" applyProtection="1">
      <alignment horizontal="center" vertical="center"/>
    </xf>
    <xf numFmtId="0" fontId="20" fillId="0" borderId="1" xfId="1" applyFont="1" applyAlignment="1" applyProtection="1">
      <alignment horizontal="center" vertical="center"/>
    </xf>
    <xf numFmtId="0" fontId="20" fillId="0" borderId="1" xfId="1" applyFont="1" applyAlignment="1" applyProtection="1">
      <alignment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9" fontId="39" fillId="0" borderId="3" xfId="6"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0" borderId="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0" applyFont="1" applyBorder="1" applyAlignment="1" applyProtection="1">
      <alignment horizontal="center" vertical="center" wrapText="1"/>
    </xf>
    <xf numFmtId="9" fontId="20" fillId="0" borderId="3" xfId="7" applyNumberFormat="1" applyFont="1" applyBorder="1" applyAlignment="1" applyProtection="1">
      <alignment horizontal="center" vertical="center" wrapText="1"/>
    </xf>
    <xf numFmtId="0" fontId="20" fillId="0" borderId="3" xfId="7" applyNumberFormat="1" applyFont="1" applyBorder="1" applyAlignment="1" applyProtection="1">
      <alignment horizontal="center" vertical="center" wrapText="1"/>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0" fontId="20" fillId="0" borderId="3" xfId="7" applyNumberFormat="1" applyFont="1" applyFill="1" applyBorder="1" applyAlignment="1" applyProtection="1">
      <alignment horizontal="center" vertical="center" wrapText="1"/>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0" fontId="39" fillId="0" borderId="3" xfId="7" applyNumberFormat="1" applyFont="1" applyBorder="1" applyAlignment="1" applyProtection="1">
      <alignment horizontal="center" vertical="center" wrapText="1"/>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0" borderId="3" xfId="6" applyNumberFormat="1" applyFont="1" applyBorder="1" applyAlignment="1" applyProtection="1">
      <alignment horizontal="center" vertical="center" wrapText="1"/>
    </xf>
    <xf numFmtId="164" fontId="39" fillId="7" borderId="3" xfId="6" applyNumberFormat="1" applyFont="1" applyFill="1" applyBorder="1" applyAlignment="1" applyProtection="1">
      <alignment horizontal="center" vertical="center"/>
    </xf>
    <xf numFmtId="10" fontId="39" fillId="3" borderId="3" xfId="36" applyNumberFormat="1" applyFont="1" applyFill="1" applyBorder="1" applyAlignment="1" applyProtection="1">
      <alignment horizontal="center" vertical="center" wrapText="1"/>
    </xf>
    <xf numFmtId="10" fontId="39" fillId="3" borderId="3" xfId="6" applyNumberFormat="1" applyFont="1" applyFill="1" applyBorder="1" applyAlignment="1" applyProtection="1">
      <alignment horizontal="center" vertical="center" wrapText="1"/>
    </xf>
    <xf numFmtId="10" fontId="39" fillId="0" borderId="3" xfId="6" applyNumberFormat="1" applyFont="1" applyBorder="1" applyAlignment="1" applyProtection="1">
      <alignment horizontal="center" vertical="center" wrapText="1"/>
    </xf>
    <xf numFmtId="10" fontId="39" fillId="7" borderId="3" xfId="6" applyNumberFormat="1" applyFont="1" applyFill="1" applyBorder="1" applyAlignment="1" applyProtection="1">
      <alignment horizontal="center" vertical="center"/>
    </xf>
    <xf numFmtId="164" fontId="39" fillId="3" borderId="3" xfId="6" applyNumberFormat="1" applyFont="1" applyFill="1" applyBorder="1" applyAlignment="1" applyProtection="1">
      <alignment horizontal="center" vertical="center" wrapText="1"/>
    </xf>
    <xf numFmtId="164" fontId="39" fillId="0" borderId="3" xfId="6" applyNumberFormat="1" applyFont="1" applyFill="1" applyBorder="1" applyAlignment="1" applyProtection="1">
      <alignment horizontal="center" vertical="center" wrapText="1"/>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0" borderId="3" xfId="6" applyNumberFormat="1" applyFont="1" applyBorder="1" applyAlignment="1" applyProtection="1">
      <alignment horizontal="center" vertical="center" wrapText="1"/>
    </xf>
    <xf numFmtId="164" fontId="44" fillId="7" borderId="3" xfId="6"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0" fontId="11" fillId="7"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1" xfId="1" applyFont="1" applyAlignment="1" applyProtection="1">
      <alignment vertical="center"/>
    </xf>
    <xf numFmtId="0" fontId="29" fillId="15" borderId="2" xfId="23" applyFont="1" applyFill="1" applyBorder="1" applyAlignment="1">
      <alignment horizontal="center" vertical="center"/>
    </xf>
    <xf numFmtId="164" fontId="20" fillId="0" borderId="3" xfId="6" applyNumberFormat="1" applyFont="1" applyBorder="1" applyAlignment="1" applyProtection="1">
      <alignment horizontal="center" vertical="center" wrapText="1"/>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9" fontId="55" fillId="7" borderId="3" xfId="6" applyFont="1" applyFill="1" applyBorder="1" applyAlignment="1" applyProtection="1">
      <alignment horizontal="center" vertical="center"/>
    </xf>
    <xf numFmtId="3" fontId="55" fillId="7" borderId="3" xfId="6" applyNumberFormat="1" applyFont="1" applyFill="1" applyBorder="1" applyAlignment="1" applyProtection="1">
      <alignment horizontal="center" vertical="center"/>
    </xf>
    <xf numFmtId="164" fontId="55" fillId="7" borderId="3" xfId="6" applyNumberFormat="1" applyFont="1" applyFill="1" applyBorder="1" applyAlignment="1" applyProtection="1">
      <alignment horizontal="center" vertical="center"/>
    </xf>
    <xf numFmtId="3" fontId="57" fillId="7" borderId="3" xfId="0" applyNumberFormat="1" applyFont="1" applyFill="1" applyBorder="1" applyAlignment="1" applyProtection="1">
      <alignment horizontal="center" vertical="center"/>
    </xf>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8"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3" fontId="55" fillId="7" borderId="3" xfId="8" applyNumberFormat="1" applyFont="1" applyFill="1" applyBorder="1" applyAlignment="1" applyProtection="1">
      <alignment horizontal="center" vertical="center"/>
    </xf>
    <xf numFmtId="10" fontId="59" fillId="0" borderId="3" xfId="8" applyNumberFormat="1" applyFont="1" applyFill="1" applyBorder="1" applyAlignment="1" applyProtection="1">
      <alignment horizontal="center" vertical="center"/>
    </xf>
    <xf numFmtId="9" fontId="59" fillId="0" borderId="3" xfId="6" applyFont="1" applyFill="1" applyBorder="1" applyAlignment="1" applyProtection="1">
      <alignment horizontal="center" vertical="center"/>
    </xf>
    <xf numFmtId="164" fontId="59" fillId="0"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164" fontId="59"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60" fillId="0" borderId="3" xfId="6" applyFont="1" applyBorder="1" applyAlignment="1" applyProtection="1">
      <alignment horizontal="center" vertical="center" wrapText="1"/>
      <protection locked="0"/>
    </xf>
    <xf numFmtId="9" fontId="21" fillId="0" borderId="3" xfId="8" applyNumberFormat="1" applyFont="1" applyFill="1" applyBorder="1" applyAlignment="1" applyProtection="1">
      <alignment horizontal="center" vertical="center"/>
    </xf>
    <xf numFmtId="9" fontId="59" fillId="0" borderId="3" xfId="8" applyNumberFormat="1" applyFont="1" applyFill="1" applyBorder="1" applyAlignment="1" applyProtection="1">
      <alignment horizontal="center" vertical="center"/>
    </xf>
    <xf numFmtId="9" fontId="59" fillId="0" borderId="3" xfId="8" applyFont="1" applyFill="1" applyBorder="1" applyAlignment="1" applyProtection="1">
      <alignment horizontal="center" vertical="center"/>
    </xf>
    <xf numFmtId="164" fontId="61" fillId="0" borderId="3" xfId="6" applyNumberFormat="1" applyFont="1" applyBorder="1" applyAlignment="1" applyProtection="1">
      <alignment horizontal="center" vertical="center" wrapText="1"/>
    </xf>
    <xf numFmtId="9" fontId="60" fillId="0" borderId="3" xfId="6" applyFont="1" applyBorder="1" applyAlignment="1" applyProtection="1">
      <alignment horizontal="center" vertical="center" wrapText="1"/>
    </xf>
    <xf numFmtId="9" fontId="60" fillId="0" borderId="3" xfId="6" applyFont="1" applyFill="1" applyBorder="1" applyAlignment="1" applyProtection="1">
      <alignment horizontal="center" vertical="center" wrapText="1"/>
    </xf>
    <xf numFmtId="4" fontId="55" fillId="7" borderId="3" xfId="8" applyNumberFormat="1" applyFont="1" applyFill="1" applyBorder="1" applyAlignment="1" applyProtection="1">
      <alignment horizontal="center" vertical="center"/>
    </xf>
    <xf numFmtId="164" fontId="60" fillId="0" borderId="2" xfId="6" applyNumberFormat="1" applyFont="1" applyBorder="1" applyAlignment="1" applyProtection="1">
      <alignment horizontal="center" vertical="center" wrapText="1"/>
    </xf>
    <xf numFmtId="10" fontId="55" fillId="7" borderId="3" xfId="6"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8"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8" fillId="5" borderId="3" xfId="8" applyNumberFormat="1" applyFont="1" applyFill="1" applyBorder="1" applyAlignment="1" applyProtection="1">
      <alignment horizontal="center" vertical="center"/>
    </xf>
    <xf numFmtId="164" fontId="60" fillId="0" borderId="3" xfId="6" applyNumberFormat="1" applyFont="1" applyFill="1" applyBorder="1" applyAlignment="1" applyProtection="1">
      <alignment horizontal="center" vertical="center" wrapText="1"/>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62" fillId="0" borderId="2" xfId="20"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3" fillId="0" borderId="0" xfId="0" applyFont="1" applyAlignment="1" applyProtection="1">
      <alignment horizontal="center" vertical="center"/>
    </xf>
    <xf numFmtId="164" fontId="63"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3" fontId="64" fillId="18" borderId="2" xfId="20" applyNumberFormat="1" applyFont="1" applyFill="1" applyBorder="1" applyAlignment="1" applyProtection="1">
      <alignment horizontal="center" vertical="center" wrapText="1"/>
    </xf>
    <xf numFmtId="166" fontId="62" fillId="0" borderId="2" xfId="20" applyNumberFormat="1" applyFont="1" applyBorder="1" applyAlignment="1" applyProtection="1">
      <alignment horizontal="center" vertical="center" wrapText="1"/>
    </xf>
    <xf numFmtId="164" fontId="62" fillId="0" borderId="2" xfId="6" applyNumberFormat="1" applyFont="1" applyBorder="1" applyAlignment="1" applyProtection="1">
      <alignment horizontal="center" vertical="center" wrapText="1"/>
    </xf>
    <xf numFmtId="4" fontId="62" fillId="0" borderId="2" xfId="20" applyNumberFormat="1" applyFont="1" applyBorder="1" applyAlignment="1" applyProtection="1">
      <alignment horizontal="center" vertical="center" wrapText="1"/>
    </xf>
    <xf numFmtId="9" fontId="62" fillId="0" borderId="2" xfId="6"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6"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64" fillId="18" borderId="2" xfId="6" applyNumberFormat="1" applyFont="1" applyFill="1" applyBorder="1" applyAlignment="1" applyProtection="1">
      <alignment horizontal="center" vertical="center" wrapText="1"/>
    </xf>
    <xf numFmtId="164" fontId="20" fillId="18" borderId="2" xfId="34" applyNumberFormat="1" applyFont="1" applyFill="1" applyBorder="1" applyAlignment="1" applyProtection="1">
      <alignment horizontal="center" vertical="center" wrapText="1"/>
    </xf>
    <xf numFmtId="9" fontId="62" fillId="0" borderId="2" xfId="20" applyNumberFormat="1" applyFont="1" applyBorder="1" applyAlignment="1" applyProtection="1">
      <alignment horizontal="center" vertical="center" wrapText="1"/>
    </xf>
    <xf numFmtId="1" fontId="62" fillId="0" borderId="2" xfId="0" applyNumberFormat="1" applyFont="1" applyBorder="1" applyAlignment="1" applyProtection="1">
      <alignment horizontal="center" vertical="center" wrapText="1"/>
    </xf>
    <xf numFmtId="1" fontId="60" fillId="0" borderId="3" xfId="5" applyNumberFormat="1" applyFont="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8" fontId="39" fillId="0" borderId="3" xfId="6" applyNumberFormat="1" applyFont="1" applyBorder="1" applyAlignment="1" applyProtection="1">
      <alignment horizontal="center" vertical="center" wrapText="1"/>
    </xf>
    <xf numFmtId="164" fontId="65" fillId="18" borderId="2" xfId="34" applyNumberFormat="1" applyFont="1" applyFill="1" applyBorder="1" applyAlignment="1" applyProtection="1">
      <alignment horizontal="center" vertical="center" wrapText="1"/>
    </xf>
    <xf numFmtId="1" fontId="66" fillId="18" borderId="3" xfId="5" applyNumberFormat="1" applyFont="1" applyFill="1" applyBorder="1" applyAlignment="1" applyProtection="1">
      <alignment horizontal="center" vertical="center" wrapText="1"/>
    </xf>
    <xf numFmtId="9" fontId="65" fillId="18" borderId="2" xfId="34" applyNumberFormat="1" applyFont="1" applyFill="1" applyBorder="1" applyAlignment="1" applyProtection="1">
      <alignment horizontal="center" vertical="center" wrapText="1"/>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65" fillId="18" borderId="2" xfId="0" applyNumberFormat="1" applyFont="1" applyFill="1" applyBorder="1" applyAlignment="1" applyProtection="1">
      <alignment horizontal="center" vertical="center" wrapText="1"/>
    </xf>
    <xf numFmtId="4" fontId="65" fillId="18" borderId="2" xfId="0" applyNumberFormat="1" applyFont="1" applyFill="1" applyBorder="1" applyAlignment="1" applyProtection="1">
      <alignment horizontal="center" vertical="center" wrapText="1"/>
    </xf>
    <xf numFmtId="166" fontId="6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164" fontId="32" fillId="0" borderId="2" xfId="6" applyNumberFormat="1" applyFont="1" applyBorder="1" applyAlignment="1" applyProtection="1">
      <alignment horizontal="center" vertical="center"/>
    </xf>
    <xf numFmtId="164" fontId="63" fillId="0" borderId="2" xfId="0" applyNumberFormat="1" applyFont="1" applyBorder="1" applyAlignment="1" applyProtection="1">
      <alignment horizontal="center" vertical="center"/>
    </xf>
    <xf numFmtId="0" fontId="9" fillId="0" borderId="2" xfId="0" applyFont="1" applyBorder="1" applyAlignment="1" applyProtection="1">
      <alignment vertical="center"/>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3" fontId="62" fillId="0" borderId="2" xfId="34" applyNumberFormat="1" applyFont="1" applyBorder="1" applyAlignment="1" applyProtection="1">
      <alignment horizontal="center" vertical="center" wrapText="1"/>
    </xf>
    <xf numFmtId="3" fontId="64" fillId="18" borderId="2" xfId="34" applyNumberFormat="1"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9" fontId="62"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1" fontId="60"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7" fillId="0" borderId="53" xfId="0" applyFont="1" applyBorder="1" applyAlignment="1" applyProtection="1">
      <alignment horizontal="left" vertical="center"/>
    </xf>
    <xf numFmtId="0" fontId="67" fillId="0" borderId="52" xfId="0" applyFont="1" applyBorder="1" applyAlignment="1" applyProtection="1">
      <alignment horizontal="center" vertical="center"/>
    </xf>
    <xf numFmtId="0" fontId="67" fillId="0" borderId="51" xfId="0" applyFont="1" applyBorder="1" applyAlignment="1" applyProtection="1">
      <alignment horizontal="right" vertical="center"/>
    </xf>
    <xf numFmtId="0" fontId="67"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71"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71" fillId="0" borderId="2" xfId="0" applyFont="1" applyBorder="1" applyAlignment="1">
      <alignment horizontal="justify" vertical="center" wrapText="1"/>
    </xf>
    <xf numFmtId="0" fontId="0" fillId="3" borderId="2" xfId="0" applyFill="1" applyBorder="1" applyAlignment="1">
      <alignment horizontal="justify" vertical="center"/>
    </xf>
    <xf numFmtId="0" fontId="71"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72" fillId="0" borderId="1" xfId="52" applyFont="1" applyProtection="1">
      <protection hidden="1"/>
    </xf>
    <xf numFmtId="49" fontId="72" fillId="0" borderId="1" xfId="52" applyNumberFormat="1" applyFont="1" applyProtection="1">
      <protection hidden="1"/>
    </xf>
    <xf numFmtId="0" fontId="72" fillId="0" borderId="1" xfId="52" applyFont="1" applyAlignment="1" applyProtection="1">
      <alignment horizontal="center" vertical="center"/>
      <protection hidden="1"/>
    </xf>
    <xf numFmtId="0" fontId="72" fillId="0" borderId="1" xfId="52" applyFont="1" applyFill="1" applyAlignment="1" applyProtection="1">
      <alignment horizontal="left" vertical="center"/>
      <protection hidden="1"/>
    </xf>
    <xf numFmtId="0" fontId="4" fillId="0" borderId="1" xfId="52" applyProtection="1">
      <protection hidden="1"/>
    </xf>
    <xf numFmtId="0" fontId="73" fillId="0" borderId="1" xfId="9" applyFont="1" applyProtection="1">
      <protection hidden="1"/>
    </xf>
    <xf numFmtId="0" fontId="50" fillId="0" borderId="1" xfId="52" applyFont="1" applyProtection="1">
      <protection hidden="1"/>
    </xf>
    <xf numFmtId="0" fontId="72" fillId="0" borderId="1" xfId="52" applyFont="1" applyFill="1" applyBorder="1" applyProtection="1">
      <protection hidden="1"/>
    </xf>
    <xf numFmtId="0" fontId="72"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74" fillId="0" borderId="0" xfId="0" applyFont="1" applyProtection="1">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4" fillId="0" borderId="2" xfId="0" applyNumberFormat="1" applyFont="1" applyBorder="1" applyAlignment="1" applyProtection="1">
      <alignment horizontal="center" vertical="center" wrapText="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74"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wrapText="1"/>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5"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164" fontId="25" fillId="0" borderId="62"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5"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74"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40" fillId="0" borderId="2" xfId="0" applyNumberFormat="1" applyFont="1" applyFill="1" applyBorder="1" applyAlignment="1" applyProtection="1">
      <alignment horizontal="justify" vertical="center" wrapText="1"/>
      <protection hidden="1"/>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0" fontId="20" fillId="0" borderId="0" xfId="0" applyFont="1" applyFill="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0" fillId="0" borderId="3" xfId="0" applyFont="1" applyBorder="1" applyAlignment="1">
      <alignment horizontal="justify" vertical="center" wrapText="1"/>
    </xf>
    <xf numFmtId="9" fontId="22" fillId="4" borderId="49" xfId="3" applyFont="1" applyFill="1" applyBorder="1" applyAlignment="1" applyProtection="1">
      <alignment horizontal="center" vertical="center"/>
    </xf>
    <xf numFmtId="0" fontId="24" fillId="32" borderId="0" xfId="0" applyFont="1" applyFill="1"/>
    <xf numFmtId="0" fontId="72"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0" fillId="0" borderId="65" xfId="0" applyFont="1" applyBorder="1" applyAlignment="1">
      <alignment horizontal="justify" vertical="center" wrapText="1"/>
    </xf>
    <xf numFmtId="0" fontId="20" fillId="0" borderId="6" xfId="34" applyFont="1" applyBorder="1" applyAlignment="1">
      <alignment horizontal="justify" vertical="center" wrapText="1"/>
    </xf>
    <xf numFmtId="9" fontId="39" fillId="11" borderId="3" xfId="8" applyFont="1" applyFill="1" applyBorder="1" applyAlignment="1" applyProtection="1">
      <alignment horizontal="center" vertical="center"/>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9" fontId="39" fillId="0" borderId="3" xfId="8" applyFont="1" applyBorder="1" applyAlignment="1" applyProtection="1">
      <alignment horizontal="center" vertical="center" wrapText="1"/>
    </xf>
    <xf numFmtId="9" fontId="39" fillId="0" borderId="3" xfId="8" applyFont="1" applyFill="1" applyBorder="1" applyAlignment="1" applyProtection="1">
      <alignment horizontal="center" vertical="center" wrapText="1"/>
    </xf>
    <xf numFmtId="164" fontId="56" fillId="7" borderId="3" xfId="6" applyNumberFormat="1" applyFont="1" applyFill="1" applyBorder="1" applyAlignment="1" applyProtection="1">
      <alignment horizontal="center" vertical="center"/>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164" fontId="76" fillId="5" borderId="3" xfId="8" applyNumberFormat="1" applyFont="1" applyFill="1" applyBorder="1" applyAlignment="1" applyProtection="1">
      <alignment horizontal="center" vertical="center"/>
    </xf>
    <xf numFmtId="164" fontId="59" fillId="0" borderId="2" xfId="8" applyNumberFormat="1" applyFont="1" applyFill="1" applyBorder="1" applyAlignment="1" applyProtection="1">
      <alignment horizontal="center" vertical="center"/>
    </xf>
    <xf numFmtId="164" fontId="42" fillId="0" borderId="3" xfId="6" applyNumberFormat="1" applyFont="1" applyFill="1" applyBorder="1" applyAlignment="1" applyProtection="1">
      <alignment horizontal="center" vertical="center" wrapText="1"/>
    </xf>
    <xf numFmtId="164" fontId="42" fillId="0" borderId="3" xfId="6" applyNumberFormat="1" applyFont="1" applyBorder="1" applyAlignment="1" applyProtection="1">
      <alignment horizontal="center" vertical="center" wrapText="1"/>
    </xf>
    <xf numFmtId="0" fontId="42" fillId="0" borderId="3" xfId="36" applyNumberFormat="1" applyFont="1" applyBorder="1" applyAlignment="1" applyProtection="1">
      <alignment horizontal="center" vertical="center" wrapText="1"/>
    </xf>
    <xf numFmtId="9" fontId="42" fillId="0" borderId="3" xfId="6" applyFont="1" applyBorder="1" applyAlignment="1" applyProtection="1">
      <alignment horizontal="center" vertical="center" wrapText="1"/>
    </xf>
    <xf numFmtId="3" fontId="56" fillId="7" borderId="3" xfId="8" applyNumberFormat="1" applyFont="1" applyFill="1" applyBorder="1" applyAlignment="1" applyProtection="1">
      <alignment horizontal="center" vertical="center"/>
    </xf>
    <xf numFmtId="164" fontId="43" fillId="0" borderId="3" xfId="6" applyNumberFormat="1" applyFont="1" applyBorder="1" applyAlignment="1" applyProtection="1">
      <alignment horizontal="center" vertical="center" wrapText="1"/>
    </xf>
    <xf numFmtId="166" fontId="56" fillId="7" borderId="3" xfId="8" applyNumberFormat="1" applyFont="1" applyFill="1" applyBorder="1" applyAlignment="1" applyProtection="1">
      <alignment horizontal="center" vertical="center"/>
    </xf>
    <xf numFmtId="0" fontId="23" fillId="0" borderId="0" xfId="0" applyFont="1" applyAlignment="1">
      <alignment vertical="center"/>
    </xf>
    <xf numFmtId="164" fontId="56" fillId="0" borderId="3" xfId="8" applyNumberFormat="1" applyFont="1" applyFill="1" applyBorder="1" applyAlignment="1" applyProtection="1">
      <alignment horizontal="center" vertical="center"/>
    </xf>
    <xf numFmtId="10" fontId="56" fillId="7" borderId="3" xfId="6" applyNumberFormat="1" applyFont="1" applyFill="1" applyBorder="1" applyAlignment="1" applyProtection="1">
      <alignment horizontal="center"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64" fontId="58" fillId="5" borderId="3" xfId="6" applyNumberFormat="1" applyFont="1" applyFill="1" applyBorder="1" applyAlignment="1" applyProtection="1">
      <alignment horizontal="center" vertical="center"/>
    </xf>
    <xf numFmtId="10" fontId="20" fillId="18" borderId="6" xfId="6" applyNumberFormat="1" applyFont="1" applyFill="1" applyBorder="1" applyAlignment="1" applyProtection="1">
      <alignment horizontal="center" vertical="center" wrapText="1"/>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8"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10" fontId="24" fillId="0" borderId="2" xfId="8" applyNumberFormat="1" applyFont="1" applyFill="1" applyBorder="1" applyAlignment="1" applyProtection="1">
      <alignment horizontal="center" vertical="center" wrapText="1"/>
      <protection hidden="1"/>
    </xf>
    <xf numFmtId="0" fontId="62" fillId="0" borderId="0" xfId="0" applyFont="1"/>
    <xf numFmtId="0" fontId="62" fillId="0" borderId="0" xfId="0" applyFont="1" applyAlignment="1">
      <alignment horizontal="center" vertical="center"/>
    </xf>
    <xf numFmtId="9" fontId="62" fillId="0" borderId="1" xfId="0" applyNumberFormat="1" applyFont="1" applyBorder="1"/>
    <xf numFmtId="0" fontId="62" fillId="0" borderId="1" xfId="0" applyFont="1" applyBorder="1"/>
    <xf numFmtId="0" fontId="62" fillId="0" borderId="1" xfId="0" applyFont="1" applyBorder="1" applyAlignment="1">
      <alignment horizontal="center" vertical="center"/>
    </xf>
    <xf numFmtId="1" fontId="62" fillId="0" borderId="1" xfId="0" applyNumberFormat="1" applyFont="1" applyBorder="1" applyAlignment="1">
      <alignment horizontal="center" vertical="center"/>
    </xf>
    <xf numFmtId="0" fontId="77" fillId="35" borderId="68" xfId="0" applyFont="1" applyFill="1" applyBorder="1" applyAlignment="1">
      <alignment horizontal="center" vertical="center" wrapText="1" readingOrder="1"/>
    </xf>
    <xf numFmtId="1" fontId="78" fillId="0" borderId="69" xfId="0" applyNumberFormat="1" applyFont="1" applyBorder="1" applyAlignment="1">
      <alignment horizontal="center" vertical="center" wrapText="1" readingOrder="1"/>
    </xf>
    <xf numFmtId="1" fontId="78" fillId="0" borderId="68" xfId="0" applyNumberFormat="1" applyFont="1" applyBorder="1" applyAlignment="1">
      <alignment horizontal="center" vertical="center" wrapText="1" readingOrder="1"/>
    </xf>
    <xf numFmtId="0" fontId="78" fillId="0" borderId="68" xfId="0" applyFont="1" applyBorder="1" applyAlignment="1">
      <alignment horizontal="justify" vertical="center" wrapText="1" readingOrder="1"/>
    </xf>
    <xf numFmtId="1" fontId="79" fillId="0" borderId="68" xfId="0" applyNumberFormat="1" applyFont="1" applyBorder="1" applyAlignment="1">
      <alignment horizontal="center" vertical="center" wrapText="1" readingOrder="1"/>
    </xf>
    <xf numFmtId="9" fontId="80" fillId="35" borderId="68" xfId="0" applyNumberFormat="1" applyFont="1" applyFill="1" applyBorder="1" applyAlignment="1">
      <alignment horizontal="center" vertical="center" wrapText="1" readingOrder="1"/>
    </xf>
    <xf numFmtId="0" fontId="77" fillId="35" borderId="68" xfId="0" applyFont="1" applyFill="1" applyBorder="1" applyAlignment="1">
      <alignment horizontal="right" vertical="center" wrapText="1" readingOrder="1"/>
    </xf>
    <xf numFmtId="0" fontId="77" fillId="0" borderId="1" xfId="0" applyFont="1" applyFill="1" applyBorder="1" applyAlignment="1">
      <alignment horizontal="right" vertical="center" wrapText="1" readingOrder="1"/>
    </xf>
    <xf numFmtId="0" fontId="80" fillId="0" borderId="1" xfId="0" applyFont="1" applyFill="1" applyBorder="1" applyAlignment="1">
      <alignment horizontal="center" vertical="center" wrapText="1" readingOrder="1"/>
    </xf>
    <xf numFmtId="9" fontId="80"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80"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82"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8" fillId="0" borderId="69" xfId="0" applyFont="1" applyBorder="1" applyAlignment="1">
      <alignment horizontal="justify" vertical="center" wrapText="1" readingOrder="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81" fillId="34" borderId="70" xfId="0" applyFont="1" applyFill="1" applyBorder="1" applyAlignment="1">
      <alignment horizontal="center" vertical="center" wrapText="1" readingOrder="1"/>
    </xf>
    <xf numFmtId="9" fontId="78" fillId="0" borderId="71" xfId="0" applyNumberFormat="1" applyFont="1" applyBorder="1" applyAlignment="1">
      <alignment horizontal="center" vertical="center" wrapText="1" readingOrder="1"/>
    </xf>
    <xf numFmtId="9" fontId="78" fillId="0" borderId="72" xfId="0" applyNumberFormat="1" applyFont="1" applyBorder="1" applyAlignment="1">
      <alignment horizontal="center" vertical="center" wrapText="1" readingOrder="1"/>
    </xf>
    <xf numFmtId="9" fontId="79" fillId="0" borderId="72" xfId="0" applyNumberFormat="1" applyFont="1" applyBorder="1" applyAlignment="1">
      <alignment horizontal="center" vertical="center" wrapText="1" readingOrder="1"/>
    </xf>
    <xf numFmtId="0" fontId="81" fillId="34" borderId="73" xfId="0" applyFont="1" applyFill="1" applyBorder="1" applyAlignment="1">
      <alignment horizontal="center" vertical="center" wrapText="1" readingOrder="1"/>
    </xf>
    <xf numFmtId="9" fontId="80" fillId="35" borderId="69" xfId="0" applyNumberFormat="1" applyFont="1" applyFill="1" applyBorder="1" applyAlignment="1">
      <alignment horizontal="center" vertical="center" wrapText="1" readingOrder="1"/>
    </xf>
    <xf numFmtId="0" fontId="81" fillId="34" borderId="74" xfId="0" applyFont="1" applyFill="1" applyBorder="1" applyAlignment="1">
      <alignment horizontal="center" vertical="center" wrapText="1" readingOrder="1"/>
    </xf>
    <xf numFmtId="9" fontId="78" fillId="0" borderId="2" xfId="0" applyNumberFormat="1" applyFont="1" applyBorder="1" applyAlignment="1">
      <alignment horizontal="center" vertical="center" wrapText="1" readingOrder="1"/>
    </xf>
    <xf numFmtId="9" fontId="79" fillId="0" borderId="2" xfId="0" applyNumberFormat="1" applyFont="1" applyBorder="1" applyAlignment="1">
      <alignment horizontal="center" vertical="center" wrapText="1" readingOrder="1"/>
    </xf>
    <xf numFmtId="0" fontId="11" fillId="8" borderId="2" xfId="0" applyFont="1" applyFill="1" applyBorder="1" applyAlignment="1">
      <alignment horizontal="center" vertical="center" wrapText="1"/>
    </xf>
    <xf numFmtId="0" fontId="9" fillId="0" borderId="1" xfId="1" applyFont="1" applyAlignment="1">
      <alignment horizontal="left" vertical="center"/>
    </xf>
    <xf numFmtId="0" fontId="12" fillId="0" borderId="2" xfId="1" applyFont="1" applyBorder="1" applyAlignment="1">
      <alignment horizontal="center" vertical="center" wrapText="1"/>
    </xf>
    <xf numFmtId="0" fontId="12" fillId="9" borderId="2" xfId="1" applyFont="1" applyFill="1" applyBorder="1" applyAlignment="1">
      <alignment horizontal="center" vertical="center" wrapText="1"/>
    </xf>
    <xf numFmtId="164" fontId="80" fillId="35" borderId="69" xfId="0" applyNumberFormat="1" applyFont="1" applyFill="1" applyBorder="1" applyAlignment="1">
      <alignment horizontal="center" vertical="center" wrapText="1" readingOrder="1"/>
    </xf>
    <xf numFmtId="164" fontId="80" fillId="35" borderId="68" xfId="0" applyNumberFormat="1" applyFont="1" applyFill="1" applyBorder="1" applyAlignment="1">
      <alignment horizontal="center" vertical="center" wrapText="1" readingOrder="1"/>
    </xf>
    <xf numFmtId="164" fontId="24" fillId="0" borderId="0" xfId="0" applyNumberFormat="1" applyFont="1"/>
    <xf numFmtId="10" fontId="83" fillId="0" borderId="31" xfId="6" applyNumberFormat="1" applyFont="1" applyFill="1" applyBorder="1" applyAlignment="1" applyProtection="1">
      <alignment horizontal="center" vertical="center" wrapText="1"/>
    </xf>
    <xf numFmtId="164" fontId="83" fillId="0" borderId="31" xfId="6" applyNumberFormat="1" applyFont="1" applyFill="1" applyBorder="1" applyAlignment="1" applyProtection="1">
      <alignment horizontal="center" vertical="center" wrapText="1"/>
    </xf>
    <xf numFmtId="10" fontId="83" fillId="0" borderId="31" xfId="6" applyNumberFormat="1" applyFont="1" applyBorder="1" applyAlignment="1" applyProtection="1">
      <alignment horizontal="center" vertical="center" wrapText="1"/>
    </xf>
    <xf numFmtId="164" fontId="83" fillId="18" borderId="2" xfId="6" applyNumberFormat="1" applyFont="1" applyFill="1" applyBorder="1" applyAlignment="1" applyProtection="1">
      <alignment horizontal="center" vertical="center" wrapText="1"/>
    </xf>
    <xf numFmtId="164" fontId="83" fillId="0" borderId="31" xfId="6" applyNumberFormat="1" applyFont="1" applyBorder="1" applyAlignment="1" applyProtection="1">
      <alignment horizontal="center" vertical="center" wrapText="1"/>
    </xf>
    <xf numFmtId="164" fontId="83" fillId="3" borderId="31" xfId="6" applyNumberFormat="1" applyFont="1" applyFill="1" applyBorder="1" applyAlignment="1" applyProtection="1">
      <alignment horizontal="center" vertical="center" wrapText="1"/>
    </xf>
    <xf numFmtId="164" fontId="83" fillId="18" borderId="31" xfId="6" applyNumberFormat="1" applyFont="1" applyFill="1" applyBorder="1" applyAlignment="1" applyProtection="1">
      <alignment horizontal="center" vertical="center" wrapText="1"/>
    </xf>
    <xf numFmtId="164" fontId="83" fillId="18" borderId="3" xfId="6" applyNumberFormat="1" applyFont="1" applyFill="1" applyBorder="1" applyAlignment="1" applyProtection="1">
      <alignment horizontal="center" vertical="center" wrapText="1"/>
    </xf>
    <xf numFmtId="10" fontId="83" fillId="18" borderId="3" xfId="6" applyNumberFormat="1" applyFont="1" applyFill="1" applyBorder="1" applyAlignment="1" applyProtection="1">
      <alignment horizontal="center" vertical="center" wrapText="1"/>
    </xf>
    <xf numFmtId="10" fontId="83" fillId="3" borderId="3" xfId="6" applyNumberFormat="1" applyFont="1" applyFill="1" applyBorder="1" applyAlignment="1" applyProtection="1">
      <alignment horizontal="center" vertical="center" wrapText="1"/>
    </xf>
    <xf numFmtId="164" fontId="83"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0" fontId="9" fillId="0" borderId="0" xfId="0" applyFont="1" applyAlignment="1">
      <alignment horizontal="center" vertical="center"/>
    </xf>
    <xf numFmtId="0" fontId="67" fillId="0" borderId="51" xfId="0" applyFont="1" applyBorder="1" applyAlignment="1">
      <alignment horizontal="right" vertical="center"/>
    </xf>
    <xf numFmtId="0" fontId="67" fillId="0" borderId="52" xfId="0" applyFont="1" applyBorder="1" applyAlignment="1">
      <alignment horizontal="center" vertical="center"/>
    </xf>
    <xf numFmtId="0" fontId="67" fillId="0" borderId="53" xfId="0" applyFont="1" applyBorder="1" applyAlignment="1">
      <alignment horizontal="left" vertical="center"/>
    </xf>
    <xf numFmtId="0" fontId="67"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34" applyNumberFormat="1" applyFont="1" applyBorder="1" applyAlignment="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4" fontId="20" fillId="18" borderId="65" xfId="34" applyNumberFormat="1" applyFont="1" applyFill="1" applyBorder="1" applyAlignment="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0" fontId="39" fillId="0" borderId="2" xfId="0" applyFont="1" applyBorder="1" applyAlignment="1">
      <alignment horizontal="justify" vertical="top" wrapText="1" readingOrder="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64" fontId="20" fillId="3" borderId="65" xfId="8" applyNumberFormat="1" applyFont="1" applyFill="1" applyBorder="1" applyAlignment="1" applyProtection="1">
      <alignment horizontal="center" vertical="center" wrapText="1"/>
    </xf>
    <xf numFmtId="164" fontId="20" fillId="3" borderId="65" xfId="34" applyNumberFormat="1" applyFont="1" applyFill="1" applyBorder="1" applyAlignment="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0" fontId="42" fillId="0" borderId="5" xfId="0" applyFont="1" applyBorder="1" applyAlignment="1">
      <alignment horizontal="justify" vertical="top" wrapText="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7" fillId="0" borderId="1" xfId="0" applyFont="1" applyBorder="1" applyAlignment="1">
      <alignment horizontal="center" vertical="center"/>
    </xf>
    <xf numFmtId="0" fontId="67" fillId="0" borderId="1" xfId="0" applyFont="1" applyBorder="1" applyAlignment="1">
      <alignment horizontal="left" vertical="center"/>
    </xf>
    <xf numFmtId="0" fontId="24" fillId="39"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3" fontId="24" fillId="0" borderId="2" xfId="0" applyNumberFormat="1" applyFont="1" applyBorder="1" applyAlignment="1">
      <alignment horizontal="center" vertical="center" wrapText="1"/>
    </xf>
    <xf numFmtId="9" fontId="24" fillId="0" borderId="2" xfId="6" applyFont="1" applyBorder="1" applyAlignment="1" applyProtection="1">
      <alignment horizontal="center" vertical="center" wrapText="1"/>
    </xf>
    <xf numFmtId="3" fontId="24" fillId="11" borderId="2" xfId="6" applyNumberFormat="1" applyFont="1" applyFill="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3" fontId="24" fillId="5" borderId="2" xfId="0" applyNumberFormat="1" applyFont="1" applyFill="1" applyBorder="1" applyAlignment="1">
      <alignment horizontal="center"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4" fillId="11"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170" fontId="24" fillId="5" borderId="2" xfId="0" applyNumberFormat="1" applyFont="1" applyFill="1" applyBorder="1" applyAlignment="1">
      <alignment horizontal="center" vertical="center" wrapText="1"/>
    </xf>
    <xf numFmtId="0" fontId="24" fillId="0" borderId="5" xfId="0" applyFont="1" applyBorder="1" applyAlignment="1">
      <alignment horizontal="justify" vertical="center" wrapText="1"/>
    </xf>
    <xf numFmtId="3" fontId="24" fillId="11" borderId="2" xfId="0" applyNumberFormat="1" applyFont="1" applyFill="1" applyBorder="1" applyAlignment="1">
      <alignment horizontal="center"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85" fillId="9" borderId="2" xfId="0" applyFont="1" applyFill="1" applyBorder="1" applyAlignment="1">
      <alignment horizontal="center"/>
    </xf>
    <xf numFmtId="0" fontId="85" fillId="9" borderId="2" xfId="0" applyFont="1" applyFill="1" applyBorder="1" applyAlignment="1">
      <alignment horizontal="center" vertical="center"/>
    </xf>
    <xf numFmtId="9" fontId="52" fillId="9" borderId="2" xfId="6" applyFont="1" applyFill="1" applyBorder="1" applyAlignment="1" applyProtection="1">
      <alignment horizontal="center"/>
    </xf>
    <xf numFmtId="0" fontId="85" fillId="42" borderId="2" xfId="0" applyFont="1" applyFill="1" applyBorder="1" applyAlignment="1">
      <alignment horizontal="center"/>
    </xf>
    <xf numFmtId="170" fontId="24" fillId="39" borderId="0" xfId="0" applyNumberFormat="1" applyFont="1" applyFill="1"/>
    <xf numFmtId="0" fontId="25" fillId="39" borderId="7" xfId="0" applyFont="1" applyFill="1" applyBorder="1"/>
    <xf numFmtId="0" fontId="25" fillId="39" borderId="6" xfId="0" applyFont="1" applyFill="1" applyBorder="1" applyAlignment="1">
      <alignment horizontal="center"/>
    </xf>
    <xf numFmtId="0" fontId="25" fillId="39" borderId="2" xfId="0" applyFont="1" applyFill="1" applyBorder="1" applyAlignment="1">
      <alignment wrapText="1"/>
    </xf>
    <xf numFmtId="169" fontId="24" fillId="39" borderId="46" xfId="0" applyNumberFormat="1" applyFont="1" applyFill="1" applyBorder="1"/>
    <xf numFmtId="169" fontId="24" fillId="39" borderId="10" xfId="0" applyNumberFormat="1" applyFont="1" applyFill="1" applyBorder="1"/>
    <xf numFmtId="1" fontId="24" fillId="5" borderId="2" xfId="0" applyNumberFormat="1" applyFont="1" applyFill="1" applyBorder="1" applyAlignment="1">
      <alignment horizontal="center" vertical="center" wrapText="1"/>
    </xf>
    <xf numFmtId="170" fontId="24" fillId="11"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9" borderId="6" xfId="0" applyNumberFormat="1" applyFont="1" applyFill="1" applyBorder="1" applyAlignment="1">
      <alignment horizontal="center" vertical="center" wrapText="1"/>
    </xf>
    <xf numFmtId="0" fontId="24" fillId="39" borderId="1" xfId="0" applyFont="1" applyFill="1" applyBorder="1" applyAlignment="1">
      <alignment horizontal="center" vertical="center" wrapText="1"/>
    </xf>
    <xf numFmtId="0" fontId="24" fillId="39" borderId="6" xfId="0" applyFont="1" applyFill="1" applyBorder="1" applyAlignment="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164" fontId="20" fillId="0" borderId="65" xfId="34" applyNumberFormat="1" applyFont="1" applyFill="1" applyBorder="1" applyAlignment="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164" fontId="14" fillId="12" borderId="2" xfId="1" applyNumberFormat="1" applyFont="1" applyFill="1" applyBorder="1" applyAlignment="1">
      <alignment horizontal="center" vertical="center"/>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18" borderId="55" xfId="0" applyFont="1" applyFill="1" applyBorder="1" applyAlignment="1">
      <alignment horizontal="justify" vertical="top" wrapText="1" readingOrder="1"/>
    </xf>
    <xf numFmtId="0" fontId="28" fillId="0" borderId="1" xfId="0" applyFont="1" applyBorder="1" applyAlignment="1">
      <alignment horizontal="center" vertical="center" wrapText="1"/>
    </xf>
    <xf numFmtId="0" fontId="39" fillId="0" borderId="2" xfId="0" applyFont="1" applyBorder="1" applyAlignment="1">
      <alignment horizontal="justify" vertical="top" wrapText="1" readingOrder="1"/>
    </xf>
    <xf numFmtId="10" fontId="21" fillId="0" borderId="3" xfId="20" applyNumberFormat="1" applyFont="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14" fillId="12" borderId="2" xfId="1" applyFont="1" applyFill="1" applyBorder="1" applyAlignment="1" applyProtection="1">
      <alignment vertical="center"/>
    </xf>
    <xf numFmtId="164" fontId="14" fillId="12" borderId="2" xfId="1" applyNumberFormat="1" applyFont="1" applyFill="1" applyBorder="1" applyAlignment="1" applyProtection="1">
      <alignment horizontal="center" vertical="center"/>
    </xf>
    <xf numFmtId="0" fontId="39" fillId="18" borderId="55" xfId="0" applyFont="1" applyFill="1" applyBorder="1" applyAlignment="1">
      <alignment horizontal="justify" vertical="top" wrapText="1" readingOrder="1"/>
    </xf>
    <xf numFmtId="0" fontId="28" fillId="0" borderId="1" xfId="0" applyFont="1" applyBorder="1" applyAlignment="1">
      <alignment horizontal="center" vertical="center" wrapText="1"/>
    </xf>
    <xf numFmtId="3" fontId="20" fillId="18" borderId="65" xfId="34" applyNumberFormat="1" applyFont="1" applyFill="1" applyBorder="1" applyAlignment="1">
      <alignment horizontal="center" vertical="center" wrapText="1"/>
    </xf>
    <xf numFmtId="9" fontId="20" fillId="18" borderId="65" xfId="6" applyFont="1" applyFill="1" applyBorder="1" applyAlignment="1">
      <alignment horizontal="center" vertical="center" wrapText="1"/>
    </xf>
    <xf numFmtId="14" fontId="82"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0" fontId="21" fillId="0" borderId="8" xfId="20" applyNumberFormat="1" applyFont="1" applyBorder="1" applyAlignment="1" applyProtection="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10" fontId="21" fillId="0" borderId="54"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0" borderId="54" xfId="20" applyNumberFormat="1"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164" fontId="21" fillId="18" borderId="54" xfId="0" applyNumberFormat="1" applyFont="1" applyFill="1" applyBorder="1" applyAlignment="1" applyProtection="1">
      <alignment horizontal="center" vertical="center" wrapText="1"/>
    </xf>
    <xf numFmtId="0" fontId="14" fillId="12" borderId="75" xfId="1" applyFont="1" applyFill="1" applyBorder="1" applyAlignment="1">
      <alignment vertical="center"/>
    </xf>
    <xf numFmtId="164" fontId="14" fillId="12" borderId="27" xfId="1" applyNumberFormat="1" applyFont="1" applyFill="1" applyBorder="1" applyAlignment="1">
      <alignment horizontal="center" vertical="center"/>
    </xf>
    <xf numFmtId="0" fontId="87" fillId="0" borderId="2" xfId="0" applyFont="1" applyBorder="1" applyAlignment="1">
      <alignment horizontal="right" vertical="center"/>
    </xf>
    <xf numFmtId="0" fontId="87" fillId="0" borderId="2" xfId="0" applyFont="1" applyBorder="1" applyAlignment="1">
      <alignment horizontal="center" vertical="center"/>
    </xf>
    <xf numFmtId="0" fontId="14" fillId="8" borderId="75" xfId="0" applyFont="1" applyFill="1" applyBorder="1" applyAlignment="1">
      <alignment horizontal="center" vertical="center" wrapText="1"/>
    </xf>
    <xf numFmtId="0" fontId="39" fillId="0" borderId="1" xfId="0" applyFont="1" applyBorder="1" applyAlignment="1">
      <alignment vertical="center"/>
    </xf>
    <xf numFmtId="164" fontId="21" fillId="0" borderId="54" xfId="34" applyNumberFormat="1" applyFont="1" applyBorder="1" applyAlignment="1" applyProtection="1">
      <alignment horizontal="center" vertical="center" wrapText="1"/>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7"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0" borderId="55" xfId="0" applyNumberFormat="1" applyFont="1" applyBorder="1" applyAlignment="1">
      <alignment horizontal="center" vertical="center" wrapText="1" readingOrder="1"/>
    </xf>
    <xf numFmtId="3" fontId="39" fillId="18" borderId="55" xfId="0" applyNumberFormat="1" applyFont="1" applyFill="1" applyBorder="1" applyAlignment="1">
      <alignment horizontal="center" vertical="center" wrapText="1" readingOrder="1"/>
    </xf>
    <xf numFmtId="9" fontId="39" fillId="0" borderId="55" xfId="6" applyFont="1" applyBorder="1" applyAlignment="1">
      <alignment horizontal="center" vertical="center" wrapText="1" readingOrder="1"/>
    </xf>
    <xf numFmtId="9" fontId="39" fillId="18" borderId="55" xfId="6"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8" fillId="0" borderId="40" xfId="0" applyFont="1" applyBorder="1" applyAlignment="1">
      <alignment horizontal="justify" vertical="center" wrapText="1"/>
    </xf>
    <xf numFmtId="10" fontId="21" fillId="0" borderId="41" xfId="20" applyNumberFormat="1" applyFont="1" applyBorder="1" applyAlignment="1" applyProtection="1">
      <alignment horizontal="center" vertical="center" wrapText="1"/>
    </xf>
    <xf numFmtId="0" fontId="88" fillId="18" borderId="40" xfId="0" applyFont="1" applyFill="1" applyBorder="1" applyAlignment="1">
      <alignment horizontal="justify" vertical="center" wrapText="1"/>
    </xf>
    <xf numFmtId="164" fontId="21" fillId="18" borderId="41" xfId="20" applyNumberFormat="1" applyFont="1" applyFill="1" applyBorder="1" applyAlignment="1" applyProtection="1">
      <alignment horizontal="center" vertical="center" wrapText="1"/>
    </xf>
    <xf numFmtId="164" fontId="21" fillId="0" borderId="41" xfId="20" applyNumberFormat="1" applyFont="1" applyBorder="1" applyAlignment="1" applyProtection="1">
      <alignment horizontal="center" vertical="center" wrapText="1"/>
    </xf>
    <xf numFmtId="164" fontId="21" fillId="18" borderId="41" xfId="6" applyNumberFormat="1" applyFont="1" applyFill="1" applyBorder="1" applyAlignment="1" applyProtection="1">
      <alignment horizontal="center" vertical="center" wrapText="1"/>
    </xf>
    <xf numFmtId="164" fontId="21" fillId="0" borderId="41" xfId="34" applyNumberFormat="1" applyFont="1" applyBorder="1" applyAlignment="1" applyProtection="1">
      <alignment horizontal="center" vertical="center" wrapText="1"/>
    </xf>
    <xf numFmtId="0" fontId="37" fillId="12" borderId="35" xfId="1" applyFont="1" applyFill="1" applyBorder="1" applyAlignment="1">
      <alignment horizontal="righ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90" fillId="3" borderId="1" xfId="0" applyFont="1" applyFill="1" applyBorder="1" applyAlignment="1" applyProtection="1">
      <alignment vertical="center"/>
      <protection hidden="1"/>
    </xf>
    <xf numFmtId="0" fontId="91" fillId="3" borderId="1" xfId="0" applyFont="1" applyFill="1" applyBorder="1" applyAlignment="1" applyProtection="1">
      <alignment vertical="center"/>
      <protection hidden="1"/>
    </xf>
    <xf numFmtId="0" fontId="60" fillId="3" borderId="1" xfId="0" applyFont="1" applyFill="1" applyBorder="1" applyAlignment="1" applyProtection="1">
      <alignment horizontal="justify" vertical="top" wrapText="1" readingOrder="1"/>
      <protection hidden="1"/>
    </xf>
    <xf numFmtId="164" fontId="59" fillId="3" borderId="1" xfId="20" applyNumberFormat="1" applyFont="1" applyFill="1" applyBorder="1" applyAlignment="1" applyProtection="1">
      <alignment horizontal="center" vertical="center" wrapText="1"/>
      <protection hidden="1"/>
    </xf>
    <xf numFmtId="164" fontId="61" fillId="3" borderId="1" xfId="0" applyNumberFormat="1" applyFont="1" applyFill="1" applyBorder="1" applyAlignment="1" applyProtection="1">
      <alignment horizontal="center" vertical="center"/>
      <protection hidden="1"/>
    </xf>
    <xf numFmtId="10" fontId="91"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39" fillId="18" borderId="75" xfId="0" applyFont="1" applyFill="1" applyBorder="1" applyAlignment="1">
      <alignment horizontal="justify" vertical="top" wrapText="1" readingOrder="1"/>
    </xf>
    <xf numFmtId="9" fontId="39" fillId="18" borderId="55"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39" fillId="0" borderId="2" xfId="0" applyFont="1" applyBorder="1" applyAlignment="1">
      <alignment horizontal="justify" vertical="top"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28" fillId="0" borderId="51" xfId="0" applyFont="1" applyBorder="1" applyAlignment="1">
      <alignment horizontal="center" vertical="center" wrapText="1"/>
    </xf>
    <xf numFmtId="0" fontId="92"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3" fontId="24" fillId="0" borderId="2" xfId="0" applyNumberFormat="1" applyFont="1" applyBorder="1" applyAlignment="1" applyProtection="1">
      <alignment horizontal="center" vertical="center" wrapText="1"/>
    </xf>
    <xf numFmtId="9" fontId="39" fillId="0" borderId="3" xfId="6" applyFont="1" applyFill="1" applyBorder="1" applyAlignment="1" applyProtection="1">
      <alignment horizontal="center" vertical="center" wrapText="1"/>
      <protection locked="0"/>
    </xf>
    <xf numFmtId="4" fontId="56" fillId="7" borderId="3" xfId="8" applyNumberFormat="1" applyFont="1" applyFill="1" applyBorder="1" applyAlignment="1" applyProtection="1">
      <alignment horizontal="center" vertical="center"/>
    </xf>
    <xf numFmtId="9" fontId="42" fillId="0" borderId="3" xfId="6" applyFont="1" applyFill="1" applyBorder="1" applyAlignment="1" applyProtection="1">
      <alignment horizontal="center" vertical="center" wrapText="1"/>
    </xf>
    <xf numFmtId="9" fontId="42" fillId="0" borderId="3" xfId="7" applyNumberFormat="1" applyFont="1" applyBorder="1" applyAlignment="1" applyProtection="1">
      <alignment horizontal="center" vertical="center" wrapText="1"/>
    </xf>
    <xf numFmtId="10" fontId="42" fillId="0" borderId="3" xfId="6" applyNumberFormat="1" applyFont="1" applyBorder="1" applyAlignment="1" applyProtection="1">
      <alignment horizontal="center" vertical="center" wrapText="1"/>
    </xf>
    <xf numFmtId="10" fontId="42" fillId="0" borderId="3" xfId="6" applyNumberFormat="1" applyFont="1" applyFill="1" applyBorder="1" applyAlignment="1" applyProtection="1">
      <alignment horizontal="center" vertical="center" wrapText="1"/>
    </xf>
    <xf numFmtId="0" fontId="42" fillId="0" borderId="3" xfId="39" applyNumberFormat="1" applyFont="1" applyBorder="1" applyAlignment="1" applyProtection="1">
      <alignment horizontal="center" vertical="center" wrapText="1"/>
    </xf>
    <xf numFmtId="0" fontId="42" fillId="0" borderId="3" xfId="39" applyNumberFormat="1" applyFont="1" applyFill="1" applyBorder="1" applyAlignment="1" applyProtection="1">
      <alignment horizontal="center" vertical="center" wrapText="1"/>
    </xf>
    <xf numFmtId="9" fontId="56" fillId="0" borderId="3" xfId="8" applyFont="1" applyFill="1" applyBorder="1" applyAlignment="1" applyProtection="1">
      <alignment horizontal="center" vertical="center"/>
    </xf>
    <xf numFmtId="164" fontId="39" fillId="0" borderId="3" xfId="8" applyNumberFormat="1" applyFont="1" applyBorder="1" applyAlignment="1" applyProtection="1">
      <alignment horizontal="center" vertical="center" wrapText="1"/>
    </xf>
    <xf numFmtId="164" fontId="39" fillId="0" borderId="3" xfId="8" applyNumberFormat="1" applyFont="1" applyFill="1" applyBorder="1" applyAlignment="1" applyProtection="1">
      <alignment horizontal="center" vertical="center" wrapText="1"/>
    </xf>
    <xf numFmtId="164" fontId="20" fillId="0" borderId="3" xfId="7" applyNumberFormat="1" applyFont="1" applyBorder="1" applyAlignment="1" applyProtection="1">
      <alignment horizontal="center" vertical="center" wrapText="1"/>
    </xf>
    <xf numFmtId="3" fontId="24" fillId="7" borderId="3" xfId="0" applyNumberFormat="1" applyFont="1" applyFill="1" applyBorder="1" applyAlignment="1" applyProtection="1">
      <alignment horizontal="center" vertical="center"/>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0" fontId="9" fillId="46" borderId="0" xfId="0" applyFont="1" applyFill="1" applyAlignment="1" applyProtection="1">
      <alignment vertical="center"/>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0" fontId="25" fillId="25" borderId="2" xfId="0" applyFont="1" applyFill="1" applyBorder="1" applyAlignment="1">
      <alignment horizontal="center" vertical="center" wrapText="1"/>
    </xf>
    <xf numFmtId="10" fontId="21" fillId="0" borderId="4" xfId="20" applyNumberFormat="1" applyFont="1" applyBorder="1" applyAlignment="1" applyProtection="1">
      <alignment horizontal="center" vertical="center" wrapText="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43" fillId="0" borderId="1" xfId="0" applyFont="1" applyBorder="1" applyAlignment="1">
      <alignment horizontal="center"/>
    </xf>
    <xf numFmtId="0" fontId="43" fillId="0" borderId="1" xfId="0" applyFont="1" applyBorder="1" applyAlignment="1" applyProtection="1">
      <alignment horizontal="center"/>
      <protection hidden="1"/>
    </xf>
    <xf numFmtId="0" fontId="29" fillId="34" borderId="57"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25" fillId="0" borderId="2" xfId="0" applyFont="1" applyBorder="1" applyAlignment="1" applyProtection="1">
      <alignment horizontal="center"/>
      <protection hidden="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9" fillId="0" borderId="1" xfId="1" applyFont="1" applyBorder="1" applyAlignment="1" applyProtection="1">
      <alignment horizontal="left" vertical="center"/>
    </xf>
    <xf numFmtId="0" fontId="20" fillId="0" borderId="3" xfId="0" applyFont="1" applyBorder="1" applyAlignment="1" applyProtection="1">
      <alignment horizontal="center" vertical="center" wrapText="1"/>
    </xf>
    <xf numFmtId="0" fontId="20" fillId="0" borderId="1" xfId="1" applyFont="1" applyBorder="1" applyAlignment="1" applyProtection="1">
      <alignment horizontal="left" vertical="center"/>
    </xf>
    <xf numFmtId="164" fontId="22" fillId="4" borderId="9" xfId="3" applyNumberFormat="1" applyFont="1" applyFill="1" applyBorder="1" applyAlignment="1" applyProtection="1">
      <alignment horizontal="center" vertical="center"/>
    </xf>
    <xf numFmtId="166" fontId="24" fillId="0" borderId="0" xfId="0" applyNumberFormat="1" applyFont="1" applyFill="1" applyProtection="1">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24" fillId="0" borderId="0" xfId="6" applyNumberFormat="1" applyFont="1" applyAlignment="1" applyProtection="1">
      <alignment horizontal="center" vertical="center"/>
      <protection hidden="1"/>
    </xf>
    <xf numFmtId="164" fontId="78" fillId="0" borderId="2" xfId="0" applyNumberFormat="1" applyFont="1" applyBorder="1" applyAlignment="1">
      <alignment horizontal="center" vertical="center" wrapText="1" readingOrder="1"/>
    </xf>
    <xf numFmtId="164" fontId="79" fillId="0" borderId="2" xfId="0" applyNumberFormat="1" applyFont="1" applyBorder="1" applyAlignment="1">
      <alignment horizontal="center" vertical="center" wrapText="1" readingOrder="1"/>
    </xf>
    <xf numFmtId="0" fontId="24" fillId="47"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94" fillId="0" borderId="1" xfId="0" applyFont="1" applyFill="1" applyBorder="1" applyAlignment="1">
      <alignment horizontal="center" vertical="center" wrapText="1"/>
    </xf>
    <xf numFmtId="1" fontId="94" fillId="0" borderId="1" xfId="0" applyNumberFormat="1" applyFont="1" applyBorder="1" applyAlignment="1">
      <alignment horizontal="center" vertical="center"/>
    </xf>
    <xf numFmtId="0" fontId="93" fillId="0" borderId="1" xfId="0" applyFont="1" applyBorder="1" applyAlignment="1">
      <alignment horizontal="center" vertical="center"/>
    </xf>
    <xf numFmtId="9" fontId="93" fillId="0" borderId="1" xfId="6" applyFont="1" applyBorder="1" applyAlignment="1">
      <alignment horizontal="center" vertical="center"/>
    </xf>
    <xf numFmtId="0" fontId="93"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9" fontId="20" fillId="3" borderId="2" xfId="6" applyFont="1" applyFill="1" applyBorder="1" applyAlignment="1">
      <alignment horizontal="center" vertical="center" wrapText="1"/>
    </xf>
    <xf numFmtId="0" fontId="95" fillId="0" borderId="2" xfId="0" applyFont="1" applyBorder="1" applyAlignment="1">
      <alignment horizontal="center" vertical="center"/>
    </xf>
    <xf numFmtId="9" fontId="59" fillId="0" borderId="3" xfId="6" applyFont="1" applyBorder="1" applyAlignment="1" applyProtection="1">
      <alignment horizontal="center" vertical="center" wrapText="1"/>
    </xf>
    <xf numFmtId="166" fontId="20" fillId="0" borderId="2" xfId="34" applyNumberFormat="1" applyFont="1" applyFill="1" applyBorder="1" applyAlignment="1">
      <alignment horizontal="center" vertical="center" wrapText="1"/>
    </xf>
    <xf numFmtId="164" fontId="21" fillId="18" borderId="4"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164" fontId="21" fillId="18" borderId="54" xfId="0" applyNumberFormat="1"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18" borderId="2" xfId="20" applyNumberFormat="1" applyFont="1" applyFill="1" applyBorder="1" applyAlignment="1" applyProtection="1">
      <alignment horizontal="center" vertical="center" wrapText="1"/>
    </xf>
    <xf numFmtId="2" fontId="44" fillId="0" borderId="3" xfId="7" applyNumberFormat="1" applyFont="1" applyBorder="1" applyAlignment="1" applyProtection="1">
      <alignment horizontal="center" vertical="center" wrapText="1"/>
    </xf>
    <xf numFmtId="166" fontId="20" fillId="0" borderId="2" xfId="20" applyNumberFormat="1" applyFont="1" applyFill="1" applyBorder="1" applyAlignment="1" applyProtection="1">
      <alignment horizontal="center" vertical="center" wrapText="1"/>
    </xf>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8" fillId="21" borderId="7" xfId="0" applyFont="1" applyFill="1" applyBorder="1" applyAlignment="1" applyProtection="1">
      <alignment horizontal="center" vertical="center" wrapText="1"/>
      <protection hidden="1"/>
    </xf>
    <xf numFmtId="0" fontId="68" fillId="21" borderId="11" xfId="0" applyFont="1" applyFill="1" applyBorder="1" applyAlignment="1" applyProtection="1">
      <alignment horizontal="center" vertical="center" wrapText="1"/>
      <protection hidden="1"/>
    </xf>
    <xf numFmtId="0" fontId="25" fillId="25" borderId="2" xfId="0" applyFont="1" applyFill="1" applyBorder="1" applyAlignment="1">
      <alignment horizontal="center" vertical="center" wrapText="1"/>
    </xf>
    <xf numFmtId="0" fontId="92" fillId="0" borderId="2" xfId="0" applyFont="1" applyBorder="1" applyAlignment="1">
      <alignment horizontal="center" vertical="center" wrapText="1"/>
    </xf>
    <xf numFmtId="0" fontId="89" fillId="44" borderId="79" xfId="0" applyFont="1" applyFill="1" applyBorder="1" applyAlignment="1">
      <alignment horizontal="center" vertical="center" wrapText="1"/>
    </xf>
    <xf numFmtId="0" fontId="89" fillId="44"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1" borderId="80" xfId="0" applyFont="1" applyFill="1" applyBorder="1" applyAlignment="1">
      <alignment horizontal="center" vertical="center" wrapText="1"/>
    </xf>
    <xf numFmtId="0" fontId="49" fillId="41"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0" fontId="87" fillId="0" borderId="7" xfId="0" applyFont="1" applyBorder="1" applyAlignment="1">
      <alignment horizontal="center" vertical="center"/>
    </xf>
    <xf numFmtId="0" fontId="87" fillId="0" borderId="6" xfId="0" applyFont="1" applyBorder="1" applyAlignment="1">
      <alignment horizontal="center" vertical="center"/>
    </xf>
    <xf numFmtId="0" fontId="82" fillId="45" borderId="1" xfId="0" applyFont="1" applyFill="1" applyBorder="1" applyAlignment="1" applyProtection="1">
      <alignment horizontal="center" vertical="center" wrapText="1"/>
      <protection hidden="1"/>
    </xf>
    <xf numFmtId="0" fontId="82" fillId="3" borderId="1" xfId="0" applyFont="1" applyFill="1" applyBorder="1" applyAlignment="1" applyProtection="1">
      <alignment horizontal="center" vertical="center" wrapText="1"/>
      <protection hidden="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43" fillId="0" borderId="5" xfId="0" applyFont="1" applyBorder="1" applyAlignment="1">
      <alignment horizontal="justify" vertical="top" wrapText="1"/>
    </xf>
    <xf numFmtId="164" fontId="21" fillId="0" borderId="55" xfId="34" applyNumberFormat="1" applyFont="1" applyBorder="1" applyAlignment="1" applyProtection="1">
      <alignment horizontal="center" vertical="center" wrapText="1"/>
    </xf>
    <xf numFmtId="164" fontId="21" fillId="0" borderId="4" xfId="34" applyNumberFormat="1" applyFont="1" applyBorder="1" applyAlignment="1" applyProtection="1">
      <alignment horizontal="center" vertical="center" wrapText="1"/>
    </xf>
    <xf numFmtId="164"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64" fontId="21" fillId="18" borderId="55"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64" fontId="21" fillId="0" borderId="55"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164" fontId="21" fillId="0" borderId="75"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1" borderId="55" xfId="0" applyFont="1" applyFill="1" applyBorder="1" applyAlignment="1">
      <alignment horizontal="center" vertical="center" wrapText="1"/>
    </xf>
    <xf numFmtId="0" fontId="52" fillId="41" borderId="75" xfId="0" applyFont="1" applyFill="1" applyBorder="1" applyAlignment="1">
      <alignment horizontal="center" vertical="center" wrapText="1"/>
    </xf>
    <xf numFmtId="0" fontId="92" fillId="0" borderId="29" xfId="0" applyFont="1" applyBorder="1" applyAlignment="1">
      <alignment horizontal="center" vertical="center" wrapText="1"/>
    </xf>
    <xf numFmtId="0" fontId="92" fillId="0" borderId="35" xfId="0" applyFont="1" applyBorder="1" applyAlignment="1">
      <alignment horizontal="center" vertical="center" wrapText="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75" xfId="0" applyFont="1" applyFill="1" applyBorder="1" applyAlignment="1">
      <alignment horizontal="justify" vertical="top"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0" fontId="39" fillId="18" borderId="55" xfId="0" applyFont="1" applyFill="1" applyBorder="1" applyAlignment="1">
      <alignment horizontal="center" vertical="top" wrapText="1" readingOrder="1"/>
    </xf>
    <xf numFmtId="0" fontId="39" fillId="18" borderId="4" xfId="0" applyFont="1" applyFill="1" applyBorder="1" applyAlignment="1">
      <alignment horizontal="center" vertical="top" wrapText="1" readingOrder="1"/>
    </xf>
    <xf numFmtId="0" fontId="39" fillId="18" borderId="75" xfId="0" applyFont="1" applyFill="1" applyBorder="1" applyAlignment="1">
      <alignment horizontal="center" vertical="top" wrapText="1" readingOrder="1"/>
    </xf>
    <xf numFmtId="164" fontId="21" fillId="18" borderId="55" xfId="34" applyNumberFormat="1" applyFont="1" applyFill="1" applyBorder="1" applyAlignment="1" applyProtection="1">
      <alignment horizontal="center" vertical="center" wrapText="1"/>
    </xf>
    <xf numFmtId="164" fontId="21" fillId="18" borderId="4" xfId="34" applyNumberFormat="1" applyFont="1" applyFill="1" applyBorder="1" applyAlignment="1" applyProtection="1">
      <alignment horizontal="center" vertical="center" wrapText="1"/>
    </xf>
    <xf numFmtId="164" fontId="21" fillId="18" borderId="75" xfId="34" applyNumberFormat="1" applyFont="1" applyFill="1" applyBorder="1" applyAlignment="1" applyProtection="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center" vertical="top" wrapText="1" readingOrder="1"/>
    </xf>
    <xf numFmtId="0" fontId="39" fillId="0" borderId="75" xfId="0" applyFont="1" applyBorder="1" applyAlignment="1">
      <alignment horizontal="center" vertical="top"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1"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25" fillId="41"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164" fontId="21" fillId="0" borderId="3" xfId="20" applyNumberFormat="1" applyFont="1" applyBorder="1" applyAlignment="1" applyProtection="1">
      <alignment horizontal="center" vertical="center" wrapText="1"/>
    </xf>
    <xf numFmtId="164" fontId="21" fillId="0" borderId="5" xfId="20" applyNumberFormat="1" applyFont="1" applyBorder="1" applyAlignment="1" applyProtection="1">
      <alignment horizontal="center" vertical="center" wrapText="1"/>
    </xf>
    <xf numFmtId="0" fontId="14" fillId="12" borderId="2" xfId="1" applyFont="1" applyFill="1" applyBorder="1" applyAlignment="1">
      <alignment horizontal="center" vertical="center"/>
    </xf>
    <xf numFmtId="164" fontId="20" fillId="0" borderId="55" xfId="34" applyNumberFormat="1" applyFont="1" applyBorder="1" applyAlignment="1">
      <alignment horizontal="center" vertical="center" wrapText="1"/>
    </xf>
    <xf numFmtId="164" fontId="20" fillId="0" borderId="4" xfId="34" applyNumberFormat="1" applyFont="1" applyBorder="1" applyAlignment="1">
      <alignment horizontal="center" vertical="center" wrapText="1"/>
    </xf>
    <xf numFmtId="164"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0" fontId="39" fillId="0" borderId="55" xfId="0" applyFont="1" applyBorder="1" applyAlignment="1">
      <alignment horizontal="justify" vertical="top" wrapText="1" readingOrder="1"/>
    </xf>
    <xf numFmtId="0" fontId="39" fillId="0" borderId="75" xfId="0" applyFont="1" applyBorder="1" applyAlignment="1">
      <alignment horizontal="justify" vertical="top" wrapText="1" readingOrder="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0" fontId="39" fillId="18" borderId="5" xfId="0" applyFont="1" applyFill="1" applyBorder="1" applyAlignment="1">
      <alignment horizontal="justify" vertical="top" wrapText="1" readingOrder="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0" fontId="39" fillId="0" borderId="2"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12" fillId="9" borderId="2" xfId="1"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25" fillId="41" borderId="55" xfId="0" applyFont="1" applyFill="1" applyBorder="1" applyAlignment="1">
      <alignment horizontal="center" vertical="center" wrapText="1"/>
    </xf>
    <xf numFmtId="0" fontId="25" fillId="41" borderId="4" xfId="0" applyFont="1" applyFill="1" applyBorder="1" applyAlignment="1">
      <alignment horizontal="center" vertical="center" wrapText="1"/>
    </xf>
    <xf numFmtId="0" fontId="25" fillId="41"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43" borderId="3" xfId="0" applyFont="1" applyFill="1" applyBorder="1" applyAlignment="1" applyProtection="1">
      <alignment horizontal="center" vertical="center" wrapText="1"/>
    </xf>
    <xf numFmtId="0" fontId="11" fillId="43" borderId="5" xfId="0" applyFont="1" applyFill="1" applyBorder="1" applyAlignment="1" applyProtection="1">
      <alignment horizontal="center" vertical="center" wrapText="1"/>
    </xf>
    <xf numFmtId="9" fontId="39" fillId="0" borderId="5" xfId="0" applyNumberFormat="1" applyFont="1" applyBorder="1" applyAlignment="1">
      <alignment horizontal="center" vertical="top" wrapText="1" readingOrder="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0" fontId="39" fillId="0" borderId="5" xfId="0" applyFont="1" applyBorder="1" applyAlignment="1">
      <alignment horizontal="justify" vertical="top" wrapText="1" readingOrder="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9" fontId="20" fillId="0" borderId="55" xfId="8" applyFont="1" applyBorder="1" applyAlignment="1" applyProtection="1">
      <alignment horizontal="center" vertical="center" wrapText="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9" fontId="39" fillId="0" borderId="55"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 xfId="8" applyFont="1" applyBorder="1" applyAlignment="1" applyProtection="1">
      <alignment horizontal="center" vertical="center" wrapText="1"/>
    </xf>
    <xf numFmtId="164" fontId="20" fillId="0" borderId="5" xfId="34" applyNumberFormat="1" applyFont="1" applyBorder="1" applyAlignment="1">
      <alignment horizontal="center" vertical="center" wrapText="1"/>
    </xf>
    <xf numFmtId="0" fontId="39" fillId="18" borderId="5" xfId="0" applyFont="1" applyFill="1" applyBorder="1" applyAlignment="1">
      <alignment horizontal="center" vertical="top" wrapText="1" readingOrder="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1" fontId="39" fillId="0" borderId="5"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0" fontId="86" fillId="39" borderId="55" xfId="0" applyFont="1" applyFill="1" applyBorder="1" applyAlignment="1">
      <alignment horizontal="center" vertical="center" wrapText="1"/>
    </xf>
    <xf numFmtId="0" fontId="86" fillId="39" borderId="4" xfId="0" applyFont="1" applyFill="1" applyBorder="1" applyAlignment="1">
      <alignment horizontal="center" vertical="center"/>
    </xf>
    <xf numFmtId="0" fontId="86" fillId="39" borderId="5" xfId="0" applyFont="1" applyFill="1" applyBorder="1" applyAlignment="1">
      <alignment horizontal="center" vertical="center"/>
    </xf>
    <xf numFmtId="0" fontId="84" fillId="39" borderId="54" xfId="0" applyFont="1" applyFill="1" applyBorder="1" applyAlignment="1">
      <alignment horizontal="center" vertical="center"/>
    </xf>
    <xf numFmtId="0" fontId="84" fillId="39" borderId="67" xfId="0" applyFont="1" applyFill="1" applyBorder="1" applyAlignment="1">
      <alignment horizontal="center" vertical="center"/>
    </xf>
    <xf numFmtId="0" fontId="84" fillId="39" borderId="65" xfId="0" applyFont="1" applyFill="1" applyBorder="1" applyAlignment="1">
      <alignment horizontal="center" vertical="center"/>
    </xf>
    <xf numFmtId="0" fontId="84" fillId="39" borderId="8" xfId="0" applyFont="1" applyFill="1" applyBorder="1" applyAlignment="1">
      <alignment horizontal="center" vertical="center"/>
    </xf>
    <xf numFmtId="0" fontId="84" fillId="39" borderId="1" xfId="0" applyFont="1" applyFill="1" applyBorder="1" applyAlignment="1">
      <alignment horizontal="center" vertical="center"/>
    </xf>
    <xf numFmtId="0" fontId="84" fillId="39" borderId="12" xfId="0" applyFont="1" applyFill="1" applyBorder="1" applyAlignment="1">
      <alignment horizontal="center" vertical="center"/>
    </xf>
    <xf numFmtId="0" fontId="25" fillId="39" borderId="54" xfId="0" applyFont="1" applyFill="1" applyBorder="1" applyAlignment="1">
      <alignment horizontal="left"/>
    </xf>
    <xf numFmtId="0" fontId="25" fillId="39" borderId="65" xfId="0" applyFont="1" applyFill="1" applyBorder="1" applyAlignment="1">
      <alignment horizontal="left"/>
    </xf>
    <xf numFmtId="0" fontId="84" fillId="39" borderId="46" xfId="0" applyFont="1" applyFill="1" applyBorder="1" applyAlignment="1">
      <alignment horizontal="center" vertical="center"/>
    </xf>
    <xf numFmtId="0" fontId="84" fillId="39" borderId="47" xfId="0" applyFont="1" applyFill="1" applyBorder="1" applyAlignment="1">
      <alignment horizontal="center" vertical="center"/>
    </xf>
    <xf numFmtId="0" fontId="84" fillId="39" borderId="10" xfId="0" applyFont="1" applyFill="1" applyBorder="1" applyAlignment="1">
      <alignment horizontal="center" vertical="center"/>
    </xf>
    <xf numFmtId="0" fontId="24" fillId="39" borderId="47" xfId="0" applyFont="1" applyFill="1" applyBorder="1" applyAlignment="1">
      <alignment horizontal="center"/>
    </xf>
    <xf numFmtId="0" fontId="25" fillId="40" borderId="65" xfId="0" applyFont="1" applyFill="1" applyBorder="1" applyAlignment="1">
      <alignment horizontal="center" vertical="center" wrapText="1"/>
    </xf>
    <xf numFmtId="0" fontId="25" fillId="40" borderId="10" xfId="0" applyFont="1" applyFill="1" applyBorder="1" applyAlignment="1">
      <alignment horizontal="center" vertical="center" wrapText="1"/>
    </xf>
    <xf numFmtId="0" fontId="25" fillId="40" borderId="4" xfId="0" applyFont="1" applyFill="1" applyBorder="1" applyAlignment="1">
      <alignment horizontal="center" vertical="center" wrapText="1"/>
    </xf>
    <xf numFmtId="0" fontId="25" fillId="40" borderId="5" xfId="0" applyFont="1" applyFill="1" applyBorder="1" applyAlignment="1">
      <alignment horizontal="center" vertical="center" wrapText="1"/>
    </xf>
    <xf numFmtId="0" fontId="24" fillId="0" borderId="2" xfId="0" applyFont="1" applyBorder="1" applyAlignment="1">
      <alignment horizontal="justify" vertical="center" wrapText="1"/>
    </xf>
    <xf numFmtId="170" fontId="24" fillId="0" borderId="55"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54" xfId="0" applyFont="1" applyFill="1" applyBorder="1" applyAlignment="1">
      <alignment horizontal="center" vertical="center" wrapText="1"/>
    </xf>
    <xf numFmtId="0" fontId="25" fillId="9" borderId="67"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25" fillId="9" borderId="46" xfId="0" applyFont="1" applyFill="1" applyBorder="1" applyAlignment="1">
      <alignment horizontal="center" vertical="center" wrapText="1"/>
    </xf>
    <xf numFmtId="0" fontId="25" fillId="9" borderId="47"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40" borderId="7" xfId="0" applyFont="1" applyFill="1" applyBorder="1" applyAlignment="1">
      <alignment horizontal="center" vertical="center" wrapText="1"/>
    </xf>
    <xf numFmtId="0" fontId="25" fillId="40" borderId="11" xfId="0" applyFont="1" applyFill="1" applyBorder="1" applyAlignment="1">
      <alignment horizontal="center" vertical="center" wrapText="1"/>
    </xf>
    <xf numFmtId="0" fontId="25" fillId="40" borderId="6" xfId="0" applyFont="1" applyFill="1" applyBorder="1" applyAlignment="1">
      <alignment horizontal="center" vertical="center" wrapText="1"/>
    </xf>
    <xf numFmtId="0" fontId="25" fillId="9" borderId="46" xfId="0" applyFont="1" applyFill="1" applyBorder="1" applyAlignment="1">
      <alignment horizontal="center" vertical="center"/>
    </xf>
    <xf numFmtId="0" fontId="25" fillId="9" borderId="47" xfId="0" applyFont="1" applyFill="1" applyBorder="1" applyAlignment="1">
      <alignment horizontal="center" vertical="center"/>
    </xf>
    <xf numFmtId="0" fontId="25" fillId="40" borderId="2" xfId="0" applyFont="1" applyFill="1" applyBorder="1" applyAlignment="1">
      <alignment horizontal="center" vertical="center" wrapText="1"/>
    </xf>
    <xf numFmtId="0" fontId="25" fillId="9" borderId="7" xfId="0" applyFont="1" applyFill="1" applyBorder="1" applyAlignment="1">
      <alignment horizontal="right"/>
    </xf>
    <xf numFmtId="0" fontId="25" fillId="9" borderId="6" xfId="0" applyFont="1" applyFill="1" applyBorder="1" applyAlignment="1">
      <alignment horizontal="right"/>
    </xf>
    <xf numFmtId="0" fontId="24" fillId="0" borderId="55"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70" fontId="24" fillId="0" borderId="2" xfId="0" applyNumberFormat="1" applyFont="1" applyBorder="1" applyAlignment="1">
      <alignment horizontal="center"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62" fillId="0" borderId="1" xfId="0" applyFont="1" applyBorder="1" applyAlignment="1">
      <alignment horizontal="center" vertical="center" wrapText="1"/>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82" fillId="0" borderId="35" xfId="0" applyFont="1" applyFill="1" applyBorder="1" applyAlignment="1" applyProtection="1">
      <alignment horizontal="center" vertical="center"/>
      <protection hidden="1"/>
    </xf>
    <xf numFmtId="0" fontId="82" fillId="0" borderId="27" xfId="0" applyFont="1" applyFill="1" applyBorder="1" applyAlignment="1" applyProtection="1">
      <alignment horizontal="center" vertical="center"/>
      <protection hidden="1"/>
    </xf>
    <xf numFmtId="0" fontId="82" fillId="0" borderId="23" xfId="0" applyFont="1" applyFill="1" applyBorder="1" applyAlignment="1" applyProtection="1">
      <alignment horizontal="center" vertical="center"/>
      <protection hidden="1"/>
    </xf>
    <xf numFmtId="0" fontId="81" fillId="34" borderId="7" xfId="0" applyFont="1" applyFill="1" applyBorder="1" applyAlignment="1">
      <alignment horizontal="center" vertical="center" wrapText="1" readingOrder="1"/>
    </xf>
    <xf numFmtId="0" fontId="81" fillId="34" borderId="11" xfId="0" applyFont="1" applyFill="1" applyBorder="1" applyAlignment="1">
      <alignment horizontal="center" vertical="center" wrapText="1" readingOrder="1"/>
    </xf>
    <xf numFmtId="0" fontId="81" fillId="34" borderId="6" xfId="0" applyFont="1" applyFill="1" applyBorder="1" applyAlignment="1">
      <alignment horizontal="center" vertical="center" wrapText="1" readingOrder="1"/>
    </xf>
    <xf numFmtId="0" fontId="43" fillId="0" borderId="1" xfId="0" applyFont="1" applyBorder="1" applyAlignment="1" applyProtection="1">
      <alignment horizont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9" xfId="0" applyFont="1" applyFill="1" applyBorder="1" applyAlignment="1" applyProtection="1">
      <alignment horizontal="center" vertical="center" wrapText="1"/>
      <protection hidden="1"/>
    </xf>
    <xf numFmtId="0" fontId="81" fillId="34" borderId="29" xfId="0" applyFont="1" applyFill="1" applyBorder="1" applyAlignment="1">
      <alignment horizontal="center" vertical="center" wrapText="1" readingOrder="1"/>
    </xf>
    <xf numFmtId="0" fontId="81" fillId="34" borderId="35" xfId="0" applyFont="1" applyFill="1" applyBorder="1" applyAlignment="1">
      <alignment horizontal="center" vertical="center" wrapText="1" readingOrder="1"/>
    </xf>
    <xf numFmtId="0" fontId="81" fillId="34" borderId="37" xfId="0" applyFont="1" applyFill="1" applyBorder="1" applyAlignment="1">
      <alignment horizontal="center" vertical="center" wrapText="1" readingOrder="1"/>
    </xf>
    <xf numFmtId="0" fontId="81" fillId="34" borderId="57" xfId="0" applyFont="1" applyFill="1" applyBorder="1" applyAlignment="1">
      <alignment horizontal="center" vertical="center" wrapText="1" readingOrder="1"/>
    </xf>
    <xf numFmtId="0" fontId="25" fillId="29" borderId="2" xfId="0" applyFont="1" applyFill="1" applyBorder="1" applyAlignment="1" applyProtection="1">
      <alignment horizontal="center" vertical="center"/>
      <protection hidden="1"/>
    </xf>
    <xf numFmtId="0" fontId="25" fillId="29" borderId="2" xfId="0" applyFont="1" applyFill="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35" fillId="7" borderId="2" xfId="0" applyFont="1" applyFill="1" applyBorder="1" applyAlignment="1" applyProtection="1">
      <alignment horizontal="center" vertical="center"/>
      <protection hidden="1"/>
    </xf>
    <xf numFmtId="0" fontId="25" fillId="29" borderId="7" xfId="0" applyFont="1" applyFill="1" applyBorder="1" applyAlignment="1" applyProtection="1">
      <alignment horizontal="center" vertical="center" wrapText="1"/>
      <protection hidden="1"/>
    </xf>
    <xf numFmtId="0" fontId="25" fillId="29" borderId="11" xfId="0" applyFont="1" applyFill="1" applyBorder="1" applyAlignment="1" applyProtection="1">
      <alignment horizontal="center" vertical="center" wrapText="1"/>
      <protection hidden="1"/>
    </xf>
    <xf numFmtId="0" fontId="25" fillId="29" borderId="6"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67" xfId="0" applyFont="1" applyBorder="1" applyAlignment="1" applyProtection="1">
      <alignment horizontal="center" vertical="center" wrapText="1"/>
      <protection hidden="1"/>
    </xf>
    <xf numFmtId="0" fontId="11" fillId="0" borderId="65"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43" fillId="0" borderId="46" xfId="0" applyFont="1" applyBorder="1" applyAlignment="1" applyProtection="1">
      <alignment horizontal="center"/>
      <protection hidden="1"/>
    </xf>
    <xf numFmtId="0" fontId="43" fillId="0" borderId="47" xfId="0" applyFont="1" applyBorder="1" applyAlignment="1" applyProtection="1">
      <alignment horizontal="center"/>
      <protection hidden="1"/>
    </xf>
    <xf numFmtId="0" fontId="43" fillId="0" borderId="10"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25" fillId="0" borderId="6" xfId="0" applyFont="1" applyBorder="1" applyAlignment="1" applyProtection="1">
      <alignment horizontal="center"/>
      <protection hidden="1"/>
    </xf>
    <xf numFmtId="0" fontId="25" fillId="0" borderId="2" xfId="0" applyFont="1" applyBorder="1" applyAlignment="1" applyProtection="1">
      <alignment horizontal="center"/>
      <protection hidden="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43" fillId="0" borderId="5" xfId="0" applyFont="1" applyBorder="1" applyAlignment="1" applyProtection="1">
      <alignment horizontal="justify" vertical="top" wrapText="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39" fillId="18" borderId="3"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39" fillId="0" borderId="3"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11" fillId="8" borderId="4" xfId="0" applyFont="1" applyFill="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39" fillId="0" borderId="4" xfId="0" applyFont="1" applyFill="1" applyBorder="1" applyAlignment="1" applyProtection="1">
      <alignment horizontal="justify" vertical="top" wrapText="1" readingOrder="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39" fillId="0" borderId="3" xfId="0" applyFont="1" applyBorder="1" applyAlignment="1">
      <alignment horizontal="justify" vertical="top" wrapText="1" readingOrder="1"/>
    </xf>
    <xf numFmtId="0" fontId="20" fillId="0" borderId="3"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0" fillId="0" borderId="3" xfId="8" applyFont="1" applyBorder="1" applyAlignment="1" applyProtection="1">
      <alignment horizontal="center" vertical="center" wrapText="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26" fillId="10" borderId="2" xfId="1" applyFont="1" applyFill="1" applyBorder="1" applyAlignment="1" applyProtection="1">
      <alignment horizontal="center" vertical="center" wrapText="1"/>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32" fillId="0" borderId="1" xfId="0" applyFont="1" applyBorder="1" applyAlignment="1" applyProtection="1">
      <alignment horizontal="left" vertical="center"/>
    </xf>
    <xf numFmtId="0" fontId="28" fillId="0" borderId="2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5" fillId="0" borderId="33" xfId="1" applyFont="1" applyBorder="1" applyAlignment="1" applyProtection="1">
      <alignment horizontal="center" vertical="center"/>
    </xf>
    <xf numFmtId="0" fontId="20" fillId="0" borderId="3" xfId="0" applyFont="1" applyBorder="1" applyAlignment="1">
      <alignment horizontal="justify" vertical="center" wrapText="1"/>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20" fillId="0" borderId="1" xfId="1" applyFont="1" applyAlignment="1" applyProtection="1">
      <alignment horizontal="left" vertical="center"/>
    </xf>
    <xf numFmtId="0" fontId="39" fillId="0" borderId="2" xfId="0" applyFont="1" applyBorder="1" applyAlignment="1" applyProtection="1">
      <alignment horizontal="left" vertical="center"/>
    </xf>
    <xf numFmtId="0" fontId="12" fillId="0" borderId="2" xfId="1" applyFont="1" applyBorder="1" applyAlignment="1" applyProtection="1">
      <alignment horizontal="center" vertical="center" wrapText="1"/>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9" fillId="0" borderId="1" xfId="1" applyFont="1" applyAlignment="1" applyProtection="1">
      <alignment horizontal="left" vertical="center"/>
    </xf>
    <xf numFmtId="0" fontId="11" fillId="0" borderId="1" xfId="1" applyFont="1" applyAlignment="1" applyProtection="1">
      <alignment horizontal="left" vertical="center"/>
    </xf>
    <xf numFmtId="0" fontId="11" fillId="0" borderId="20" xfId="1" applyFont="1" applyBorder="1" applyAlignment="1" applyProtection="1">
      <alignment horizontal="left" vertical="center" wrapText="1"/>
    </xf>
    <xf numFmtId="0" fontId="11" fillId="0" borderId="33" xfId="1" applyFont="1" applyBorder="1" applyAlignment="1" applyProtection="1">
      <alignment horizontal="left" vertical="center" wrapText="1"/>
    </xf>
    <xf numFmtId="0" fontId="11" fillId="0" borderId="31" xfId="1" applyFont="1" applyBorder="1" applyAlignment="1" applyProtection="1">
      <alignment horizontal="left" vertical="center" wrapText="1"/>
    </xf>
    <xf numFmtId="0" fontId="11" fillId="0" borderId="46" xfId="1" applyFont="1" applyBorder="1" applyAlignment="1" applyProtection="1">
      <alignment horizontal="left" vertical="center" wrapText="1"/>
    </xf>
    <xf numFmtId="0" fontId="11" fillId="0" borderId="47"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44" fillId="0" borderId="2" xfId="0" applyFont="1" applyBorder="1" applyAlignment="1" applyProtection="1">
      <alignment horizontal="left" vertical="center"/>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12" fillId="0" borderId="2" xfId="1" applyFont="1" applyBorder="1" applyAlignment="1">
      <alignment horizontal="center" vertical="center" wrapText="1"/>
    </xf>
    <xf numFmtId="0" fontId="12" fillId="7" borderId="2"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5" fillId="0" borderId="33" xfId="1" applyFont="1" applyBorder="1" applyAlignment="1">
      <alignment horizontal="center" vertical="center"/>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4" fillId="12" borderId="6" xfId="1" applyFont="1" applyFill="1" applyBorder="1" applyAlignment="1">
      <alignment horizontal="righ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9" fillId="0" borderId="1" xfId="1" applyFont="1" applyAlignment="1">
      <alignment vertical="center"/>
    </xf>
    <xf numFmtId="0" fontId="11" fillId="7" borderId="2" xfId="1" applyFont="1" applyFill="1" applyBorder="1" applyAlignment="1">
      <alignment horizontal="center" vertical="center" wrapText="1"/>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20" xfId="1" applyFont="1" applyBorder="1" applyAlignment="1" applyProtection="1">
      <alignment horizontal="left" vertical="center" wrapText="1"/>
      <protection locked="0"/>
    </xf>
    <xf numFmtId="0" fontId="20" fillId="0" borderId="33" xfId="1" applyFont="1" applyBorder="1" applyAlignment="1" applyProtection="1">
      <alignment horizontal="left" vertical="center" wrapText="1"/>
      <protection locked="0"/>
    </xf>
    <xf numFmtId="0" fontId="20" fillId="0" borderId="31" xfId="1" applyFont="1" applyBorder="1" applyAlignment="1" applyProtection="1">
      <alignment horizontal="left" vertical="center" wrapText="1"/>
      <protection locked="0"/>
    </xf>
    <xf numFmtId="0" fontId="20" fillId="0" borderId="46" xfId="1" applyFont="1" applyBorder="1" applyAlignment="1" applyProtection="1">
      <alignment horizontal="left" vertical="center" wrapText="1"/>
      <protection locked="0"/>
    </xf>
    <xf numFmtId="0" fontId="20" fillId="0" borderId="47"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14" fillId="6" borderId="2" xfId="1" applyFont="1" applyFill="1" applyBorder="1" applyAlignment="1" applyProtection="1">
      <alignment horizontal="right" vertical="center"/>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1" fillId="0" borderId="5" xfId="0" applyFont="1" applyBorder="1" applyAlignment="1" applyProtection="1">
      <alignment horizontal="justify" vertical="center" wrapText="1"/>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21"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11" fillId="10"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9" fillId="0" borderId="1" xfId="1" applyFont="1" applyBorder="1" applyAlignment="1" applyProtection="1">
      <alignment horizontal="left" vertical="center" wrapText="1"/>
    </xf>
    <xf numFmtId="0" fontId="20" fillId="0" borderId="2" xfId="23" applyFont="1" applyBorder="1" applyAlignment="1">
      <alignment horizontal="justify" vertical="center" wrapText="1"/>
    </xf>
    <xf numFmtId="0" fontId="31"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164" fontId="21" fillId="0" borderId="2" xfId="20" applyNumberFormat="1" applyFont="1" applyBorder="1" applyAlignment="1" applyProtection="1">
      <alignment horizontal="center" vertical="center" wrapText="1"/>
    </xf>
    <xf numFmtId="164" fontId="21" fillId="0" borderId="7" xfId="20" applyNumberFormat="1" applyFont="1" applyBorder="1" applyAlignment="1" applyProtection="1">
      <alignment horizontal="center" vertical="center" wrapText="1"/>
    </xf>
    <xf numFmtId="164" fontId="21" fillId="0" borderId="2" xfId="34" applyNumberFormat="1" applyFont="1" applyBorder="1" applyAlignment="1" applyProtection="1">
      <alignment horizontal="center"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385">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theme="8" tint="0.79998168889431442"/>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theme="3" tint="0.79998168889431442"/>
        </patternFill>
      </fill>
    </dxf>
    <dxf>
      <fill>
        <patternFill>
          <bgColor rgb="FF0070C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70C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
      <numFmt numFmtId="164" formatCode="0.0%"/>
    </dxf>
    <dxf>
      <numFmt numFmtId="3" formatCode="#,##0"/>
    </dxf>
    <dxf>
      <numFmt numFmtId="171" formatCode="&quot;$&quot;\ #,##0"/>
    </dxf>
  </dxfs>
  <tableStyles count="0" defaultTableStyle="TableStyleMedium9" defaultPivotStyle="PivotStyleMedium4"/>
  <colors>
    <mruColors>
      <color rgb="FF00FF99"/>
      <color rgb="FF66FF33"/>
      <color rgb="FF0099FF"/>
      <color rgb="FFFFCC66"/>
      <color rgb="FFCC9900"/>
      <color rgb="FFFF66FF"/>
      <color rgb="FFFFFF66"/>
      <color rgb="FF99FF33"/>
      <color rgb="FFFF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0.23212946833855638</c:v>
                </c:pt>
                <c:pt idx="1">
                  <c:v>0.16345916795069337</c:v>
                </c:pt>
                <c:pt idx="2">
                  <c:v>0.19064152777777776</c:v>
                </c:pt>
                <c:pt idx="3">
                  <c:v>0.15884302300488068</c:v>
                </c:pt>
                <c:pt idx="4">
                  <c:v>0.1275</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99FF"/>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0.23017778546810425</c:v>
                </c:pt>
                <c:pt idx="2">
                  <c:v>0.33113418346350798</c:v>
                </c:pt>
                <c:pt idx="3">
                  <c:v>4.7781818181818182E-2</c:v>
                </c:pt>
                <c:pt idx="4">
                  <c:v>4.5454545454545497E-2</c:v>
                </c:pt>
                <c:pt idx="5">
                  <c:v>0.1977272727272727</c:v>
                </c:pt>
                <c:pt idx="6">
                  <c:v>0.31186440677966099</c:v>
                </c:pt>
                <c:pt idx="7">
                  <c:v>0.22986944444444443</c:v>
                </c:pt>
                <c:pt idx="8">
                  <c:v>0.140625</c:v>
                </c:pt>
                <c:pt idx="9">
                  <c:v>0.125</c:v>
                </c:pt>
                <c:pt idx="10">
                  <c:v>0.186</c:v>
                </c:pt>
                <c:pt idx="11">
                  <c:v>0.23430000000000004</c:v>
                </c:pt>
                <c:pt idx="12">
                  <c:v>0.24493721062645929</c:v>
                </c:pt>
                <c:pt idx="13">
                  <c:v>0.15487097651775486</c:v>
                </c:pt>
                <c:pt idx="14">
                  <c:v>0.14313455736971017</c:v>
                </c:pt>
                <c:pt idx="15">
                  <c:v>0.19811904761904764</c:v>
                </c:pt>
                <c:pt idx="16">
                  <c:v>0.125</c:v>
                </c:pt>
                <c:pt idx="17">
                  <c:v>0</c:v>
                </c:pt>
                <c:pt idx="18">
                  <c:v>0</c:v>
                </c:pt>
                <c:pt idx="19">
                  <c:v>0.125</c:v>
                </c:pt>
                <c:pt idx="20">
                  <c:v>0.3</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'4.Seguimiento Medición POA 2021'!$E$34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7.3911110086666343E-2"/>
                  <c:y val="-0.18863429512469079"/>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667435841482576"/>
                  <c:y val="-7.863057532190863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'4.Seguimiento Medición POA 2021'!$D$27:$D$30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2021'!$E$27:$E$30</c:f>
              <c:numCache>
                <c:formatCode>0</c:formatCode>
                <c:ptCount val="4"/>
                <c:pt idx="0">
                  <c:v>27</c:v>
                </c:pt>
                <c:pt idx="1">
                  <c:v>29</c:v>
                </c:pt>
                <c:pt idx="2">
                  <c:v>21</c:v>
                </c:pt>
                <c:pt idx="3">
                  <c:v>10</c:v>
                </c:pt>
              </c:numCache>
            </c:numRef>
          </c:val>
          <c:extLst>
            <c:ext xmlns:c16="http://schemas.microsoft.com/office/drawing/2014/chart" uri="{C3380CC4-5D6E-409C-BE32-E72D297353CC}">
              <c16:uniqueId val="{00000000-33AB-48CD-B75F-50E0E4F829FF}"/>
            </c:ext>
          </c:extLst>
        </c:ser>
        <c:ser>
          <c:idx val="1"/>
          <c:order val="1"/>
          <c:tx>
            <c:strRef>
              <c:f>'4.Seguimiento Medición POA 2021'!$F$34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'4.Seguimiento Medición POA 2021'!$D$27:$D$30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2021'!$F$55:$F$58</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sp3d>
          </c:spPr>
          <c:dPt>
            <c:idx val="0"/>
            <c:bubble3D val="0"/>
            <c:spPr>
              <a:solidFill>
                <a:srgbClr val="66FF3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1833-467E-BD75-E817C9B4A0F9}"/>
              </c:ext>
            </c:extLst>
          </c:dPt>
          <c:dPt>
            <c:idx val="3"/>
            <c:bubble3D val="0"/>
            <c:spPr>
              <a:solidFill>
                <a:schemeClr val="accent1">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1833-467E-BD75-E817C9B4A0F9}"/>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'4.Seguimiento Medición POA 2021'!$D$55:$D$58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2021'!$E$55:$E$58</c:f>
              <c:numCache>
                <c:formatCode>0</c:formatCode>
                <c:ptCount val="4"/>
                <c:pt idx="0">
                  <c:v>29</c:v>
                </c:pt>
                <c:pt idx="1">
                  <c:v>27</c:v>
                </c:pt>
                <c:pt idx="2">
                  <c:v>25</c:v>
                </c:pt>
                <c:pt idx="3">
                  <c:v>6</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Desempeño Procesos POA '!$C$8</c:f>
              <c:strCache>
                <c:ptCount val="1"/>
                <c:pt idx="0">
                  <c:v>Desempeño Promedio 
Año 2021</c:v>
                </c:pt>
              </c:strCache>
            </c:strRef>
          </c:tx>
          <c:spPr>
            <a:solidFill>
              <a:srgbClr val="92D050"/>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3-894A-4910-A57B-F4544D443F5A}"/>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A-D13F-4E02-8782-6856BEF803B5}"/>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8"/>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Desempeño Procesos POA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Desempeño Procesos POA '!$C$9:$C$24</c:f>
              <c:numCache>
                <c:formatCode>0.0%</c:formatCode>
                <c:ptCount val="16"/>
                <c:pt idx="0">
                  <c:v>0.65757870141968155</c:v>
                </c:pt>
                <c:pt idx="1">
                  <c:v>0.5</c:v>
                </c:pt>
                <c:pt idx="2">
                  <c:v>0.78095238095238084</c:v>
                </c:pt>
                <c:pt idx="3">
                  <c:v>0.75</c:v>
                </c:pt>
                <c:pt idx="4">
                  <c:v>0.67925925925925934</c:v>
                </c:pt>
                <c:pt idx="5">
                  <c:v>0.84159172373554081</c:v>
                </c:pt>
                <c:pt idx="6">
                  <c:v>0.92826530612244895</c:v>
                </c:pt>
                <c:pt idx="7">
                  <c:v>0.81008333333333338</c:v>
                </c:pt>
                <c:pt idx="8">
                  <c:v>0.70403071305841924</c:v>
                </c:pt>
                <c:pt idx="9">
                  <c:v>0.78636340206185562</c:v>
                </c:pt>
                <c:pt idx="10">
                  <c:v>0.67824976359346101</c:v>
                </c:pt>
                <c:pt idx="11">
                  <c:v>0.71434210526315789</c:v>
                </c:pt>
                <c:pt idx="12">
                  <c:v>0.78090871710526322</c:v>
                </c:pt>
                <c:pt idx="13">
                  <c:v>0.75</c:v>
                </c:pt>
                <c:pt idx="14">
                  <c:v>1.108888888888889</c:v>
                </c:pt>
                <c:pt idx="15">
                  <c:v>0.29666666666666669</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3-4B1D-4018-8304-52432D5BA9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2-4B1D-4018-8304-52432D5BA90B}"/>
                </c:ext>
              </c:extLst>
            </c:dLbl>
            <c:dLbl>
              <c:idx val="3"/>
              <c:layout>
                <c:manualLayout>
                  <c:x val="-8.109889999845683E-17"/>
                  <c:y val="-7.0568708778775482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1D-4018-8304-52432D5BA9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Desempeño Procesos POA '!$B$30:$B$33</c:f>
              <c:strCache>
                <c:ptCount val="4"/>
                <c:pt idx="0">
                  <c:v>Procesos Estratégicos </c:v>
                </c:pt>
                <c:pt idx="1">
                  <c:v>Procesos Misionales </c:v>
                </c:pt>
                <c:pt idx="2">
                  <c:v>Procesos Apoyo </c:v>
                </c:pt>
                <c:pt idx="3">
                  <c:v>Procesos de Evaluación, Seguimiento y Control</c:v>
                </c:pt>
              </c:strCache>
            </c:strRef>
          </c:cat>
          <c:val>
            <c:numRef>
              <c:f>'3.Resum Desempeño Procesos POA '!$C$30:$C$33</c:f>
              <c:numCache>
                <c:formatCode>0</c:formatCode>
                <c:ptCount val="4"/>
                <c:pt idx="0">
                  <c:v>19</c:v>
                </c:pt>
                <c:pt idx="1">
                  <c:v>36</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129665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36</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cell r="C13" t="str">
            <v>1.1. Realizar 884.816 acciones que promuevan la defensa, garantía y restablecimiento de los derechos de las personas en el Distrito Capital.</v>
          </cell>
        </row>
        <row r="24">
          <cell r="C24" t="str">
            <v>1.2. Realizar 232.288 acciones que propendan por la efectiva defensa y garantía de los derechos de los sujetos de especial protección constitucional, con énfasis en las personas mayores, mujeres y la población migrante en el Distrito Capital.</v>
          </cell>
        </row>
        <row r="30">
          <cell r="C30" t="str">
            <v>1.3. Construir e Implementar 36 estrategias que permitan incrementar la oferta y cobertura de los servicios prestados por la Entidad.</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073"/>
      <c r="B1" s="1074"/>
      <c r="C1" s="1074"/>
      <c r="D1" s="1077" t="s">
        <v>659</v>
      </c>
      <c r="E1" s="1079" t="s">
        <v>660</v>
      </c>
      <c r="F1" s="1080"/>
    </row>
    <row r="2" spans="1:6" ht="23.25" customHeight="1">
      <c r="A2" s="1075"/>
      <c r="B2" s="1076"/>
      <c r="C2" s="1076"/>
      <c r="D2" s="1078"/>
      <c r="E2" s="95" t="s">
        <v>675</v>
      </c>
      <c r="F2" s="96" t="s">
        <v>661</v>
      </c>
    </row>
    <row r="3" spans="1:6" ht="30" customHeight="1">
      <c r="A3" s="1075"/>
      <c r="B3" s="1076"/>
      <c r="C3" s="1076"/>
      <c r="D3" s="1078"/>
      <c r="E3" s="1081" t="s">
        <v>662</v>
      </c>
      <c r="F3" s="1082"/>
    </row>
    <row r="4" spans="1:6" ht="9" customHeight="1">
      <c r="A4" s="97"/>
      <c r="B4" s="98"/>
      <c r="C4" s="98"/>
      <c r="D4" s="98"/>
      <c r="E4" s="98"/>
      <c r="F4" s="99"/>
    </row>
    <row r="5" spans="1:6" ht="17.850000000000001" customHeight="1">
      <c r="A5" s="100"/>
      <c r="B5" s="101"/>
      <c r="C5" s="101"/>
      <c r="D5" s="101"/>
      <c r="E5" s="101"/>
      <c r="F5" s="102"/>
    </row>
    <row r="6" spans="1:6" ht="30" customHeight="1">
      <c r="A6" s="103"/>
      <c r="B6" s="1086" t="s">
        <v>663</v>
      </c>
      <c r="C6" s="1086"/>
      <c r="D6" s="1086"/>
      <c r="E6" s="1086"/>
      <c r="F6" s="104"/>
    </row>
    <row r="7" spans="1:6" ht="19.5" customHeight="1">
      <c r="A7" s="103"/>
      <c r="B7" s="69" t="s">
        <v>664</v>
      </c>
      <c r="C7" s="69" t="s">
        <v>665</v>
      </c>
      <c r="D7" s="1078" t="s">
        <v>666</v>
      </c>
      <c r="E7" s="1078"/>
      <c r="F7" s="105"/>
    </row>
    <row r="8" spans="1:6" ht="15">
      <c r="A8" s="106"/>
      <c r="B8" s="68">
        <v>1</v>
      </c>
      <c r="C8" s="107">
        <v>44226</v>
      </c>
      <c r="D8" s="1087" t="s">
        <v>667</v>
      </c>
      <c r="E8" s="1087"/>
      <c r="F8" s="99"/>
    </row>
    <row r="9" spans="1:6">
      <c r="A9" s="97"/>
      <c r="B9" s="98"/>
      <c r="C9" s="98"/>
      <c r="D9" s="98"/>
      <c r="E9" s="98"/>
      <c r="F9" s="99"/>
    </row>
    <row r="10" spans="1:6" ht="19.5" customHeight="1">
      <c r="A10" s="108"/>
      <c r="B10" s="109"/>
      <c r="C10" s="109"/>
      <c r="D10" s="109"/>
      <c r="E10" s="110"/>
      <c r="F10" s="111"/>
    </row>
    <row r="11" spans="1:6" ht="19.5" customHeight="1">
      <c r="A11" s="97"/>
      <c r="B11" s="98"/>
      <c r="C11" s="98"/>
      <c r="D11" s="98"/>
      <c r="E11" s="112"/>
      <c r="F11" s="113"/>
    </row>
    <row r="12" spans="1:6" ht="19.5" customHeight="1">
      <c r="A12" s="114"/>
      <c r="B12" s="109"/>
      <c r="C12" s="98"/>
      <c r="D12" s="98"/>
      <c r="E12" s="98"/>
      <c r="F12" s="99"/>
    </row>
    <row r="13" spans="1:6" ht="19.5" customHeight="1">
      <c r="A13" s="114"/>
      <c r="B13" s="109"/>
      <c r="C13" s="115"/>
      <c r="D13" s="109"/>
      <c r="E13" s="109"/>
      <c r="F13" s="111"/>
    </row>
    <row r="14" spans="1:6" ht="19.5" customHeight="1">
      <c r="A14" s="116"/>
      <c r="B14" s="110"/>
      <c r="C14" s="110"/>
      <c r="D14" s="110"/>
      <c r="E14" s="110"/>
      <c r="F14" s="117"/>
    </row>
    <row r="15" spans="1:6" ht="16.350000000000001" customHeight="1">
      <c r="A15" s="116"/>
      <c r="B15" s="110"/>
      <c r="C15" s="110"/>
      <c r="D15" s="110"/>
      <c r="E15" s="109"/>
      <c r="F15" s="111"/>
    </row>
    <row r="16" spans="1:6" ht="16.350000000000001" customHeight="1">
      <c r="A16" s="114"/>
      <c r="B16" s="109"/>
      <c r="C16" s="115"/>
      <c r="D16" s="115"/>
      <c r="E16" s="115"/>
      <c r="F16" s="118"/>
    </row>
    <row r="17" spans="1:6" ht="16.350000000000001" customHeight="1">
      <c r="A17" s="114"/>
      <c r="B17" s="109"/>
      <c r="C17" s="115"/>
      <c r="D17" s="115"/>
      <c r="E17" s="115"/>
      <c r="F17" s="118"/>
    </row>
    <row r="18" spans="1:6" ht="16.350000000000001" customHeight="1">
      <c r="A18" s="119"/>
      <c r="B18" s="120"/>
      <c r="C18" s="120"/>
      <c r="D18" s="120"/>
      <c r="E18" s="115"/>
      <c r="F18" s="118"/>
    </row>
    <row r="19" spans="1:6" ht="16.350000000000001" customHeight="1">
      <c r="A19" s="121"/>
      <c r="B19" s="115"/>
      <c r="C19" s="115"/>
      <c r="D19" s="115"/>
      <c r="E19" s="115"/>
      <c r="F19" s="118"/>
    </row>
    <row r="20" spans="1:6" ht="16.350000000000001" customHeight="1">
      <c r="A20" s="116"/>
      <c r="B20" s="110"/>
      <c r="C20" s="110"/>
      <c r="D20" s="109"/>
      <c r="E20" s="109"/>
      <c r="F20" s="111"/>
    </row>
    <row r="21" spans="1:6" ht="16.350000000000001" customHeight="1">
      <c r="A21" s="116"/>
      <c r="B21" s="110"/>
      <c r="C21" s="110"/>
      <c r="D21" s="109"/>
      <c r="E21" s="109"/>
      <c r="F21" s="111"/>
    </row>
    <row r="22" spans="1:6" ht="16.350000000000001" customHeight="1">
      <c r="A22" s="121"/>
      <c r="B22" s="115"/>
      <c r="C22" s="115"/>
      <c r="D22" s="115"/>
      <c r="E22" s="115"/>
      <c r="F22" s="118"/>
    </row>
    <row r="23" spans="1:6" ht="16.350000000000001" customHeight="1">
      <c r="A23" s="121"/>
      <c r="B23" s="115"/>
      <c r="C23" s="115"/>
      <c r="D23" s="115"/>
      <c r="E23" s="115"/>
      <c r="F23" s="118"/>
    </row>
    <row r="24" spans="1:6" ht="16.350000000000001" customHeight="1">
      <c r="A24" s="121"/>
      <c r="B24" s="115"/>
      <c r="C24" s="115"/>
      <c r="D24" s="115"/>
      <c r="E24" s="115"/>
      <c r="F24" s="118"/>
    </row>
    <row r="25" spans="1:6" ht="25.5" customHeight="1">
      <c r="A25" s="1095" t="s">
        <v>669</v>
      </c>
      <c r="B25" s="1096"/>
      <c r="C25" s="1097"/>
      <c r="D25" s="122" t="s">
        <v>670</v>
      </c>
      <c r="E25" s="1093" t="s">
        <v>671</v>
      </c>
      <c r="F25" s="1094"/>
    </row>
    <row r="26" spans="1:6" ht="65.25" customHeight="1">
      <c r="A26" s="1090" t="s">
        <v>668</v>
      </c>
      <c r="B26" s="1091"/>
      <c r="C26" s="1092"/>
      <c r="D26" s="123" t="s">
        <v>672</v>
      </c>
      <c r="E26" s="1088" t="s">
        <v>673</v>
      </c>
      <c r="F26" s="1089"/>
    </row>
    <row r="27" spans="1:6" ht="21" customHeight="1">
      <c r="A27" s="121"/>
      <c r="B27" s="115"/>
      <c r="C27" s="115"/>
      <c r="D27" s="115"/>
      <c r="E27" s="115"/>
      <c r="F27" s="118"/>
    </row>
    <row r="28" spans="1:6" ht="39.75" customHeight="1">
      <c r="A28" s="1083" t="s">
        <v>658</v>
      </c>
      <c r="B28" s="1084"/>
      <c r="C28" s="1084"/>
      <c r="D28" s="1084"/>
      <c r="E28" s="1084"/>
      <c r="F28" s="1085"/>
    </row>
    <row r="29" spans="1:6" ht="17.25" customHeight="1" thickBot="1">
      <c r="A29" s="124"/>
      <c r="B29" s="125"/>
      <c r="C29" s="125"/>
      <c r="D29" s="125"/>
      <c r="E29" s="125"/>
      <c r="F29" s="126"/>
    </row>
    <row r="30" spans="1:6" ht="27" customHeight="1"/>
    <row r="31" spans="1:6" ht="15.6" customHeight="1">
      <c r="A31" s="127"/>
      <c r="B31" s="127"/>
      <c r="C31" s="127"/>
      <c r="D31" s="127"/>
      <c r="E31" s="127"/>
      <c r="F31" s="127"/>
    </row>
    <row r="32" spans="1:6" ht="13.5" customHeight="1">
      <c r="A32" s="128"/>
      <c r="B32" s="98"/>
      <c r="C32" s="98"/>
      <c r="D32" s="98"/>
      <c r="E32" s="98"/>
      <c r="F32" s="98"/>
    </row>
    <row r="33" spans="1:6" ht="18" customHeight="1">
      <c r="A33" s="98"/>
      <c r="B33" s="129"/>
      <c r="C33" s="98"/>
      <c r="D33" s="98"/>
      <c r="E33" s="98"/>
      <c r="F33" s="98"/>
    </row>
    <row r="34" spans="1:6" ht="13.5" customHeight="1">
      <c r="A34" s="127"/>
      <c r="B34" s="127"/>
      <c r="C34" s="127"/>
      <c r="D34" s="127"/>
      <c r="E34" s="115"/>
      <c r="F34" s="115"/>
    </row>
    <row r="35" spans="1:6" ht="15.6" customHeight="1">
      <c r="A35" s="127"/>
      <c r="B35" s="127"/>
      <c r="C35" s="127"/>
      <c r="D35" s="127"/>
      <c r="E35" s="127"/>
      <c r="F35" s="127"/>
    </row>
    <row r="36" spans="1:6" ht="15.6" customHeight="1">
      <c r="A36" s="127"/>
      <c r="B36" s="127"/>
      <c r="C36" s="127"/>
      <c r="D36" s="127"/>
      <c r="E36" s="127"/>
      <c r="F36" s="127"/>
    </row>
    <row r="37" spans="1:6" ht="11.1" customHeight="1">
      <c r="A37" s="98"/>
      <c r="B37" s="98"/>
      <c r="C37" s="98"/>
      <c r="D37" s="98"/>
      <c r="E37" s="98"/>
      <c r="F37" s="98"/>
    </row>
    <row r="38" spans="1:6" ht="11.25" customHeight="1">
      <c r="A38" s="130"/>
      <c r="B38" s="130"/>
      <c r="C38" s="130"/>
      <c r="D38" s="130"/>
      <c r="E38" s="130"/>
      <c r="F38" s="130"/>
    </row>
    <row r="39" spans="1:6" ht="7.5" customHeight="1">
      <c r="A39" s="98"/>
      <c r="B39" s="98"/>
      <c r="C39" s="98"/>
      <c r="D39" s="98"/>
      <c r="E39" s="98"/>
      <c r="F39" s="98"/>
    </row>
    <row r="40" spans="1:6" ht="16.5" customHeight="1">
      <c r="A40" s="109"/>
      <c r="B40" s="109"/>
      <c r="C40" s="109"/>
      <c r="D40" s="109"/>
      <c r="E40" s="109"/>
      <c r="F40" s="109"/>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073"/>
      <c r="B1" s="1074"/>
      <c r="C1" s="1074"/>
      <c r="D1" s="1077" t="s">
        <v>659</v>
      </c>
      <c r="E1" s="1079" t="s">
        <v>660</v>
      </c>
      <c r="F1" s="1080"/>
    </row>
    <row r="2" spans="1:6" ht="23.25" customHeight="1">
      <c r="A2" s="1075"/>
      <c r="B2" s="1076"/>
      <c r="C2" s="1076"/>
      <c r="D2" s="1078"/>
      <c r="E2" s="95" t="s">
        <v>675</v>
      </c>
      <c r="F2" s="96" t="s">
        <v>674</v>
      </c>
    </row>
    <row r="3" spans="1:6" ht="28.5" customHeight="1">
      <c r="A3" s="1075"/>
      <c r="B3" s="1076"/>
      <c r="C3" s="1076"/>
      <c r="D3" s="1078"/>
      <c r="E3" s="1081" t="s">
        <v>662</v>
      </c>
      <c r="F3" s="1082"/>
    </row>
    <row r="4" spans="1:6" ht="9" customHeight="1">
      <c r="A4" s="97"/>
      <c r="B4" s="98"/>
      <c r="C4" s="98"/>
      <c r="D4" s="98"/>
      <c r="E4" s="98"/>
      <c r="F4" s="99"/>
    </row>
    <row r="5" spans="1:6" ht="17.850000000000001" customHeight="1">
      <c r="A5" s="1098" t="s">
        <v>676</v>
      </c>
      <c r="B5" s="1099"/>
      <c r="C5" s="1099"/>
      <c r="D5" s="1099"/>
      <c r="E5" s="1099"/>
      <c r="F5" s="1100"/>
    </row>
    <row r="6" spans="1:6" ht="30" customHeight="1">
      <c r="A6" s="1101"/>
      <c r="B6" s="1099"/>
      <c r="C6" s="1099"/>
      <c r="D6" s="1099"/>
      <c r="E6" s="1099"/>
      <c r="F6" s="1100"/>
    </row>
    <row r="7" spans="1:6" ht="19.5" customHeight="1">
      <c r="A7" s="1101"/>
      <c r="B7" s="1099"/>
      <c r="C7" s="1099"/>
      <c r="D7" s="1099"/>
      <c r="E7" s="1099"/>
      <c r="F7" s="1100"/>
    </row>
    <row r="8" spans="1:6" ht="15" customHeight="1">
      <c r="A8" s="1101"/>
      <c r="B8" s="1099"/>
      <c r="C8" s="1099"/>
      <c r="D8" s="1099"/>
      <c r="E8" s="1099"/>
      <c r="F8" s="1100"/>
    </row>
    <row r="9" spans="1:6">
      <c r="A9" s="1101"/>
      <c r="B9" s="1099"/>
      <c r="C9" s="1099"/>
      <c r="D9" s="1099"/>
      <c r="E9" s="1099"/>
      <c r="F9" s="1100"/>
    </row>
    <row r="10" spans="1:6" ht="19.5" customHeight="1">
      <c r="A10" s="1101"/>
      <c r="B10" s="1099"/>
      <c r="C10" s="1099"/>
      <c r="D10" s="1099"/>
      <c r="E10" s="1099"/>
      <c r="F10" s="1100"/>
    </row>
    <row r="11" spans="1:6" ht="19.5" customHeight="1">
      <c r="A11" s="1101"/>
      <c r="B11" s="1099"/>
      <c r="C11" s="1099"/>
      <c r="D11" s="1099"/>
      <c r="E11" s="1099"/>
      <c r="F11" s="1100"/>
    </row>
    <row r="12" spans="1:6" ht="19.5" customHeight="1">
      <c r="A12" s="1101"/>
      <c r="B12" s="1099"/>
      <c r="C12" s="1099"/>
      <c r="D12" s="1099"/>
      <c r="E12" s="1099"/>
      <c r="F12" s="1100"/>
    </row>
    <row r="13" spans="1:6" ht="19.5" customHeight="1">
      <c r="A13" s="1101"/>
      <c r="B13" s="1099"/>
      <c r="C13" s="1099"/>
      <c r="D13" s="1099"/>
      <c r="E13" s="1099"/>
      <c r="F13" s="1100"/>
    </row>
    <row r="14" spans="1:6" ht="19.5" customHeight="1">
      <c r="A14" s="1101"/>
      <c r="B14" s="1099"/>
      <c r="C14" s="1099"/>
      <c r="D14" s="1099"/>
      <c r="E14" s="1099"/>
      <c r="F14" s="1100"/>
    </row>
    <row r="15" spans="1:6" ht="16.350000000000001" customHeight="1">
      <c r="A15" s="1101"/>
      <c r="B15" s="1099"/>
      <c r="C15" s="1099"/>
      <c r="D15" s="1099"/>
      <c r="E15" s="1099"/>
      <c r="F15" s="1100"/>
    </row>
    <row r="16" spans="1:6" ht="16.350000000000001" customHeight="1">
      <c r="A16" s="1101"/>
      <c r="B16" s="1099"/>
      <c r="C16" s="1099"/>
      <c r="D16" s="1099"/>
      <c r="E16" s="1099"/>
      <c r="F16" s="1100"/>
    </row>
    <row r="17" spans="1:6" ht="16.350000000000001" customHeight="1">
      <c r="A17" s="1101"/>
      <c r="B17" s="1099"/>
      <c r="C17" s="1099"/>
      <c r="D17" s="1099"/>
      <c r="E17" s="1099"/>
      <c r="F17" s="1100"/>
    </row>
    <row r="18" spans="1:6" ht="16.350000000000001" customHeight="1">
      <c r="A18" s="1101"/>
      <c r="B18" s="1099"/>
      <c r="C18" s="1099"/>
      <c r="D18" s="1099"/>
      <c r="E18" s="1099"/>
      <c r="F18" s="1100"/>
    </row>
    <row r="19" spans="1:6" ht="16.350000000000001" customHeight="1">
      <c r="A19" s="1101"/>
      <c r="B19" s="1099"/>
      <c r="C19" s="1099"/>
      <c r="D19" s="1099"/>
      <c r="E19" s="1099"/>
      <c r="F19" s="1100"/>
    </row>
    <row r="20" spans="1:6" ht="16.350000000000001" customHeight="1">
      <c r="A20" s="1101"/>
      <c r="B20" s="1099"/>
      <c r="C20" s="1099"/>
      <c r="D20" s="1099"/>
      <c r="E20" s="1099"/>
      <c r="F20" s="1100"/>
    </row>
    <row r="21" spans="1:6" ht="16.350000000000001" customHeight="1">
      <c r="A21" s="1101"/>
      <c r="B21" s="1099"/>
      <c r="C21" s="1099"/>
      <c r="D21" s="1099"/>
      <c r="E21" s="1099"/>
      <c r="F21" s="1100"/>
    </row>
    <row r="22" spans="1:6" ht="16.350000000000001" customHeight="1">
      <c r="A22" s="1101"/>
      <c r="B22" s="1099"/>
      <c r="C22" s="1099"/>
      <c r="D22" s="1099"/>
      <c r="E22" s="1099"/>
      <c r="F22" s="1100"/>
    </row>
    <row r="23" spans="1:6" ht="16.350000000000001" customHeight="1">
      <c r="A23" s="1101"/>
      <c r="B23" s="1099"/>
      <c r="C23" s="1099"/>
      <c r="D23" s="1099"/>
      <c r="E23" s="1099"/>
      <c r="F23" s="1100"/>
    </row>
    <row r="24" spans="1:6" ht="16.350000000000001" customHeight="1">
      <c r="A24" s="1101"/>
      <c r="B24" s="1099"/>
      <c r="C24" s="1099"/>
      <c r="D24" s="1099"/>
      <c r="E24" s="1099"/>
      <c r="F24" s="1100"/>
    </row>
    <row r="25" spans="1:6" ht="25.5" customHeight="1">
      <c r="A25" s="1102"/>
      <c r="B25" s="1103"/>
      <c r="C25" s="1103"/>
      <c r="D25" s="131"/>
      <c r="E25" s="1104"/>
      <c r="F25" s="1105"/>
    </row>
    <row r="26" spans="1:6" ht="65.25" customHeight="1">
      <c r="A26" s="1106"/>
      <c r="B26" s="1107"/>
      <c r="C26" s="1107"/>
      <c r="D26" s="132"/>
      <c r="E26" s="1108"/>
      <c r="F26" s="1109"/>
    </row>
    <row r="27" spans="1:6" ht="21" customHeight="1">
      <c r="A27" s="121"/>
      <c r="B27" s="115"/>
      <c r="C27" s="115"/>
      <c r="D27" s="115"/>
      <c r="E27" s="115"/>
      <c r="F27" s="118"/>
    </row>
    <row r="28" spans="1:6" ht="39.75" customHeight="1" thickBot="1">
      <c r="A28" s="1110" t="s">
        <v>658</v>
      </c>
      <c r="B28" s="1111"/>
      <c r="C28" s="1111"/>
      <c r="D28" s="1111"/>
      <c r="E28" s="1111"/>
      <c r="F28" s="1112"/>
    </row>
    <row r="29" spans="1:6" ht="27" customHeight="1"/>
    <row r="30" spans="1:6" ht="15.6" customHeight="1">
      <c r="A30" s="127"/>
      <c r="B30" s="127"/>
      <c r="C30" s="127"/>
      <c r="D30" s="127"/>
      <c r="E30" s="127"/>
      <c r="F30" s="127"/>
    </row>
    <row r="31" spans="1:6" ht="13.5" customHeight="1">
      <c r="A31" s="128"/>
      <c r="B31" s="98"/>
      <c r="C31" s="98"/>
      <c r="D31" s="98"/>
      <c r="E31" s="98"/>
      <c r="F31" s="98"/>
    </row>
    <row r="32" spans="1:6" ht="18" customHeight="1">
      <c r="A32" s="98"/>
      <c r="B32" s="129"/>
      <c r="C32" s="98"/>
      <c r="D32" s="98"/>
      <c r="E32" s="98"/>
      <c r="F32" s="98"/>
    </row>
    <row r="33" spans="1:6" ht="13.5" customHeight="1">
      <c r="A33" s="127"/>
      <c r="B33" s="127"/>
      <c r="C33" s="127"/>
      <c r="D33" s="127"/>
      <c r="E33" s="115"/>
      <c r="F33" s="115"/>
    </row>
    <row r="34" spans="1:6" ht="15.6" customHeight="1">
      <c r="A34" s="127"/>
      <c r="B34" s="127"/>
      <c r="C34" s="127"/>
      <c r="D34" s="127"/>
      <c r="E34" s="127"/>
      <c r="F34" s="127"/>
    </row>
    <row r="35" spans="1:6" ht="15.6" customHeight="1">
      <c r="A35" s="127"/>
      <c r="B35" s="127"/>
      <c r="C35" s="127"/>
      <c r="D35" s="127"/>
      <c r="E35" s="127"/>
      <c r="F35" s="127"/>
    </row>
    <row r="36" spans="1:6" ht="11.1" customHeight="1">
      <c r="A36" s="98"/>
      <c r="B36" s="98"/>
      <c r="C36" s="98"/>
      <c r="D36" s="98"/>
      <c r="E36" s="98"/>
      <c r="F36" s="98"/>
    </row>
    <row r="37" spans="1:6" ht="11.25" customHeight="1">
      <c r="A37" s="130"/>
      <c r="B37" s="130"/>
      <c r="C37" s="130"/>
      <c r="D37" s="130"/>
      <c r="E37" s="130"/>
      <c r="F37" s="130"/>
    </row>
    <row r="38" spans="1:6" ht="7.5" customHeight="1">
      <c r="A38" s="98"/>
      <c r="B38" s="98"/>
      <c r="C38" s="98"/>
      <c r="D38" s="98"/>
      <c r="E38" s="98"/>
      <c r="F38" s="98"/>
    </row>
    <row r="39" spans="1:6" ht="16.5" customHeight="1">
      <c r="A39" s="109"/>
      <c r="B39" s="109"/>
      <c r="C39" s="109"/>
      <c r="D39" s="109"/>
      <c r="E39" s="109"/>
      <c r="F39" s="109"/>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25:C25"/>
    <mergeCell ref="E25:F25"/>
    <mergeCell ref="A26:C26"/>
    <mergeCell ref="E26:F26"/>
    <mergeCell ref="A28:F28"/>
    <mergeCell ref="A5:F24"/>
    <mergeCell ref="A1:C3"/>
    <mergeCell ref="D1:D3"/>
    <mergeCell ref="E1:F1"/>
    <mergeCell ref="E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525" t="s">
        <v>801</v>
      </c>
      <c r="B1" s="525" t="s">
        <v>802</v>
      </c>
      <c r="C1" s="525" t="s">
        <v>803</v>
      </c>
      <c r="D1" s="525" t="s">
        <v>804</v>
      </c>
      <c r="E1" s="525" t="s">
        <v>805</v>
      </c>
      <c r="F1" s="525" t="s">
        <v>806</v>
      </c>
      <c r="G1" s="526" t="s">
        <v>807</v>
      </c>
    </row>
    <row r="2" spans="1:7">
      <c r="A2" s="527" t="s">
        <v>775</v>
      </c>
      <c r="B2" s="527" t="s">
        <v>808</v>
      </c>
      <c r="C2" s="528" t="s">
        <v>809</v>
      </c>
      <c r="D2" s="529" t="s">
        <v>810</v>
      </c>
      <c r="E2" s="529" t="s">
        <v>811</v>
      </c>
      <c r="F2" s="529" t="s">
        <v>812</v>
      </c>
      <c r="G2" s="530" t="s">
        <v>781</v>
      </c>
    </row>
    <row r="3" spans="1:7">
      <c r="A3" s="527" t="s">
        <v>777</v>
      </c>
      <c r="B3" s="527" t="s">
        <v>808</v>
      </c>
      <c r="C3" s="528" t="s">
        <v>813</v>
      </c>
      <c r="D3" s="529" t="s">
        <v>814</v>
      </c>
      <c r="E3" s="529" t="s">
        <v>815</v>
      </c>
      <c r="F3" s="529" t="s">
        <v>816</v>
      </c>
      <c r="G3" s="530" t="s">
        <v>776</v>
      </c>
    </row>
    <row r="4" spans="1:7" ht="14.4">
      <c r="A4" s="527" t="s">
        <v>778</v>
      </c>
      <c r="B4" s="527" t="s">
        <v>808</v>
      </c>
      <c r="C4" s="528" t="s">
        <v>817</v>
      </c>
      <c r="D4" s="529" t="s">
        <v>818</v>
      </c>
      <c r="E4" s="529" t="s">
        <v>819</v>
      </c>
      <c r="F4" s="531"/>
      <c r="G4" s="532" t="s">
        <v>793</v>
      </c>
    </row>
    <row r="5" spans="1:7" ht="14.4">
      <c r="A5" s="527" t="s">
        <v>779</v>
      </c>
      <c r="B5" s="527" t="s">
        <v>808</v>
      </c>
      <c r="C5" s="527" t="s">
        <v>820</v>
      </c>
      <c r="D5" s="531"/>
      <c r="E5" s="531"/>
      <c r="F5" s="531"/>
      <c r="G5" s="532" t="s">
        <v>821</v>
      </c>
    </row>
    <row r="6" spans="1:7" ht="14.4">
      <c r="A6" s="527" t="s">
        <v>780</v>
      </c>
      <c r="B6" s="527" t="s">
        <v>822</v>
      </c>
      <c r="C6" s="528" t="s">
        <v>823</v>
      </c>
      <c r="D6" s="531"/>
      <c r="E6" s="531"/>
      <c r="F6" s="531"/>
      <c r="G6" s="532" t="s">
        <v>824</v>
      </c>
    </row>
    <row r="7" spans="1:7" ht="14.4">
      <c r="A7" s="527" t="s">
        <v>782</v>
      </c>
      <c r="B7" s="527" t="s">
        <v>822</v>
      </c>
      <c r="C7" s="528" t="s">
        <v>825</v>
      </c>
      <c r="D7" s="531"/>
      <c r="E7" s="531"/>
      <c r="F7" s="531"/>
      <c r="G7" s="522"/>
    </row>
    <row r="8" spans="1:7" ht="14.4">
      <c r="A8" s="527" t="s">
        <v>783</v>
      </c>
      <c r="B8" s="527" t="s">
        <v>822</v>
      </c>
      <c r="C8" s="528" t="s">
        <v>826</v>
      </c>
      <c r="D8" s="531"/>
      <c r="E8" s="531"/>
      <c r="F8" s="531"/>
      <c r="G8" s="522"/>
    </row>
    <row r="9" spans="1:7" ht="14.4">
      <c r="A9" s="527" t="s">
        <v>784</v>
      </c>
      <c r="B9" s="527" t="s">
        <v>827</v>
      </c>
      <c r="C9" s="528" t="s">
        <v>828</v>
      </c>
      <c r="D9" s="531"/>
      <c r="E9" s="531"/>
      <c r="F9" s="531"/>
      <c r="G9" s="522"/>
    </row>
    <row r="10" spans="1:7" ht="14.4">
      <c r="A10" s="527" t="s">
        <v>785</v>
      </c>
      <c r="B10" s="527" t="s">
        <v>827</v>
      </c>
      <c r="C10" s="531"/>
      <c r="D10" s="531"/>
      <c r="E10" s="531"/>
      <c r="F10" s="531"/>
      <c r="G10" s="522"/>
    </row>
    <row r="11" spans="1:7" ht="14.4">
      <c r="A11" s="527" t="s">
        <v>786</v>
      </c>
      <c r="B11" s="527" t="s">
        <v>827</v>
      </c>
      <c r="C11" s="531"/>
      <c r="D11" s="531"/>
      <c r="E11" s="531"/>
      <c r="F11" s="531"/>
      <c r="G11" s="522"/>
    </row>
    <row r="12" spans="1:7" ht="14.4">
      <c r="A12" s="527" t="s">
        <v>787</v>
      </c>
      <c r="B12" s="527" t="s">
        <v>827</v>
      </c>
      <c r="C12" s="528"/>
      <c r="D12" s="531"/>
      <c r="E12" s="531"/>
      <c r="F12" s="531"/>
      <c r="G12" s="522"/>
    </row>
    <row r="13" spans="1:7" ht="14.4">
      <c r="A13" s="527" t="s">
        <v>788</v>
      </c>
      <c r="B13" s="527" t="s">
        <v>829</v>
      </c>
      <c r="C13" s="528"/>
      <c r="D13" s="531"/>
      <c r="E13" s="531"/>
      <c r="F13" s="531"/>
      <c r="G13" s="522"/>
    </row>
    <row r="14" spans="1:7" ht="14.4">
      <c r="A14" s="527" t="s">
        <v>789</v>
      </c>
      <c r="B14" s="527" t="s">
        <v>827</v>
      </c>
      <c r="C14" s="528"/>
      <c r="D14" s="531"/>
      <c r="E14" s="531"/>
      <c r="F14" s="531"/>
      <c r="G14" s="522"/>
    </row>
    <row r="15" spans="1:7" ht="14.4">
      <c r="A15" s="527" t="s">
        <v>790</v>
      </c>
      <c r="B15" s="527" t="s">
        <v>808</v>
      </c>
      <c r="C15" s="528"/>
      <c r="D15" s="531"/>
      <c r="E15" s="531"/>
      <c r="F15" s="531"/>
      <c r="G15" s="522"/>
    </row>
    <row r="16" spans="1:7" ht="14.4">
      <c r="A16" s="527" t="s">
        <v>791</v>
      </c>
      <c r="B16" s="527" t="s">
        <v>829</v>
      </c>
      <c r="C16" s="528"/>
      <c r="D16" s="531"/>
      <c r="E16" s="531"/>
      <c r="F16" s="531"/>
      <c r="G16" s="522"/>
    </row>
    <row r="17" spans="1:6" ht="14.4">
      <c r="A17" s="527" t="s">
        <v>792</v>
      </c>
      <c r="B17" s="527" t="s">
        <v>829</v>
      </c>
      <c r="C17" s="528"/>
      <c r="D17" s="531"/>
      <c r="E17" s="531"/>
      <c r="F17" s="531"/>
    </row>
    <row r="20" spans="1:6" ht="14.4">
      <c r="A20" s="533" t="s">
        <v>830</v>
      </c>
      <c r="B20" s="531"/>
      <c r="C20" s="531"/>
      <c r="D20" s="531"/>
      <c r="E20" s="531"/>
      <c r="F20" s="531"/>
    </row>
    <row r="21" spans="1:6" ht="14.4">
      <c r="A21" s="527" t="s">
        <v>831</v>
      </c>
      <c r="B21" s="531"/>
      <c r="C21" s="531"/>
      <c r="D21" s="531"/>
      <c r="E21" s="531"/>
      <c r="F21" s="531"/>
    </row>
    <row r="22" spans="1:6" ht="14.4">
      <c r="A22" s="531"/>
      <c r="B22" s="531"/>
      <c r="C22" s="531"/>
      <c r="D22" s="531"/>
      <c r="E22" s="531"/>
      <c r="F22" s="531"/>
    </row>
    <row r="23" spans="1:6" ht="14.4">
      <c r="A23" s="531"/>
      <c r="B23" s="531"/>
      <c r="C23" s="531"/>
      <c r="D23" s="531"/>
      <c r="E23" s="531"/>
      <c r="F23" s="531"/>
    </row>
    <row r="24" spans="1:6">
      <c r="A24" s="534"/>
      <c r="B24" s="534"/>
      <c r="C24" s="534"/>
      <c r="D24" s="535"/>
      <c r="E24" s="535"/>
      <c r="F24" s="535"/>
    </row>
    <row r="25" spans="1:6">
      <c r="A25" s="534"/>
      <c r="B25" s="534"/>
      <c r="C25" s="534"/>
      <c r="D25" s="535"/>
      <c r="E25" s="535"/>
      <c r="F25" s="535"/>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7"/>
  <sheetViews>
    <sheetView showGridLines="0" workbookViewId="0">
      <pane xSplit="5" ySplit="4" topLeftCell="J5" activePane="bottomRight" state="frozen"/>
      <selection activeCell="B8" sqref="B8:E8"/>
      <selection pane="topRight" activeCell="B8" sqref="B8:E8"/>
      <selection pane="bottomLeft" activeCell="B8" sqref="B8:E8"/>
      <selection pane="bottomRight" activeCell="E8" sqref="E8"/>
    </sheetView>
  </sheetViews>
  <sheetFormatPr baseColWidth="10" defaultColWidth="11.44140625" defaultRowHeight="13.2"/>
  <cols>
    <col min="1" max="1" width="1.6640625" customWidth="1"/>
    <col min="2" max="2" width="6.5546875" style="506" customWidth="1"/>
    <col min="3" max="3" width="36.33203125" style="507" customWidth="1"/>
    <col min="4" max="4" width="16" style="506" customWidth="1"/>
    <col min="5" max="6" width="41.88671875" style="508" customWidth="1"/>
    <col min="7" max="7" width="25" style="506" customWidth="1"/>
    <col min="8" max="8" width="19" customWidth="1"/>
    <col min="9" max="9" width="13.109375" customWidth="1"/>
    <col min="10" max="13" width="11.44140625" customWidth="1"/>
    <col min="14" max="15" width="15.5546875" customWidth="1"/>
    <col min="16" max="16" width="15.33203125" style="506" customWidth="1"/>
    <col min="17" max="17" width="12.6640625" style="506" customWidth="1"/>
    <col min="18" max="18" width="48.5546875" style="521" customWidth="1"/>
  </cols>
  <sheetData>
    <row r="2" spans="2:18" ht="17.399999999999999">
      <c r="B2" s="1115" t="s">
        <v>765</v>
      </c>
      <c r="C2" s="1115"/>
      <c r="D2" s="1115"/>
      <c r="E2" s="1115"/>
      <c r="F2" s="1115"/>
      <c r="G2" s="1115"/>
      <c r="H2" s="1115"/>
      <c r="I2" s="1115"/>
      <c r="J2" s="1115"/>
      <c r="K2" s="1115"/>
      <c r="L2" s="1115"/>
      <c r="M2" s="1115"/>
      <c r="N2" s="1115"/>
      <c r="O2" s="1115"/>
    </row>
    <row r="3" spans="2:18" ht="17.25" customHeight="1">
      <c r="B3" s="488"/>
      <c r="C3" s="488"/>
      <c r="D3" s="489"/>
      <c r="E3" s="489"/>
      <c r="F3" s="489"/>
      <c r="G3" s="489"/>
      <c r="H3" s="1116" t="s">
        <v>766</v>
      </c>
      <c r="I3" s="1116"/>
      <c r="J3" s="1116"/>
      <c r="K3" s="1116"/>
      <c r="L3" s="1116"/>
      <c r="M3" s="1116"/>
      <c r="N3" s="1116"/>
      <c r="O3" s="1116"/>
    </row>
    <row r="4" spans="2:18" ht="52.95" customHeight="1">
      <c r="B4" s="490" t="s">
        <v>767</v>
      </c>
      <c r="C4" s="490" t="s">
        <v>768</v>
      </c>
      <c r="D4" s="491" t="s">
        <v>769</v>
      </c>
      <c r="E4" s="492" t="s">
        <v>770</v>
      </c>
      <c r="F4" s="492" t="s">
        <v>800</v>
      </c>
      <c r="G4" s="492" t="s">
        <v>771</v>
      </c>
      <c r="H4" s="1117" t="s">
        <v>772</v>
      </c>
      <c r="I4" s="1118"/>
      <c r="J4" s="1119" t="s">
        <v>773</v>
      </c>
      <c r="K4" s="1120"/>
      <c r="L4" s="1120"/>
      <c r="M4" s="1121"/>
      <c r="N4" s="1122" t="s">
        <v>774</v>
      </c>
      <c r="O4" s="1123"/>
      <c r="P4" s="514" t="s">
        <v>864</v>
      </c>
      <c r="Q4" s="514" t="s">
        <v>865</v>
      </c>
      <c r="R4" s="501" t="s">
        <v>863</v>
      </c>
    </row>
    <row r="5" spans="2:18" ht="57.6" customHeight="1">
      <c r="B5" s="493">
        <v>1</v>
      </c>
      <c r="C5" s="494" t="s">
        <v>775</v>
      </c>
      <c r="D5" s="493" t="s">
        <v>794</v>
      </c>
      <c r="E5" s="509" t="str">
        <f>+'01-DIRECCIONAMIENTO ESTRATÉGICO'!I16</f>
        <v xml:space="preserve">Porcentaje de acciones implementadas para la sostenibilidad y mejora del SGC </v>
      </c>
      <c r="F5" s="509" t="str">
        <f>'01-DIRECCIONAMIENTO ESTRATÉGICO'!J16</f>
        <v xml:space="preserve"> Grado de avance en la implementación de acciones para la sostenibilidad y mejora del SGC</v>
      </c>
      <c r="G5" s="493" t="s">
        <v>810</v>
      </c>
      <c r="H5" s="496" t="s">
        <v>781</v>
      </c>
      <c r="I5" s="497">
        <v>95</v>
      </c>
      <c r="J5" s="498" t="str">
        <f t="shared" ref="J5:J36" si="0">IF(OR($H5="Mayor A:",$H5="Menor A:"),"Desde (&gt;=):",
IF(OR($H5="Mayor o Igual A:",$H5="Menor o Igual A:"),"Desde (&gt;):",
IF($H5="Igual A:","No Aplica",
IF($H5="",""))))</f>
        <v>Desde (&gt;=):</v>
      </c>
      <c r="K5" s="498">
        <f t="shared" ref="K5:K64" si="1">IF(I5&gt;O5,O5,
IF(I5&lt;O5,I5,
IF(I5=O5,"No Aplica","")))</f>
        <v>80</v>
      </c>
      <c r="L5" s="498" t="str">
        <f t="shared" ref="L5:L36" si="2">IF(OR($H5="Mayor A:",$H5="Menor A:"),"Hasta (&lt;=):",
IF(OR($H5="Mayor o Igual A:",$H5="Menor o Igual A:"),"Hasta (&lt;):",
IF($H5="Igual A:","No Aplica",
IF($H5="",""))))</f>
        <v>Hasta (&lt;=):</v>
      </c>
      <c r="M5" s="498">
        <f t="shared" ref="M5:M64" si="3">IF(I5&gt;O5,I5,
IF(I5&lt;O5,O5,
IF(I5=O5,"No Aplica","")))</f>
        <v>95</v>
      </c>
      <c r="N5" s="498" t="str">
        <f t="shared" ref="N5:N36" si="4">IF($H5="Mayor A:","Menor A:",
IF($H5="Menor A:","Mayor A:",
IF($H5="Mayor o Igual A:","Menor o Igual A:",
IF($H5="Menor o Igual A:","Mayor o Igual A:",
IF($H5="Igual A:","Igual A:",
IF($H5="",""))))))</f>
        <v>Menor A:</v>
      </c>
      <c r="O5" s="499">
        <v>80</v>
      </c>
      <c r="P5" s="512">
        <f>+'01-DIRECCIONAMIENTO ESTRATÉGICO'!F16</f>
        <v>1</v>
      </c>
      <c r="Q5" s="512">
        <f>+'01-DIRECCIONAMIENTO ESTRATÉGICO'!G16</f>
        <v>1</v>
      </c>
      <c r="R5" s="519" t="str">
        <f>+'01-DIRECCIONAMIENTO ESTRATÉGICO'!O16</f>
        <v>Dirección de Planeación
Aportan: Dependencias lideradas por  Responsables de procesos y operativos de todos los procesos institucionales</v>
      </c>
    </row>
    <row r="6" spans="2:18" ht="39.6">
      <c r="B6" s="493">
        <f>1+B5</f>
        <v>2</v>
      </c>
      <c r="C6" s="494" t="s">
        <v>775</v>
      </c>
      <c r="D6" s="493" t="s">
        <v>797</v>
      </c>
      <c r="E6" s="509" t="str">
        <f>+'01-DIRECCIONAMIENTO ESTRATÉGICO'!I17</f>
        <v>Porcentaje de actividades implementadas para la sostenibilidad  y mejora del MIPG</v>
      </c>
      <c r="F6" s="509" t="str">
        <f>'01-DIRECCIONAMIENTO ESTRATÉGICO'!J17</f>
        <v>Grado de avance en la implementación de acciones para la sostenibilidad y mejora del MIPG</v>
      </c>
      <c r="G6" s="501" t="s">
        <v>810</v>
      </c>
      <c r="H6" s="496" t="s">
        <v>781</v>
      </c>
      <c r="I6" s="497">
        <v>95</v>
      </c>
      <c r="J6" s="498" t="str">
        <f t="shared" si="0"/>
        <v>Desde (&gt;=):</v>
      </c>
      <c r="K6" s="498">
        <f t="shared" si="1"/>
        <v>80</v>
      </c>
      <c r="L6" s="498" t="str">
        <f t="shared" si="2"/>
        <v>Hasta (&lt;=):</v>
      </c>
      <c r="M6" s="498">
        <f t="shared" si="3"/>
        <v>95</v>
      </c>
      <c r="N6" s="498" t="str">
        <f t="shared" si="4"/>
        <v>Menor A:</v>
      </c>
      <c r="O6" s="499">
        <v>80</v>
      </c>
      <c r="P6" s="512">
        <f>+'01-DIRECCIONAMIENTO ESTRATÉGICO'!F17</f>
        <v>0.4</v>
      </c>
      <c r="Q6" s="512">
        <f>+'01-DIRECCIONAMIENTO ESTRATÉGICO'!G17</f>
        <v>0.22</v>
      </c>
      <c r="R6" s="519" t="str">
        <f>+'01-DIRECCIONAMIENTO ESTRATÉGICO'!O17</f>
        <v>Dirección de Planeación
Aportan: Dependencias lideradas por  Responsables de procesos y operativos de todos los procesos institucionales</v>
      </c>
    </row>
    <row r="7" spans="2:18" ht="26.4">
      <c r="B7" s="493">
        <f t="shared" ref="B7:B73" si="5">1+B6</f>
        <v>3</v>
      </c>
      <c r="C7" s="494" t="s">
        <v>775</v>
      </c>
      <c r="D7" s="493" t="s">
        <v>798</v>
      </c>
      <c r="E7" s="509" t="str">
        <f>+'01-DIRECCIONAMIENTO ESTRATÉGICO'!I18</f>
        <v xml:space="preserve">Porcentaje de requisitos del  SGA implementados bajo los estándares de la norma ISO 14001 </v>
      </c>
      <c r="F7" s="509" t="str">
        <f>'01-DIRECCIONAMIENTO ESTRATÉGICO'!J18</f>
        <v>Número de requisitos implementados del SGA/ Número total de requisitos del SGA</v>
      </c>
      <c r="G7" s="501" t="s">
        <v>810</v>
      </c>
      <c r="H7" s="496" t="s">
        <v>776</v>
      </c>
      <c r="I7" s="497">
        <v>95</v>
      </c>
      <c r="J7" s="498" t="str">
        <f t="shared" si="0"/>
        <v>Desde (&gt;):</v>
      </c>
      <c r="K7" s="498">
        <f t="shared" si="1"/>
        <v>85</v>
      </c>
      <c r="L7" s="498" t="str">
        <f t="shared" si="2"/>
        <v>Hasta (&lt;):</v>
      </c>
      <c r="M7" s="498">
        <f t="shared" si="3"/>
        <v>95</v>
      </c>
      <c r="N7" s="498" t="str">
        <f t="shared" si="4"/>
        <v>Menor o Igual A:</v>
      </c>
      <c r="O7" s="499">
        <v>85</v>
      </c>
      <c r="P7" s="512">
        <f>+'01-DIRECCIONAMIENTO ESTRATÉGICO'!F18</f>
        <v>1</v>
      </c>
      <c r="Q7" s="512">
        <f>+'01-DIRECCIONAMIENTO ESTRATÉGICO'!G18</f>
        <v>0.38</v>
      </c>
      <c r="R7" s="519" t="str">
        <f>+'01-DIRECCIONAMIENTO ESTRATÉGICO'!O18</f>
        <v>Dirección de Planeación</v>
      </c>
    </row>
    <row r="8" spans="2:18" ht="33" customHeight="1">
      <c r="B8" s="493">
        <f t="shared" si="5"/>
        <v>4</v>
      </c>
      <c r="C8" s="494" t="s">
        <v>775</v>
      </c>
      <c r="D8" s="493" t="s">
        <v>799</v>
      </c>
      <c r="E8" s="509" t="str">
        <f>+'01-DIRECCIONAMIENTO ESTRATÉGICO'!I19</f>
        <v>Acciones de monitoreo y revisión realizadas al PAAC</v>
      </c>
      <c r="F8" s="509" t="str">
        <f>'01-DIRECCIONAMIENTO ESTRATÉGICO'!J19</f>
        <v>Número de acciones de monitoreo realizadas al PAAC</v>
      </c>
      <c r="G8" s="501" t="s">
        <v>810</v>
      </c>
      <c r="H8" s="496" t="s">
        <v>776</v>
      </c>
      <c r="I8" s="497">
        <v>100</v>
      </c>
      <c r="J8" s="498" t="str">
        <f t="shared" si="0"/>
        <v>Desde (&gt;):</v>
      </c>
      <c r="K8" s="498">
        <f t="shared" si="1"/>
        <v>80</v>
      </c>
      <c r="L8" s="498" t="str">
        <f t="shared" si="2"/>
        <v>Hasta (&lt;):</v>
      </c>
      <c r="M8" s="498">
        <f t="shared" si="3"/>
        <v>100</v>
      </c>
      <c r="N8" s="498" t="str">
        <f t="shared" si="4"/>
        <v>Menor o Igual A:</v>
      </c>
      <c r="O8" s="499">
        <v>80</v>
      </c>
      <c r="P8" s="517">
        <f>+'01-DIRECCIONAMIENTO ESTRATÉGICO'!F19</f>
        <v>12</v>
      </c>
      <c r="Q8" s="517">
        <f>+'01-DIRECCIONAMIENTO ESTRATÉGICO'!G19</f>
        <v>3</v>
      </c>
      <c r="R8" s="519" t="str">
        <f>+'01-DIRECCIONAMIENTO ESTRATÉGICO'!O19</f>
        <v>Dirección de Planeación</v>
      </c>
    </row>
    <row r="9" spans="2:18" ht="25.5" customHeight="1">
      <c r="B9" s="493">
        <f t="shared" si="5"/>
        <v>5</v>
      </c>
      <c r="C9" s="500" t="s">
        <v>777</v>
      </c>
      <c r="D9" s="501" t="s">
        <v>832</v>
      </c>
      <c r="E9" s="505" t="str">
        <f>+'02-G. CONOCIMIENTO INNOVACIÓN'!I16</f>
        <v>Proyectos de Investigación, Desarrollo e Innovación (I+D+I) elaborados</v>
      </c>
      <c r="F9" s="505" t="str">
        <f>+'02-G. CONOCIMIENTO INNOVACIÓN'!J16</f>
        <v>Número de proyectos de investigación, desarrollo e innovación elaborados</v>
      </c>
      <c r="G9" s="501" t="s">
        <v>810</v>
      </c>
      <c r="H9" s="496" t="s">
        <v>776</v>
      </c>
      <c r="I9" s="497">
        <v>100</v>
      </c>
      <c r="J9" s="498" t="str">
        <f t="shared" si="0"/>
        <v>Desde (&gt;):</v>
      </c>
      <c r="K9" s="498">
        <f t="shared" si="1"/>
        <v>60</v>
      </c>
      <c r="L9" s="498" t="str">
        <f t="shared" si="2"/>
        <v>Hasta (&lt;):</v>
      </c>
      <c r="M9" s="498">
        <f t="shared" si="3"/>
        <v>100</v>
      </c>
      <c r="N9" s="498" t="str">
        <f t="shared" si="4"/>
        <v>Menor o Igual A:</v>
      </c>
      <c r="O9" s="499">
        <v>60</v>
      </c>
      <c r="P9" s="511">
        <f>+'02-G. CONOCIMIENTO INNOVACIÓN'!F16</f>
        <v>4</v>
      </c>
      <c r="Q9" s="511">
        <f>+'02-G. CONOCIMIENTO INNOVACIÓN'!G16</f>
        <v>1</v>
      </c>
      <c r="R9" s="516" t="str">
        <f>+'02-G. CONOCIMIENTO INNOVACIÓN'!O16</f>
        <v xml:space="preserve">Dirección de Gestión del Conocimiento e Innovación </v>
      </c>
    </row>
    <row r="10" spans="2:18" ht="32.25" customHeight="1">
      <c r="B10" s="493">
        <f t="shared" si="5"/>
        <v>6</v>
      </c>
      <c r="C10" s="500" t="s">
        <v>777</v>
      </c>
      <c r="D10" s="501" t="s">
        <v>795</v>
      </c>
      <c r="E10" s="505" t="str">
        <f>+'02-G. CONOCIMIENTO INNOVACIÓN'!I17</f>
        <v>Informes de investigación e innovación construidos</v>
      </c>
      <c r="F10" s="505" t="str">
        <f>+'02-G. CONOCIMIENTO INNOVACIÓN'!J17</f>
        <v>Número de Informes de Investigación e Innovación construidos</v>
      </c>
      <c r="G10" s="501" t="s">
        <v>810</v>
      </c>
      <c r="H10" s="496" t="s">
        <v>776</v>
      </c>
      <c r="I10" s="497">
        <v>100</v>
      </c>
      <c r="J10" s="498" t="str">
        <f t="shared" si="0"/>
        <v>Desde (&gt;):</v>
      </c>
      <c r="K10" s="498">
        <f t="shared" si="1"/>
        <v>60</v>
      </c>
      <c r="L10" s="498" t="str">
        <f t="shared" si="2"/>
        <v>Hasta (&lt;):</v>
      </c>
      <c r="M10" s="498">
        <f t="shared" si="3"/>
        <v>100</v>
      </c>
      <c r="N10" s="498" t="str">
        <f t="shared" si="4"/>
        <v>Menor o Igual A:</v>
      </c>
      <c r="O10" s="499">
        <v>60</v>
      </c>
      <c r="P10" s="511">
        <f>+'02-G. CONOCIMIENTO INNOVACIÓN'!F17</f>
        <v>8</v>
      </c>
      <c r="Q10" s="511">
        <f>+'02-G. CONOCIMIENTO INNOVACIÓN'!G17</f>
        <v>2</v>
      </c>
      <c r="R10" s="516" t="str">
        <f>+'02-G. CONOCIMIENTO INNOVACIÓN'!O17</f>
        <v xml:space="preserve">Dirección de Gestión del Conocimiento e Innovación </v>
      </c>
    </row>
    <row r="11" spans="2:18" ht="26.4">
      <c r="B11" s="493">
        <f t="shared" si="5"/>
        <v>7</v>
      </c>
      <c r="C11" s="500" t="s">
        <v>777</v>
      </c>
      <c r="D11" s="501" t="s">
        <v>835</v>
      </c>
      <c r="E11" s="505" t="str">
        <f>+'02-G. CONOCIMIENTO INNOVACIÓN'!I18</f>
        <v>Actividades de apropiación social del conocimiento desarrolladas</v>
      </c>
      <c r="F11" s="505" t="str">
        <f>+'02-G. CONOCIMIENTO INNOVACIÓN'!J18</f>
        <v xml:space="preserve"> Número de Actividades de apropiación social del conocimiento realizadas</v>
      </c>
      <c r="G11" s="501" t="s">
        <v>810</v>
      </c>
      <c r="H11" s="496" t="s">
        <v>776</v>
      </c>
      <c r="I11" s="497">
        <v>100</v>
      </c>
      <c r="J11" s="498" t="str">
        <f t="shared" si="0"/>
        <v>Desde (&gt;):</v>
      </c>
      <c r="K11" s="498">
        <f t="shared" si="1"/>
        <v>60</v>
      </c>
      <c r="L11" s="498" t="str">
        <f t="shared" si="2"/>
        <v>Hasta (&lt;):</v>
      </c>
      <c r="M11" s="498">
        <f t="shared" si="3"/>
        <v>100</v>
      </c>
      <c r="N11" s="498" t="str">
        <f t="shared" si="4"/>
        <v>Menor o Igual A:</v>
      </c>
      <c r="O11" s="499">
        <v>60</v>
      </c>
      <c r="P11" s="511">
        <f>+'02-G. CONOCIMIENTO INNOVACIÓN'!F18</f>
        <v>10</v>
      </c>
      <c r="Q11" s="511">
        <f>+'02-G. CONOCIMIENTO INNOVACIÓN'!G18</f>
        <v>3</v>
      </c>
      <c r="R11" s="516" t="str">
        <f>+'02-G. CONOCIMIENTO INNOVACIÓN'!O18</f>
        <v xml:space="preserve">Dirección de Gestión del Conocimiento e Innovación </v>
      </c>
    </row>
    <row r="12" spans="2:18" ht="26.4">
      <c r="B12" s="493">
        <f t="shared" si="5"/>
        <v>8</v>
      </c>
      <c r="C12" s="494" t="s">
        <v>778</v>
      </c>
      <c r="D12" s="501" t="s">
        <v>833</v>
      </c>
      <c r="E12" s="505" t="str">
        <f>+'03-DIRECCIONAMIENTO TIC'!I16</f>
        <v>Porcentaje de proyectos implementados de acuerdo al plan de tecnologías de la Información</v>
      </c>
      <c r="F12" s="505" t="str">
        <f>+'03-DIRECCIONAMIENTO TIC'!J16</f>
        <v>Porcentaje de proyectos implementados / Porcentaje de proyectos programados</v>
      </c>
      <c r="G12" s="501" t="s">
        <v>810</v>
      </c>
      <c r="H12" s="496" t="s">
        <v>776</v>
      </c>
      <c r="I12" s="497">
        <v>90</v>
      </c>
      <c r="J12" s="498" t="str">
        <f t="shared" si="0"/>
        <v>Desde (&gt;):</v>
      </c>
      <c r="K12" s="498">
        <f t="shared" si="1"/>
        <v>85</v>
      </c>
      <c r="L12" s="498" t="str">
        <f t="shared" si="2"/>
        <v>Hasta (&lt;):</v>
      </c>
      <c r="M12" s="498">
        <f t="shared" si="3"/>
        <v>90</v>
      </c>
      <c r="N12" s="498" t="str">
        <f t="shared" si="4"/>
        <v>Menor o Igual A:</v>
      </c>
      <c r="O12" s="499">
        <v>85</v>
      </c>
      <c r="P12" s="512">
        <f>+'03-DIRECCIONAMIENTO TIC'!F16</f>
        <v>1</v>
      </c>
      <c r="Q12" s="512">
        <f>+'03-DIRECCIONAMIENTO TIC'!G16</f>
        <v>0.3</v>
      </c>
      <c r="R12" s="516" t="str">
        <f>+'03-DIRECCIONAMIENTO TIC'!O16</f>
        <v>Dirección de Tecnologías de la  Información y las Comunicaciones</v>
      </c>
    </row>
    <row r="13" spans="2:18" ht="26.4">
      <c r="B13" s="493">
        <f t="shared" si="5"/>
        <v>9</v>
      </c>
      <c r="C13" s="494" t="s">
        <v>778</v>
      </c>
      <c r="D13" s="501" t="s">
        <v>836</v>
      </c>
      <c r="E13" s="505" t="str">
        <f>+'03-DIRECCIONAMIENTO TIC'!I17</f>
        <v>Porcentaje de actividades ejecutadas de acuerdo al plan de Seguridad de información</v>
      </c>
      <c r="F13" s="505" t="str">
        <f>+'03-DIRECCIONAMIENTO TIC'!J17</f>
        <v>Porcentaje de actividades ejecutadas / Porcentaje de actividades programadas</v>
      </c>
      <c r="G13" s="501" t="s">
        <v>810</v>
      </c>
      <c r="H13" s="496" t="s">
        <v>776</v>
      </c>
      <c r="I13" s="497">
        <v>90</v>
      </c>
      <c r="J13" s="498" t="str">
        <f t="shared" si="0"/>
        <v>Desde (&gt;):</v>
      </c>
      <c r="K13" s="498">
        <f t="shared" si="1"/>
        <v>85</v>
      </c>
      <c r="L13" s="498" t="str">
        <f t="shared" si="2"/>
        <v>Hasta (&lt;):</v>
      </c>
      <c r="M13" s="498">
        <f t="shared" si="3"/>
        <v>90</v>
      </c>
      <c r="N13" s="498" t="str">
        <f t="shared" si="4"/>
        <v>Menor o Igual A:</v>
      </c>
      <c r="O13" s="499">
        <v>85</v>
      </c>
      <c r="P13" s="512">
        <f>+'03-DIRECCIONAMIENTO TIC'!F17</f>
        <v>1</v>
      </c>
      <c r="Q13" s="512">
        <f>+'03-DIRECCIONAMIENTO TIC'!G17</f>
        <v>0.3</v>
      </c>
      <c r="R13" s="516" t="str">
        <f>+'03-DIRECCIONAMIENTO TIC'!O17</f>
        <v>Dirección de Tecnologías de la  Información y las Comunicaciones</v>
      </c>
    </row>
    <row r="14" spans="2:18" ht="26.4">
      <c r="B14" s="493">
        <f t="shared" si="5"/>
        <v>10</v>
      </c>
      <c r="C14" s="494" t="s">
        <v>778</v>
      </c>
      <c r="D14" s="501" t="s">
        <v>796</v>
      </c>
      <c r="E14" s="505" t="str">
        <f>+'03-DIRECCIONAMIENTO TIC'!I18</f>
        <v xml:space="preserve">Porcentaje de actividades ejecutadas  en la estrategia de servicios ciudadanos digitales </v>
      </c>
      <c r="F14" s="505" t="str">
        <f>+'03-DIRECCIONAMIENTO TIC'!J18</f>
        <v>Porcentaje de actividades ejecutadas / Porcentaje de actividades programadas</v>
      </c>
      <c r="G14" s="501" t="s">
        <v>810</v>
      </c>
      <c r="H14" s="496" t="s">
        <v>776</v>
      </c>
      <c r="I14" s="497">
        <v>90</v>
      </c>
      <c r="J14" s="498" t="str">
        <f t="shared" si="0"/>
        <v>Desde (&gt;):</v>
      </c>
      <c r="K14" s="498">
        <f t="shared" si="1"/>
        <v>85</v>
      </c>
      <c r="L14" s="498" t="str">
        <f t="shared" si="2"/>
        <v>Hasta (&lt;):</v>
      </c>
      <c r="M14" s="498">
        <f t="shared" si="3"/>
        <v>90</v>
      </c>
      <c r="N14" s="498" t="str">
        <f t="shared" si="4"/>
        <v>Menor o Igual A:</v>
      </c>
      <c r="O14" s="499">
        <v>85</v>
      </c>
      <c r="P14" s="512">
        <f>+'03-DIRECCIONAMIENTO TIC'!F18</f>
        <v>1</v>
      </c>
      <c r="Q14" s="512">
        <f>+'03-DIRECCIONAMIENTO TIC'!G18</f>
        <v>0.3</v>
      </c>
      <c r="R14" s="516" t="str">
        <f>+'03-DIRECCIONAMIENTO TIC'!O18</f>
        <v>Dirección de Tecnologías de la  Información y las Comunicaciones</v>
      </c>
    </row>
    <row r="15" spans="2:18" ht="26.4">
      <c r="B15" s="493">
        <f t="shared" si="5"/>
        <v>11</v>
      </c>
      <c r="C15" s="494" t="s">
        <v>778</v>
      </c>
      <c r="D15" s="501" t="s">
        <v>837</v>
      </c>
      <c r="E15" s="505" t="str">
        <f>+'03-DIRECCIONAMIENTO TIC'!I19</f>
        <v>Porcentaje de lineamientos adoptados  en la estrategia de gestión de datos</v>
      </c>
      <c r="F15" s="505" t="str">
        <f>+'03-DIRECCIONAMIENTO TIC'!J19</f>
        <v>Porcentaje de lineamientos adoptados / Porcentaje de lineamietnos proyectados</v>
      </c>
      <c r="G15" s="501" t="s">
        <v>810</v>
      </c>
      <c r="H15" s="496" t="s">
        <v>776</v>
      </c>
      <c r="I15" s="497">
        <v>90</v>
      </c>
      <c r="J15" s="498" t="str">
        <f t="shared" si="0"/>
        <v>Desde (&gt;):</v>
      </c>
      <c r="K15" s="498">
        <f t="shared" si="1"/>
        <v>85</v>
      </c>
      <c r="L15" s="498" t="str">
        <f t="shared" si="2"/>
        <v>Hasta (&lt;):</v>
      </c>
      <c r="M15" s="498">
        <f t="shared" si="3"/>
        <v>90</v>
      </c>
      <c r="N15" s="498" t="str">
        <f t="shared" si="4"/>
        <v>Menor o Igual A:</v>
      </c>
      <c r="O15" s="499">
        <v>85</v>
      </c>
      <c r="P15" s="512">
        <f>+'03-DIRECCIONAMIENTO TIC'!F19</f>
        <v>1</v>
      </c>
      <c r="Q15" s="512">
        <f>+'03-DIRECCIONAMIENTO TIC'!G19</f>
        <v>0.3</v>
      </c>
      <c r="R15" s="516" t="str">
        <f>+'03-DIRECCIONAMIENTO TIC'!O19</f>
        <v>Dirección de Tecnologías de la  Información y las Comunicaciones</v>
      </c>
    </row>
    <row r="16" spans="2:18" ht="39.6">
      <c r="B16" s="493">
        <f t="shared" si="5"/>
        <v>12</v>
      </c>
      <c r="C16" s="494" t="s">
        <v>778</v>
      </c>
      <c r="D16" s="501" t="s">
        <v>838</v>
      </c>
      <c r="E16" s="505" t="str">
        <f>+'03-DIRECCIONAMIENTO TIC'!I20</f>
        <v>Cantidad de requerimientos prioritarios desarrollados para los sistemas información</v>
      </c>
      <c r="F16" s="505" t="str">
        <f>+'03-DIRECCIONAMIENTO TIC'!J20</f>
        <v>Cantidad de requerimientos desarrollados / Cantidad de requerimientos prioritarios programados</v>
      </c>
      <c r="G16" s="501" t="s">
        <v>810</v>
      </c>
      <c r="H16" s="496" t="s">
        <v>776</v>
      </c>
      <c r="I16" s="497">
        <v>90</v>
      </c>
      <c r="J16" s="498" t="str">
        <f t="shared" si="0"/>
        <v>Desde (&gt;):</v>
      </c>
      <c r="K16" s="498">
        <f t="shared" si="1"/>
        <v>85</v>
      </c>
      <c r="L16" s="498" t="str">
        <f t="shared" si="2"/>
        <v>Hasta (&lt;):</v>
      </c>
      <c r="M16" s="498">
        <f t="shared" si="3"/>
        <v>90</v>
      </c>
      <c r="N16" s="498" t="str">
        <f t="shared" si="4"/>
        <v>Menor o Igual A:</v>
      </c>
      <c r="O16" s="499">
        <v>85</v>
      </c>
      <c r="P16" s="512">
        <f>+'03-DIRECCIONAMIENTO TIC'!F20</f>
        <v>1</v>
      </c>
      <c r="Q16" s="512">
        <f>+'03-DIRECCIONAMIENTO TIC'!G20</f>
        <v>0.3</v>
      </c>
      <c r="R16" s="516" t="str">
        <f>+'03-DIRECCIONAMIENTO TIC'!O20</f>
        <v>Dirección de Tecnologías de la  Información y las Comunicaciones</v>
      </c>
    </row>
    <row r="17" spans="2:18" ht="26.4">
      <c r="B17" s="493">
        <f t="shared" si="5"/>
        <v>13</v>
      </c>
      <c r="C17" s="494" t="s">
        <v>778</v>
      </c>
      <c r="D17" s="501" t="s">
        <v>839</v>
      </c>
      <c r="E17" s="505" t="str">
        <f>+'03-DIRECCIONAMIENTO TIC'!I21</f>
        <v>Porcentaje de actividades ejecutadas del plan de uso y apropiación</v>
      </c>
      <c r="F17" s="505" t="str">
        <f>+'03-DIRECCIONAMIENTO TIC'!J21</f>
        <v>Porcentaje de actividades ejecutadas / porcentje de actividades programadas</v>
      </c>
      <c r="G17" s="501" t="s">
        <v>810</v>
      </c>
      <c r="H17" s="496" t="s">
        <v>776</v>
      </c>
      <c r="I17" s="497">
        <v>90</v>
      </c>
      <c r="J17" s="498" t="str">
        <f t="shared" si="0"/>
        <v>Desde (&gt;):</v>
      </c>
      <c r="K17" s="498">
        <f t="shared" si="1"/>
        <v>85</v>
      </c>
      <c r="L17" s="498" t="str">
        <f t="shared" si="2"/>
        <v>Hasta (&lt;):</v>
      </c>
      <c r="M17" s="498">
        <f t="shared" si="3"/>
        <v>90</v>
      </c>
      <c r="N17" s="498" t="str">
        <f t="shared" si="4"/>
        <v>Menor o Igual A:</v>
      </c>
      <c r="O17" s="499">
        <v>85</v>
      </c>
      <c r="P17" s="512">
        <f>+'03-DIRECCIONAMIENTO TIC'!F21</f>
        <v>1</v>
      </c>
      <c r="Q17" s="512">
        <f>+'03-DIRECCIONAMIENTO TIC'!G21</f>
        <v>0.3</v>
      </c>
      <c r="R17" s="516" t="str">
        <f>+'03-DIRECCIONAMIENTO TIC'!O21</f>
        <v>Dirección de Tecnologías de la  Información y las Comunicaciones</v>
      </c>
    </row>
    <row r="18" spans="2:18" ht="26.4">
      <c r="B18" s="493">
        <f t="shared" si="5"/>
        <v>14</v>
      </c>
      <c r="C18" s="494" t="s">
        <v>778</v>
      </c>
      <c r="D18" s="501" t="s">
        <v>840</v>
      </c>
      <c r="E18" s="505" t="str">
        <f>+'03-DIRECCIONAMIENTO TIC'!I22</f>
        <v>Porcentaje de actividades ejecutadas de la hoja de ruta de optimización tecnológica</v>
      </c>
      <c r="F18" s="505" t="str">
        <f>+'03-DIRECCIONAMIENTO TIC'!J22</f>
        <v>Porcentaje de actividades ejecutadas / porcentaje de actividades programadas</v>
      </c>
      <c r="G18" s="501" t="s">
        <v>810</v>
      </c>
      <c r="H18" s="496" t="s">
        <v>776</v>
      </c>
      <c r="I18" s="497">
        <v>90</v>
      </c>
      <c r="J18" s="498" t="str">
        <f t="shared" si="0"/>
        <v>Desde (&gt;):</v>
      </c>
      <c r="K18" s="498">
        <f t="shared" si="1"/>
        <v>85</v>
      </c>
      <c r="L18" s="498" t="str">
        <f t="shared" si="2"/>
        <v>Hasta (&lt;):</v>
      </c>
      <c r="M18" s="498">
        <f t="shared" si="3"/>
        <v>90</v>
      </c>
      <c r="N18" s="498" t="str">
        <f t="shared" si="4"/>
        <v>Menor o Igual A:</v>
      </c>
      <c r="O18" s="499">
        <v>85</v>
      </c>
      <c r="P18" s="512">
        <f>+'03-DIRECCIONAMIENTO TIC'!F22</f>
        <v>1</v>
      </c>
      <c r="Q18" s="512">
        <f>+'03-DIRECCIONAMIENTO TIC'!G22</f>
        <v>0.3</v>
      </c>
      <c r="R18" s="516" t="str">
        <f>+'03-DIRECCIONAMIENTO TIC'!O22</f>
        <v>Dirección de Tecnologías de la  Información y las Comunicaciones</v>
      </c>
    </row>
    <row r="19" spans="2:18" ht="39.6">
      <c r="B19" s="493">
        <f t="shared" si="5"/>
        <v>15</v>
      </c>
      <c r="C19" s="500" t="s">
        <v>779</v>
      </c>
      <c r="D19" s="493" t="s">
        <v>834</v>
      </c>
      <c r="E19" s="505" t="str">
        <f>+'04-COMUNICACIÓN ESTRATÉGICA'!I16</f>
        <v>Productos de comunicación externa desarrollados</v>
      </c>
      <c r="F19" s="505" t="str">
        <f>+'04-COMUNICACIÓN ESTRATÉGICA'!J16</f>
        <v>Número de productos de comunicación externa realizados/ Número de productos de comunicación externa  programados* 100</v>
      </c>
      <c r="G19" s="501" t="s">
        <v>810</v>
      </c>
      <c r="H19" s="496" t="s">
        <v>781</v>
      </c>
      <c r="I19" s="497">
        <v>90</v>
      </c>
      <c r="J19" s="498" t="str">
        <f t="shared" si="0"/>
        <v>Desde (&gt;=):</v>
      </c>
      <c r="K19" s="498">
        <f t="shared" si="1"/>
        <v>75</v>
      </c>
      <c r="L19" s="498" t="str">
        <f t="shared" si="2"/>
        <v>Hasta (&lt;=):</v>
      </c>
      <c r="M19" s="498">
        <f t="shared" si="3"/>
        <v>90</v>
      </c>
      <c r="N19" s="498" t="str">
        <f t="shared" si="4"/>
        <v>Menor A:</v>
      </c>
      <c r="O19" s="499">
        <v>75</v>
      </c>
      <c r="P19" s="512">
        <f>+'04-COMUNICACIÓN ESTRATÉGICA'!F16</f>
        <v>1</v>
      </c>
      <c r="Q19" s="512">
        <f>+'04-COMUNICACIÓN ESTRATÉGICA'!G16</f>
        <v>1</v>
      </c>
      <c r="R19" s="516" t="str">
        <f>+'04-COMUNICACIÓN ESTRATÉGICA'!O16</f>
        <v>Oficina Asesora de Comunicaciones</v>
      </c>
    </row>
    <row r="20" spans="2:18" ht="39.6">
      <c r="B20" s="493">
        <f t="shared" si="5"/>
        <v>16</v>
      </c>
      <c r="C20" s="500" t="s">
        <v>779</v>
      </c>
      <c r="D20" s="493" t="s">
        <v>842</v>
      </c>
      <c r="E20" s="505" t="str">
        <f>+'04-COMUNICACIÓN ESTRATÉGICA'!I17</f>
        <v>Productos  de comunicación interna
desarrollados</v>
      </c>
      <c r="F20" s="505" t="str">
        <f>+'04-COMUNICACIÓN ESTRATÉGICA'!J17</f>
        <v>Número de productos de comunicación interna realizados/ Número de productos de comunicación interna  programados* 100</v>
      </c>
      <c r="G20" s="501" t="s">
        <v>810</v>
      </c>
      <c r="H20" s="496" t="s">
        <v>781</v>
      </c>
      <c r="I20" s="497">
        <v>90</v>
      </c>
      <c r="J20" s="498" t="str">
        <f t="shared" si="0"/>
        <v>Desde (&gt;=):</v>
      </c>
      <c r="K20" s="498">
        <f t="shared" si="1"/>
        <v>75</v>
      </c>
      <c r="L20" s="498" t="str">
        <f t="shared" si="2"/>
        <v>Hasta (&lt;=):</v>
      </c>
      <c r="M20" s="498">
        <f t="shared" si="3"/>
        <v>90</v>
      </c>
      <c r="N20" s="498" t="str">
        <f t="shared" si="4"/>
        <v>Menor A:</v>
      </c>
      <c r="O20" s="499">
        <v>75</v>
      </c>
      <c r="P20" s="512">
        <f>+'04-COMUNICACIÓN ESTRATÉGICA'!F17</f>
        <v>1</v>
      </c>
      <c r="Q20" s="512">
        <f>+'04-COMUNICACIÓN ESTRATÉGICA'!G17</f>
        <v>1</v>
      </c>
      <c r="R20" s="516" t="str">
        <f>+'04-COMUNICACIÓN ESTRATÉGICA'!O17</f>
        <v>Oficina Asesora de Comunicaciones</v>
      </c>
    </row>
    <row r="21" spans="2:18" ht="68.400000000000006" customHeight="1">
      <c r="B21" s="493">
        <f t="shared" si="5"/>
        <v>17</v>
      </c>
      <c r="C21" s="494" t="s">
        <v>780</v>
      </c>
      <c r="D21" s="493" t="s">
        <v>841</v>
      </c>
      <c r="E21" s="505" t="str">
        <f>+'05-POA PROM DEFENSA DERECHOS'!I16</f>
        <v>Intervenciones realizadas en defensa de los derechos</v>
      </c>
      <c r="F21" s="505" t="str">
        <f>+'05-POA PROM DEFENSA DERECHOS'!J16</f>
        <v>∑ Número de Intervenciones a Petición de Parte Realizadas en Defensa de los Derechos + Númerode Intervenciones de Oficio Realizadas en Defensa de los Derechos</v>
      </c>
      <c r="G21" s="501" t="s">
        <v>810</v>
      </c>
      <c r="H21" s="496" t="s">
        <v>781</v>
      </c>
      <c r="I21" s="497">
        <v>85</v>
      </c>
      <c r="J21" s="498" t="str">
        <f t="shared" si="0"/>
        <v>Desde (&gt;=):</v>
      </c>
      <c r="K21" s="498">
        <f t="shared" si="1"/>
        <v>80</v>
      </c>
      <c r="L21" s="498" t="str">
        <f t="shared" si="2"/>
        <v>Hasta (&lt;=):</v>
      </c>
      <c r="M21" s="498">
        <f t="shared" si="3"/>
        <v>85</v>
      </c>
      <c r="N21" s="498" t="str">
        <f t="shared" si="4"/>
        <v>Menor A:</v>
      </c>
      <c r="O21" s="499">
        <v>80</v>
      </c>
      <c r="P21" s="511">
        <f>+'05-POA PROM DEFENSA DERECHOS'!F16</f>
        <v>347900</v>
      </c>
      <c r="Q21" s="511">
        <f>+'05-POA PROM DEFENSA DERECHOS'!G16</f>
        <v>102150</v>
      </c>
      <c r="R21" s="516" t="str">
        <f>+'05-POA PROM DEFENSA DERECHOS'!O16</f>
        <v>P.D. para Asuntos Penales I, Penales II, Derechos Humanos y Policivos y Civiles
P.D. para los Sectores Planeación y Movilidad y la P.D. para los Sectores Educación y Cultura, Recreación y Deporte</v>
      </c>
    </row>
    <row r="22" spans="2:18" ht="68.400000000000006">
      <c r="B22" s="493">
        <f t="shared" si="5"/>
        <v>18</v>
      </c>
      <c r="C22" s="494" t="s">
        <v>780</v>
      </c>
      <c r="D22" s="493" t="s">
        <v>843</v>
      </c>
      <c r="E22" s="505" t="str">
        <f>+'05-POA PROM DEFENSA DERECHOS'!I17</f>
        <v>Personas orientadas en garantía de derechos</v>
      </c>
      <c r="F22" s="505" t="str">
        <f>+'05-POA PROM DEFENSA DERECHOS'!J17</f>
        <v>∑ Número de Personas Orientadas (Incluye las Orientaciones de Traslados por No Competencia)</v>
      </c>
      <c r="G22" s="501" t="s">
        <v>810</v>
      </c>
      <c r="H22" s="496" t="s">
        <v>781</v>
      </c>
      <c r="I22" s="497">
        <v>85</v>
      </c>
      <c r="J22" s="498" t="str">
        <f t="shared" si="0"/>
        <v>Desde (&gt;=):</v>
      </c>
      <c r="K22" s="498">
        <f t="shared" si="1"/>
        <v>80</v>
      </c>
      <c r="L22" s="498" t="str">
        <f t="shared" si="2"/>
        <v>Hasta (&lt;=):</v>
      </c>
      <c r="M22" s="498">
        <f t="shared" si="3"/>
        <v>85</v>
      </c>
      <c r="N22" s="498" t="str">
        <f t="shared" si="4"/>
        <v>Menor A:</v>
      </c>
      <c r="O22" s="499">
        <v>80</v>
      </c>
      <c r="P22" s="511">
        <f>+'05-POA PROM DEFENSA DERECHOS'!F17</f>
        <v>269700</v>
      </c>
      <c r="Q22" s="511">
        <f>+'05-POA PROM DEFENSA DERECHOS'!G17</f>
        <v>76200</v>
      </c>
      <c r="R22" s="516"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3" spans="2:18" ht="79.8">
      <c r="B23" s="493">
        <f t="shared" si="5"/>
        <v>19</v>
      </c>
      <c r="C23" s="494" t="s">
        <v>780</v>
      </c>
      <c r="D23" s="493" t="s">
        <v>844</v>
      </c>
      <c r="E23" s="505" t="str">
        <f>+'05-POA PROM DEFENSA DERECHOS'!I18</f>
        <v>Personas asistidas en garantía de derechos</v>
      </c>
      <c r="F23" s="505" t="str">
        <f>+'05-POA PROM DEFENSA DERECHOS'!J18</f>
        <v>∑ Número de Personas Asistidas</v>
      </c>
      <c r="G23" s="501" t="s">
        <v>810</v>
      </c>
      <c r="H23" s="496" t="s">
        <v>781</v>
      </c>
      <c r="I23" s="497">
        <v>80</v>
      </c>
      <c r="J23" s="498" t="str">
        <f t="shared" si="0"/>
        <v>Desde (&gt;=):</v>
      </c>
      <c r="K23" s="498">
        <f t="shared" si="1"/>
        <v>70</v>
      </c>
      <c r="L23" s="498" t="str">
        <f t="shared" si="2"/>
        <v>Hasta (&lt;=):</v>
      </c>
      <c r="M23" s="498">
        <f t="shared" si="3"/>
        <v>80</v>
      </c>
      <c r="N23" s="498" t="str">
        <f t="shared" si="4"/>
        <v>Menor A:</v>
      </c>
      <c r="O23" s="499">
        <v>70</v>
      </c>
      <c r="P23" s="511">
        <f>+'05-POA PROM DEFENSA DERECHOS'!F18</f>
        <v>130545</v>
      </c>
      <c r="Q23" s="511">
        <f>+'05-POA PROM DEFENSA DERECHOS'!G18</f>
        <v>28545</v>
      </c>
      <c r="R23" s="516"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4" spans="2:18" ht="39.6">
      <c r="B24" s="493">
        <f t="shared" si="5"/>
        <v>20</v>
      </c>
      <c r="C24" s="494" t="s">
        <v>780</v>
      </c>
      <c r="D24" s="493" t="s">
        <v>845</v>
      </c>
      <c r="E24" s="505" t="str">
        <f>+'05-POA PROM DEFENSA DERECHOS'!I19</f>
        <v>Personas asistidas en Mecanismos Alternativos de Solución de Conflictos</v>
      </c>
      <c r="F24" s="505" t="str">
        <f>+'05-POA PROM DEFENSA DERECHOS'!J19</f>
        <v>∑ Número de Solicitudes de Conciliación Atendidas + Número de Uniones Maritales de Hecho Atendidas</v>
      </c>
      <c r="G24" s="501" t="s">
        <v>810</v>
      </c>
      <c r="H24" s="496" t="s">
        <v>781</v>
      </c>
      <c r="I24" s="497">
        <v>85</v>
      </c>
      <c r="J24" s="498" t="str">
        <f t="shared" si="0"/>
        <v>Desde (&gt;=):</v>
      </c>
      <c r="K24" s="498">
        <f t="shared" si="1"/>
        <v>80</v>
      </c>
      <c r="L24" s="498" t="str">
        <f t="shared" si="2"/>
        <v>Hasta (&lt;=):</v>
      </c>
      <c r="M24" s="498">
        <f t="shared" si="3"/>
        <v>85</v>
      </c>
      <c r="N24" s="498" t="str">
        <f t="shared" si="4"/>
        <v>Menor A:</v>
      </c>
      <c r="O24" s="499">
        <v>80</v>
      </c>
      <c r="P24" s="511">
        <f>+'05-POA PROM DEFENSA DERECHOS'!F19</f>
        <v>32186</v>
      </c>
      <c r="Q24" s="511">
        <f>+'05-POA PROM DEFENSA DERECHOS'!G19</f>
        <v>6810</v>
      </c>
      <c r="R24" s="516" t="str">
        <f>+'05-POA PROM DEFENSA DERECHOS'!O19</f>
        <v>Dirección de Conciliación y M.A.S.C.</v>
      </c>
    </row>
    <row r="25" spans="2:18" ht="57">
      <c r="B25" s="493">
        <f t="shared" si="5"/>
        <v>21</v>
      </c>
      <c r="C25" s="494" t="s">
        <v>780</v>
      </c>
      <c r="D25" s="493" t="s">
        <v>846</v>
      </c>
      <c r="E25" s="505" t="str">
        <f>+'05-POA PROM DEFENSA DERECHOS'!I20</f>
        <v>Peticiones o requerimientos ciudadanos atendidos en garantía de derechos</v>
      </c>
      <c r="F25" s="505" t="str">
        <f>+'05-POA PROM DEFENSA DERECHOS'!J20</f>
        <v>∑ Número de Peticiones o Requerimientos Ciudadanos Atendidos en Garantía de Derechos</v>
      </c>
      <c r="G25" s="501" t="s">
        <v>810</v>
      </c>
      <c r="H25" s="496" t="s">
        <v>781</v>
      </c>
      <c r="I25" s="497">
        <v>85</v>
      </c>
      <c r="J25" s="498" t="str">
        <f t="shared" si="0"/>
        <v>Desde (&gt;=):</v>
      </c>
      <c r="K25" s="498">
        <f t="shared" si="1"/>
        <v>80</v>
      </c>
      <c r="L25" s="498" t="str">
        <f t="shared" si="2"/>
        <v>Hasta (&lt;=):</v>
      </c>
      <c r="M25" s="498">
        <f t="shared" si="3"/>
        <v>85</v>
      </c>
      <c r="N25" s="498" t="str">
        <f t="shared" si="4"/>
        <v>Menor A:</v>
      </c>
      <c r="O25" s="499">
        <v>80</v>
      </c>
      <c r="P25" s="511">
        <f>+'05-POA PROM DEFENSA DERECHOS'!F20</f>
        <v>64307</v>
      </c>
      <c r="Q25" s="511">
        <f>+'05-POA PROM DEFENSA DERECHOS'!G20</f>
        <v>17807</v>
      </c>
      <c r="R25" s="516" t="str">
        <f>+'05-POA PROM DEFENSA DERECHOS'!O20</f>
        <v>P.D. para la Coordinación del MP y DDHH, P.D. para Asuntos Penales I, Penales II, Policivos y Civiles, Derechos Humanos, Familia y Orientación y Asistencia.
P.D. para la Coordinación de la Gestión de Personerías Locales y sus Personerías Locales adscritas</v>
      </c>
    </row>
    <row r="26" spans="2:18" ht="26.4">
      <c r="B26" s="493">
        <f t="shared" si="5"/>
        <v>22</v>
      </c>
      <c r="C26" s="494" t="s">
        <v>780</v>
      </c>
      <c r="D26" s="493" t="s">
        <v>847</v>
      </c>
      <c r="E26" s="505" t="str">
        <f>+'05-POA PROM DEFENSA DERECHOS'!I21</f>
        <v>Espacios de mejora y transferencia de conocimiento realizados</v>
      </c>
      <c r="F26" s="505" t="str">
        <f>+'05-POA PROM DEFENSA DERECHOS'!J21</f>
        <v>∑ Número de Espacios de Mejora y Transferencia de Conocimiento</v>
      </c>
      <c r="G26" s="501" t="s">
        <v>810</v>
      </c>
      <c r="H26" s="496" t="s">
        <v>781</v>
      </c>
      <c r="I26" s="497">
        <v>85</v>
      </c>
      <c r="J26" s="498" t="str">
        <f t="shared" si="0"/>
        <v>Desde (&gt;=):</v>
      </c>
      <c r="K26" s="498">
        <f t="shared" si="1"/>
        <v>80</v>
      </c>
      <c r="L26" s="498" t="str">
        <f t="shared" si="2"/>
        <v>Hasta (&lt;=):</v>
      </c>
      <c r="M26" s="498">
        <f t="shared" si="3"/>
        <v>85</v>
      </c>
      <c r="N26" s="498" t="str">
        <f t="shared" si="4"/>
        <v>Menor A:</v>
      </c>
      <c r="O26" s="499">
        <v>80</v>
      </c>
      <c r="P26" s="511">
        <f>+'05-POA PROM DEFENSA DERECHOS'!F21</f>
        <v>80</v>
      </c>
      <c r="Q26" s="511">
        <f>+'05-POA PROM DEFENSA DERECHOS'!G21</f>
        <v>20</v>
      </c>
      <c r="R26" s="516" t="str">
        <f>+'05-POA PROM DEFENSA DERECHOS'!O21</f>
        <v>P.D. para la Coordinación del MP y DDHH y sus dependencias adscritas.</v>
      </c>
    </row>
    <row r="27" spans="2:18" ht="92.4">
      <c r="B27" s="493">
        <f t="shared" si="5"/>
        <v>23</v>
      </c>
      <c r="C27" s="494" t="s">
        <v>780</v>
      </c>
      <c r="D27" s="493" t="s">
        <v>848</v>
      </c>
      <c r="E27" s="505" t="str">
        <f>+'05-POA PROM DEFENSA DERECHOS'!I22</f>
        <v>Porcentaje de Acciones de Tutela, Desacatos e Impugnaciones Entregadas en un Termino Menor a Cinco (5) Días Hábiles</v>
      </c>
      <c r="F27" s="505" t="str">
        <f>+'05-POA PROM DEFENSA DERECHOS'!J22</f>
        <v>∑ Número de Tutelas, Desacatos e Impugnaciones entregadas en los primeros cinco (5) días hábiles
-------------------------------------------------------------------- * 100
∑ Número de Tutelas, Desacatos e Impugnaciones solicitadas</v>
      </c>
      <c r="G27" s="501" t="s">
        <v>810</v>
      </c>
      <c r="H27" s="496" t="s">
        <v>776</v>
      </c>
      <c r="I27" s="497">
        <v>95</v>
      </c>
      <c r="J27" s="498" t="str">
        <f t="shared" si="0"/>
        <v>Desde (&gt;):</v>
      </c>
      <c r="K27" s="498">
        <f t="shared" si="1"/>
        <v>90</v>
      </c>
      <c r="L27" s="498" t="str">
        <f t="shared" si="2"/>
        <v>Hasta (&lt;):</v>
      </c>
      <c r="M27" s="498">
        <f t="shared" si="3"/>
        <v>95</v>
      </c>
      <c r="N27" s="498" t="str">
        <f t="shared" si="4"/>
        <v>Menor o Igual A:</v>
      </c>
      <c r="O27" s="499">
        <v>90</v>
      </c>
      <c r="P27" s="511" t="str">
        <f>+'05-POA PROM DEFENSA DERECHOS'!F22</f>
        <v>&gt;=95%</v>
      </c>
      <c r="Q27" s="511" t="str">
        <f>+'05-POA PROM DEFENSA DERECHOS'!G22</f>
        <v>&gt;=95%</v>
      </c>
      <c r="R27" s="516" t="str">
        <f>+'05-POA PROM DEFENSA DERECHOS'!O22</f>
        <v>P.D. para Asuntos Jurisdiccionales, Víctimas y Penal II.
P.D. para la Coordinación de la Gestión de Personerías Locales y sus Personerías Locales adscritas</v>
      </c>
    </row>
    <row r="28" spans="2:18" ht="26.4">
      <c r="B28" s="493">
        <f t="shared" si="5"/>
        <v>24</v>
      </c>
      <c r="C28" s="494" t="s">
        <v>780</v>
      </c>
      <c r="D28" s="493" t="s">
        <v>849</v>
      </c>
      <c r="E28" s="505" t="str">
        <f>+'05-POA PROM DEFENSA DERECHOS'!I23</f>
        <v>Audiencias Publicas Realizadas con Asistencia del Ministerio Público</v>
      </c>
      <c r="F28" s="505" t="str">
        <f>+'05-POA PROM DEFENSA DERECHOS'!J23</f>
        <v>∑ Número de Audiencias Publicas Realizadas con Asistencia del Ministerio Público</v>
      </c>
      <c r="G28" s="501" t="s">
        <v>810</v>
      </c>
      <c r="H28" s="496" t="s">
        <v>776</v>
      </c>
      <c r="I28" s="497">
        <v>95</v>
      </c>
      <c r="J28" s="498" t="str">
        <f t="shared" si="0"/>
        <v>Desde (&gt;):</v>
      </c>
      <c r="K28" s="498">
        <f t="shared" si="1"/>
        <v>90</v>
      </c>
      <c r="L28" s="498" t="str">
        <f t="shared" si="2"/>
        <v>Hasta (&lt;):</v>
      </c>
      <c r="M28" s="498">
        <f t="shared" si="3"/>
        <v>95</v>
      </c>
      <c r="N28" s="498" t="str">
        <f t="shared" si="4"/>
        <v>Menor o Igual A:</v>
      </c>
      <c r="O28" s="499">
        <v>90</v>
      </c>
      <c r="P28" s="511">
        <f>+'05-POA PROM DEFENSA DERECHOS'!F23</f>
        <v>20000</v>
      </c>
      <c r="Q28" s="511">
        <f>+'05-POA PROM DEFENSA DERECHOS'!G23</f>
        <v>5000</v>
      </c>
      <c r="R28" s="516" t="str">
        <f>+'05-POA PROM DEFENSA DERECHOS'!O23</f>
        <v>P.D. para la Coordinación de la Gestión de Personerías Locales y sus Personerías Locales adscritas</v>
      </c>
    </row>
    <row r="29" spans="2:18" ht="39.6">
      <c r="B29" s="493">
        <f t="shared" si="5"/>
        <v>25</v>
      </c>
      <c r="C29" s="494" t="s">
        <v>780</v>
      </c>
      <c r="D29" s="493" t="s">
        <v>850</v>
      </c>
      <c r="E29" s="505" t="str">
        <f>+'05-POA PROM DEFENSA DERECHOS'!I24</f>
        <v>Intervenciones realizadas oportunamente para evitar la caducidad y perdida de fuerza ejecutoria (Impulsos procesales)</v>
      </c>
      <c r="F29" s="505" t="str">
        <f>+'05-POA PROM DEFENSA DERECHOS'!J24</f>
        <v>∑ Número de intervenciones realizadas para Evitar la Caducidad y Perdida de Fuerza Ejecutoria (Impulsos procesales)</v>
      </c>
      <c r="G29" s="501" t="s">
        <v>810</v>
      </c>
      <c r="H29" s="496" t="s">
        <v>776</v>
      </c>
      <c r="I29" s="497">
        <v>95</v>
      </c>
      <c r="J29" s="498" t="str">
        <f t="shared" si="0"/>
        <v>Desde (&gt;):</v>
      </c>
      <c r="K29" s="498">
        <f t="shared" si="1"/>
        <v>90</v>
      </c>
      <c r="L29" s="498" t="str">
        <f t="shared" si="2"/>
        <v>Hasta (&lt;):</v>
      </c>
      <c r="M29" s="498">
        <f t="shared" si="3"/>
        <v>95</v>
      </c>
      <c r="N29" s="498" t="str">
        <f t="shared" si="4"/>
        <v>Menor o Igual A:</v>
      </c>
      <c r="O29" s="499">
        <v>90</v>
      </c>
      <c r="P29" s="511">
        <f>+'05-POA PROM DEFENSA DERECHOS'!F24</f>
        <v>12000</v>
      </c>
      <c r="Q29" s="511">
        <f>+'05-POA PROM DEFENSA DERECHOS'!G24</f>
        <v>3000</v>
      </c>
      <c r="R29" s="516" t="str">
        <f>+'05-POA PROM DEFENSA DERECHOS'!O24</f>
        <v>P.D. para la Coordinación de la Gestión de Personerías Locales y sus Personerías Locales adscritas</v>
      </c>
    </row>
    <row r="30" spans="2:18" ht="26.4">
      <c r="B30" s="493">
        <f t="shared" si="5"/>
        <v>26</v>
      </c>
      <c r="C30" s="494" t="s">
        <v>780</v>
      </c>
      <c r="D30" s="493" t="s">
        <v>851</v>
      </c>
      <c r="E30" s="505" t="str">
        <f>+'05-POA PROM DEFENSA DERECHOS'!I25</f>
        <v>Expedientes con impulso procesal para la gestión de multas</v>
      </c>
      <c r="F30" s="505" t="str">
        <f>+'05-POA PROM DEFENSA DERECHOS'!J25</f>
        <v>∑ Número de expedientes con Impulso Procesal para la Gestión de las Multas</v>
      </c>
      <c r="G30" s="501" t="s">
        <v>810</v>
      </c>
      <c r="H30" s="496" t="s">
        <v>776</v>
      </c>
      <c r="I30" s="497">
        <v>95</v>
      </c>
      <c r="J30" s="498" t="str">
        <f t="shared" si="0"/>
        <v>Desde (&gt;):</v>
      </c>
      <c r="K30" s="498">
        <f t="shared" si="1"/>
        <v>90</v>
      </c>
      <c r="L30" s="498" t="str">
        <f t="shared" si="2"/>
        <v>Hasta (&lt;):</v>
      </c>
      <c r="M30" s="498">
        <f t="shared" si="3"/>
        <v>95</v>
      </c>
      <c r="N30" s="498" t="str">
        <f t="shared" si="4"/>
        <v>Menor o Igual A:</v>
      </c>
      <c r="O30" s="499">
        <v>90</v>
      </c>
      <c r="P30" s="511">
        <f>+'05-POA PROM DEFENSA DERECHOS'!F25</f>
        <v>2800</v>
      </c>
      <c r="Q30" s="511">
        <f>+'05-POA PROM DEFENSA DERECHOS'!G25</f>
        <v>700</v>
      </c>
      <c r="R30" s="516" t="str">
        <f>+'05-POA PROM DEFENSA DERECHOS'!O25</f>
        <v>P.D. para la Coordinación de la Gestión de Personerías Locales y sus Personerías Locales adscritas</v>
      </c>
    </row>
    <row r="31" spans="2:18" ht="39.6">
      <c r="B31" s="493">
        <f t="shared" si="5"/>
        <v>27</v>
      </c>
      <c r="C31" s="494" t="s">
        <v>780</v>
      </c>
      <c r="D31" s="493" t="s">
        <v>852</v>
      </c>
      <c r="E31" s="505" t="str">
        <f>+'05-POA PROM DEFENSA DERECHOS'!I26</f>
        <v>Estados de vulneración establecidos</v>
      </c>
      <c r="F31" s="505" t="str">
        <f>+'05-POA PROM DEFENSA DERECHOS'!J26</f>
        <v xml:space="preserve">∑ Número de Estados de vulneración realizados
</v>
      </c>
      <c r="G31" s="501" t="s">
        <v>810</v>
      </c>
      <c r="H31" s="496" t="s">
        <v>776</v>
      </c>
      <c r="I31" s="497">
        <v>95</v>
      </c>
      <c r="J31" s="498" t="str">
        <f t="shared" si="0"/>
        <v>Desde (&gt;):</v>
      </c>
      <c r="K31" s="498">
        <f t="shared" si="1"/>
        <v>90</v>
      </c>
      <c r="L31" s="498" t="str">
        <f t="shared" si="2"/>
        <v>Hasta (&lt;):</v>
      </c>
      <c r="M31" s="498">
        <f t="shared" si="3"/>
        <v>95</v>
      </c>
      <c r="N31" s="498" t="str">
        <f t="shared" si="4"/>
        <v>Menor o Igual A:</v>
      </c>
      <c r="O31" s="499">
        <v>90</v>
      </c>
      <c r="P31" s="511">
        <f>+'05-POA PROM DEFENSA DERECHOS'!F26</f>
        <v>60</v>
      </c>
      <c r="Q31" s="511">
        <f>+'05-POA PROM DEFENSA DERECHOS'!G26</f>
        <v>0</v>
      </c>
      <c r="R31" s="516" t="str">
        <f>+'05-POA PROM DEFENSA DERECHOS'!O26</f>
        <v>P.D. para la Coordinación de la Gestión de Personerías Locales y sus Personerías Locales adscritas</v>
      </c>
    </row>
    <row r="32" spans="2:18" ht="45.6">
      <c r="B32" s="493">
        <f t="shared" si="5"/>
        <v>28</v>
      </c>
      <c r="C32" s="494" t="s">
        <v>780</v>
      </c>
      <c r="D32" s="493" t="s">
        <v>853</v>
      </c>
      <c r="E32" s="505" t="str">
        <f>+'05-POA PROM DEFENSA DERECHOS'!I27</f>
        <v>Personas sensibilizadas en el Distrito Capital</v>
      </c>
      <c r="F32" s="505" t="str">
        <f>+'05-POA PROM DEFENSA DERECHOS'!J27</f>
        <v>∑ Número de Personas Sensibilizadas en el Distrito Capital</v>
      </c>
      <c r="G32" s="501" t="s">
        <v>810</v>
      </c>
      <c r="H32" s="496" t="s">
        <v>781</v>
      </c>
      <c r="I32" s="497">
        <v>85</v>
      </c>
      <c r="J32" s="498" t="str">
        <f t="shared" si="0"/>
        <v>Desde (&gt;=):</v>
      </c>
      <c r="K32" s="498">
        <f t="shared" si="1"/>
        <v>80</v>
      </c>
      <c r="L32" s="498" t="str">
        <f t="shared" si="2"/>
        <v>Hasta (&lt;=):</v>
      </c>
      <c r="M32" s="498">
        <f t="shared" si="3"/>
        <v>85</v>
      </c>
      <c r="N32" s="498" t="str">
        <f t="shared" si="4"/>
        <v>Menor A:</v>
      </c>
      <c r="O32" s="499">
        <v>80</v>
      </c>
      <c r="P32" s="511">
        <f>+'05-POA PROM DEFENSA DERECHOS'!F27</f>
        <v>187360</v>
      </c>
      <c r="Q32" s="511">
        <f>+'05-POA PROM DEFENSA DERECHOS'!G27</f>
        <v>62360</v>
      </c>
      <c r="R32" s="516" t="str">
        <f>+'05-POA PROM DEFENSA DERECHOS'!O27</f>
        <v>P.D. para la Coordinación del MP y DDHH y sus dependencias adscritas
P.D. para la Coordinación de la Gestión de Personerías Locales y sus Personerías Locales adscritas</v>
      </c>
    </row>
    <row r="33" spans="2:18" ht="45.6">
      <c r="B33" s="493">
        <f t="shared" si="5"/>
        <v>29</v>
      </c>
      <c r="C33" s="494" t="s">
        <v>780</v>
      </c>
      <c r="D33" s="493" t="s">
        <v>854</v>
      </c>
      <c r="E33" s="505" t="str">
        <f>+'05-POA PROM DEFENSA DERECHOS'!I28</f>
        <v>Acciones en favor de las víctimas del conflicto armado interno adelantadas</v>
      </c>
      <c r="F33" s="505" t="str">
        <f>+'05-POA PROM DEFENSA DERECHOS'!J28</f>
        <v>∑ Número de Acciones en Favor de las Víctimas del Conflicto Armado Interno Realizadas</v>
      </c>
      <c r="G33" s="501" t="s">
        <v>810</v>
      </c>
      <c r="H33" s="496" t="s">
        <v>781</v>
      </c>
      <c r="I33" s="497">
        <v>85</v>
      </c>
      <c r="J33" s="498" t="str">
        <f t="shared" si="0"/>
        <v>Desde (&gt;=):</v>
      </c>
      <c r="K33" s="498">
        <f t="shared" si="1"/>
        <v>80</v>
      </c>
      <c r="L33" s="498" t="str">
        <f t="shared" si="2"/>
        <v>Hasta (&lt;=):</v>
      </c>
      <c r="M33" s="498">
        <f t="shared" si="3"/>
        <v>85</v>
      </c>
      <c r="N33" s="498" t="str">
        <f t="shared" si="4"/>
        <v>Menor A:</v>
      </c>
      <c r="O33" s="499">
        <v>80</v>
      </c>
      <c r="P33" s="511">
        <f>+'05-POA PROM DEFENSA DERECHOS'!F28</f>
        <v>25680</v>
      </c>
      <c r="Q33" s="511">
        <f>+'05-POA PROM DEFENSA DERECHOS'!G28</f>
        <v>4080</v>
      </c>
      <c r="R33" s="516" t="str">
        <f>+'05-POA PROM DEFENSA DERECHOS'!O28</f>
        <v>P.D. para la Protección de las Víctimas del Conflicto Armado Interno
P.D. para la Coordinación de la Gestión de Personerías Locales y sus Personerías Locales adscritas</v>
      </c>
    </row>
    <row r="34" spans="2:18" ht="45.6">
      <c r="B34" s="493">
        <f t="shared" si="5"/>
        <v>30</v>
      </c>
      <c r="C34" s="494" t="s">
        <v>780</v>
      </c>
      <c r="D34" s="493" t="s">
        <v>855</v>
      </c>
      <c r="E34" s="505" t="str">
        <f>+'05-POA PROM DEFENSA DERECHOS'!I29</f>
        <v>Acciones constitucionales elaboradas para prevenir vulneración de derechos</v>
      </c>
      <c r="F34" s="505" t="str">
        <f>+'05-POA PROM DEFENSA DERECHOS'!J29</f>
        <v>∑ Número de Acciones Constitucionales Elaboradas</v>
      </c>
      <c r="G34" s="501" t="s">
        <v>810</v>
      </c>
      <c r="H34" s="496" t="s">
        <v>781</v>
      </c>
      <c r="I34" s="497">
        <v>85</v>
      </c>
      <c r="J34" s="498" t="str">
        <f t="shared" si="0"/>
        <v>Desde (&gt;=):</v>
      </c>
      <c r="K34" s="498">
        <f t="shared" si="1"/>
        <v>80</v>
      </c>
      <c r="L34" s="498" t="str">
        <f t="shared" si="2"/>
        <v>Hasta (&lt;=):</v>
      </c>
      <c r="M34" s="498">
        <f t="shared" si="3"/>
        <v>85</v>
      </c>
      <c r="N34" s="498" t="str">
        <f t="shared" si="4"/>
        <v>Menor A:</v>
      </c>
      <c r="O34" s="499">
        <v>80</v>
      </c>
      <c r="P34" s="511">
        <f>+'05-POA PROM DEFENSA DERECHOS'!F29</f>
        <v>20390</v>
      </c>
      <c r="Q34" s="511">
        <f>+'05-POA PROM DEFENSA DERECHOS'!G29</f>
        <v>4790</v>
      </c>
      <c r="R34" s="516" t="str">
        <f>+'05-POA PROM DEFENSA DERECHOS'!O29</f>
        <v>P.D. para Asuntos Jurisdiccionales, Víctimas, Penal II y Consumidor.
P.D. para la Coordinación de la Gestión de Personerías Locales y sus Personerías Locales adscritas</v>
      </c>
    </row>
    <row r="35" spans="2:18" ht="39.6">
      <c r="B35" s="493">
        <f t="shared" si="5"/>
        <v>31</v>
      </c>
      <c r="C35" s="494" t="s">
        <v>780</v>
      </c>
      <c r="D35" s="493" t="s">
        <v>856</v>
      </c>
      <c r="E35" s="505" t="str">
        <f>+'05-POA PROM DEFENSA DERECHOS'!I30</f>
        <v>Seguimientos realizados por el Ministerio Público a las medidas de protección impuestas por las Comisarias de Familia</v>
      </c>
      <c r="F35" s="505" t="str">
        <f>+'05-POA PROM DEFENSA DERECHOS'!J30</f>
        <v>∑ Número de Seguimientos Realizados por el Ministerio Público a las Medidas de Protección impuestas por las Comisarias de Familia</v>
      </c>
      <c r="G35" s="501" t="s">
        <v>810</v>
      </c>
      <c r="H35" s="496" t="s">
        <v>781</v>
      </c>
      <c r="I35" s="497">
        <v>85</v>
      </c>
      <c r="J35" s="498" t="str">
        <f t="shared" si="0"/>
        <v>Desde (&gt;=):</v>
      </c>
      <c r="K35" s="498">
        <f t="shared" si="1"/>
        <v>80</v>
      </c>
      <c r="L35" s="498" t="str">
        <f t="shared" si="2"/>
        <v>Hasta (&lt;=):</v>
      </c>
      <c r="M35" s="498">
        <f t="shared" si="3"/>
        <v>85</v>
      </c>
      <c r="N35" s="498" t="str">
        <f t="shared" si="4"/>
        <v>Menor A:</v>
      </c>
      <c r="O35" s="499">
        <v>80</v>
      </c>
      <c r="P35" s="511">
        <f>+'05-POA PROM DEFENSA DERECHOS'!F30</f>
        <v>3940</v>
      </c>
      <c r="Q35" s="511">
        <f>+'05-POA PROM DEFENSA DERECHOS'!G30</f>
        <v>940</v>
      </c>
      <c r="R35" s="516" t="str">
        <f>+'05-POA PROM DEFENSA DERECHOS'!O30</f>
        <v>P.D. para la Familia y Sujetos de Especial Protección Constitucional</v>
      </c>
    </row>
    <row r="36" spans="2:18" ht="57">
      <c r="B36" s="493">
        <f t="shared" si="5"/>
        <v>32</v>
      </c>
      <c r="C36" s="494" t="s">
        <v>780</v>
      </c>
      <c r="D36" s="493" t="s">
        <v>857</v>
      </c>
      <c r="E36" s="505" t="str">
        <f>+'05-POA PROM DEFENSA DERECHOS'!I31</f>
        <v>Espacios Interinstitucionales con participación</v>
      </c>
      <c r="F36" s="505" t="str">
        <f>+'05-POA PROM DEFENSA DERECHOS'!J31</f>
        <v>∑ Número de Espacios Interinstitucional con Participación</v>
      </c>
      <c r="G36" s="501" t="s">
        <v>810</v>
      </c>
      <c r="H36" s="496" t="s">
        <v>781</v>
      </c>
      <c r="I36" s="497">
        <v>85</v>
      </c>
      <c r="J36" s="498" t="str">
        <f t="shared" si="0"/>
        <v>Desde (&gt;=):</v>
      </c>
      <c r="K36" s="498">
        <f t="shared" si="1"/>
        <v>80</v>
      </c>
      <c r="L36" s="498" t="str">
        <f t="shared" si="2"/>
        <v>Hasta (&lt;=):</v>
      </c>
      <c r="M36" s="498">
        <f t="shared" si="3"/>
        <v>85</v>
      </c>
      <c r="N36" s="498" t="str">
        <f t="shared" si="4"/>
        <v>Menor A:</v>
      </c>
      <c r="O36" s="499">
        <v>80</v>
      </c>
      <c r="P36" s="511">
        <f>+'05-POA PROM DEFENSA DERECHOS'!F31</f>
        <v>4632</v>
      </c>
      <c r="Q36" s="511">
        <f>+'05-POA PROM DEFENSA DERECHOS'!G31</f>
        <v>1402</v>
      </c>
      <c r="R36" s="516"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7" spans="2:18" ht="57">
      <c r="B37" s="493">
        <f t="shared" si="5"/>
        <v>33</v>
      </c>
      <c r="C37" s="494" t="s">
        <v>780</v>
      </c>
      <c r="D37" s="493" t="s">
        <v>858</v>
      </c>
      <c r="E37" s="505" t="str">
        <f>+'05-POA PROM DEFENSA DERECHOS'!I32</f>
        <v>Seguimientos a la Amenaza y Vulneración de los Derechos Realizados</v>
      </c>
      <c r="F37" s="505" t="str">
        <f>+'05-POA PROM DEFENSA DERECHOS'!J32</f>
        <v>∑ Número de Seguimientos a la Amenaza y Vulneración de los Derechos Realizados</v>
      </c>
      <c r="G37" s="501" t="s">
        <v>810</v>
      </c>
      <c r="H37" s="496" t="s">
        <v>781</v>
      </c>
      <c r="I37" s="497">
        <v>85</v>
      </c>
      <c r="J37" s="498" t="str">
        <f t="shared" ref="J37:J66" si="6">IF(OR($H37="Mayor A:",$H37="Menor A:"),"Desde (&gt;=):",
IF(OR($H37="Mayor o Igual A:",$H37="Menor o Igual A:"),"Desde (&gt;):",
IF($H37="Igual A:","No Aplica",
IF($H37="",""))))</f>
        <v>Desde (&gt;=):</v>
      </c>
      <c r="K37" s="498">
        <f t="shared" si="1"/>
        <v>80</v>
      </c>
      <c r="L37" s="498" t="str">
        <f t="shared" ref="L37:L66" si="7">IF(OR($H37="Mayor A:",$H37="Menor A:"),"Hasta (&lt;=):",
IF(OR($H37="Mayor o Igual A:",$H37="Menor o Igual A:"),"Hasta (&lt;):",
IF($H37="Igual A:","No Aplica",
IF($H37="",""))))</f>
        <v>Hasta (&lt;=):</v>
      </c>
      <c r="M37" s="498">
        <f t="shared" si="3"/>
        <v>85</v>
      </c>
      <c r="N37" s="498" t="str">
        <f t="shared" ref="N37:N66" si="8">IF($H37="Mayor A:","Menor A:",
IF($H37="Menor A:","Mayor A:",
IF($H37="Mayor o Igual A:","Menor o Igual A:",
IF($H37="Menor o Igual A:","Mayor o Igual A:",
IF($H37="Igual A:","Igual A:",
IF($H37="",""))))))</f>
        <v>Menor A:</v>
      </c>
      <c r="O37" s="499">
        <v>80</v>
      </c>
      <c r="P37" s="511">
        <f>+'05-POA PROM DEFENSA DERECHOS'!F32</f>
        <v>712</v>
      </c>
      <c r="Q37" s="511">
        <f>+'05-POA PROM DEFENSA DERECHOS'!G32</f>
        <v>228</v>
      </c>
      <c r="R37" s="516"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8" spans="2:18" ht="45.6">
      <c r="B38" s="493">
        <f t="shared" si="5"/>
        <v>34</v>
      </c>
      <c r="C38" s="494" t="s">
        <v>780</v>
      </c>
      <c r="D38" s="493" t="s">
        <v>859</v>
      </c>
      <c r="E38" s="505" t="str">
        <f>+'05-POA PROM DEFENSA DERECHOS'!I33</f>
        <v>Actividades de acercamiento de la Entidad a la comunidad realizadas</v>
      </c>
      <c r="F38" s="505" t="str">
        <f>+'05-POA PROM DEFENSA DERECHOS'!J33</f>
        <v>∑ Número de Actividades Realizadas para Acercar la Entidad a la Comunidad</v>
      </c>
      <c r="G38" s="501" t="s">
        <v>810</v>
      </c>
      <c r="H38" s="496" t="s">
        <v>781</v>
      </c>
      <c r="I38" s="497">
        <v>85</v>
      </c>
      <c r="J38" s="498" t="str">
        <f t="shared" si="6"/>
        <v>Desde (&gt;=):</v>
      </c>
      <c r="K38" s="498">
        <f t="shared" si="1"/>
        <v>80</v>
      </c>
      <c r="L38" s="498" t="str">
        <f t="shared" si="7"/>
        <v>Hasta (&lt;=):</v>
      </c>
      <c r="M38" s="498">
        <f t="shared" si="3"/>
        <v>85</v>
      </c>
      <c r="N38" s="498" t="str">
        <f t="shared" si="8"/>
        <v>Menor A:</v>
      </c>
      <c r="O38" s="499">
        <v>80</v>
      </c>
      <c r="P38" s="511">
        <f>+'05-POA PROM DEFENSA DERECHOS'!F33</f>
        <v>20</v>
      </c>
      <c r="Q38" s="511">
        <f>+'05-POA PROM DEFENSA DERECHOS'!G33</f>
        <v>2</v>
      </c>
      <c r="R38" s="516" t="str">
        <f>+'05-POA PROM DEFENSA DERECHOS'!O33</f>
        <v>P.D. para la Coordinación del MP y DDHH y sus dependencias adscritas
 P.D. para la Coordinación de la Gestión de Personerías Locales y sus Personerías Locales adscritas</v>
      </c>
    </row>
    <row r="39" spans="2:18" ht="45.6">
      <c r="B39" s="493">
        <f t="shared" si="5"/>
        <v>35</v>
      </c>
      <c r="C39" s="494" t="s">
        <v>780</v>
      </c>
      <c r="D39" s="493" t="s">
        <v>860</v>
      </c>
      <c r="E39" s="505" t="str">
        <f>+'05-POA PROM DEFENSA DERECHOS'!I34</f>
        <v>Acciones realizadas para incrementar la cobertura de los servicios</v>
      </c>
      <c r="F39" s="505" t="str">
        <f>+'05-POA PROM DEFENSA DERECHOS'!J34</f>
        <v>∑ Número de acciones realizadas para incrementar la Cobertura</v>
      </c>
      <c r="G39" s="501" t="s">
        <v>810</v>
      </c>
      <c r="H39" s="496" t="s">
        <v>781</v>
      </c>
      <c r="I39" s="497">
        <v>85</v>
      </c>
      <c r="J39" s="498" t="str">
        <f t="shared" si="6"/>
        <v>Desde (&gt;=):</v>
      </c>
      <c r="K39" s="498">
        <f t="shared" si="1"/>
        <v>80</v>
      </c>
      <c r="L39" s="498" t="str">
        <f t="shared" si="7"/>
        <v>Hasta (&lt;=):</v>
      </c>
      <c r="M39" s="498">
        <f t="shared" si="3"/>
        <v>85</v>
      </c>
      <c r="N39" s="498" t="str">
        <f t="shared" si="8"/>
        <v>Menor A:</v>
      </c>
      <c r="O39" s="499">
        <v>80</v>
      </c>
      <c r="P39" s="511">
        <f>+'05-POA PROM DEFENSA DERECHOS'!F34</f>
        <v>11</v>
      </c>
      <c r="Q39" s="511">
        <f>+'05-POA PROM DEFENSA DERECHOS'!G34</f>
        <v>3</v>
      </c>
      <c r="R39" s="516" t="str">
        <f>+'05-POA PROM DEFENSA DERECHOS'!O34</f>
        <v>P.D. para la Coordinación del MP y DDHH y sus dependencias adscritas
 P.D. para la Coordinación de la Gestión de Personerías Locales y sus Personerías Locales adscritas</v>
      </c>
    </row>
    <row r="40" spans="2:18" ht="45.6">
      <c r="B40" s="493">
        <f t="shared" si="5"/>
        <v>36</v>
      </c>
      <c r="C40" s="494" t="s">
        <v>780</v>
      </c>
      <c r="D40" s="493" t="s">
        <v>861</v>
      </c>
      <c r="E40" s="505" t="str">
        <f>+'05-POA PROM DEFENSA DERECHOS'!I35</f>
        <v>Herramientas de promoción y prevención a infracciones del Derecho Internacional Humanitario implementadas</v>
      </c>
      <c r="F40" s="505" t="str">
        <f>+'05-POA PROM DEFENSA DERECHOS'!J35</f>
        <v>∑ Número de Herramientas de Promoción y Prevención a Infracciones del Derecho Internacional Humanitario Implementadas</v>
      </c>
      <c r="G40" s="501" t="s">
        <v>810</v>
      </c>
      <c r="H40" s="496" t="s">
        <v>781</v>
      </c>
      <c r="I40" s="497">
        <v>85</v>
      </c>
      <c r="J40" s="498" t="str">
        <f t="shared" si="6"/>
        <v>Desde (&gt;=):</v>
      </c>
      <c r="K40" s="498">
        <f t="shared" si="1"/>
        <v>80</v>
      </c>
      <c r="L40" s="498" t="str">
        <f t="shared" si="7"/>
        <v>Hasta (&lt;=):</v>
      </c>
      <c r="M40" s="498">
        <f t="shared" si="3"/>
        <v>85</v>
      </c>
      <c r="N40" s="498" t="str">
        <f t="shared" si="8"/>
        <v>Menor A:</v>
      </c>
      <c r="O40" s="499">
        <v>80</v>
      </c>
      <c r="P40" s="511">
        <f>+'05-POA PROM DEFENSA DERECHOS'!F35</f>
        <v>4</v>
      </c>
      <c r="Q40" s="511">
        <f>+'05-POA PROM DEFENSA DERECHOS'!G35</f>
        <v>1</v>
      </c>
      <c r="R40" s="516" t="str">
        <f>+'05-POA PROM DEFENSA DERECHOS'!O35</f>
        <v>P.D. para la Coordinación del MP y DDHH y sus dependencias adscritas
 P.D. para la Coordinación de la Gestión de Personerías Locales y sus Personerías Locales adscritas</v>
      </c>
    </row>
    <row r="41" spans="2:18" ht="45.6">
      <c r="B41" s="493">
        <f t="shared" si="5"/>
        <v>37</v>
      </c>
      <c r="C41" s="494" t="s">
        <v>780</v>
      </c>
      <c r="D41" s="493" t="s">
        <v>862</v>
      </c>
      <c r="E41" s="505" t="str">
        <f>+'05-POA PROM DEFENSA DERECHOS'!I36</f>
        <v>Coordinación interinstitucional realizada</v>
      </c>
      <c r="F41" s="505" t="str">
        <f>+'05-POA PROM DEFENSA DERECHOS'!J36</f>
        <v>∑ Número de Coordinaciones Interinstitucionales Realizadas</v>
      </c>
      <c r="G41" s="501" t="s">
        <v>810</v>
      </c>
      <c r="H41" s="496" t="s">
        <v>781</v>
      </c>
      <c r="I41" s="497">
        <v>85</v>
      </c>
      <c r="J41" s="498" t="str">
        <f t="shared" si="6"/>
        <v>Desde (&gt;=):</v>
      </c>
      <c r="K41" s="498">
        <f t="shared" si="1"/>
        <v>80</v>
      </c>
      <c r="L41" s="498" t="str">
        <f t="shared" si="7"/>
        <v>Hasta (&lt;=):</v>
      </c>
      <c r="M41" s="498">
        <f t="shared" si="3"/>
        <v>85</v>
      </c>
      <c r="N41" s="498" t="str">
        <f t="shared" si="8"/>
        <v>Menor A:</v>
      </c>
      <c r="O41" s="499">
        <v>80</v>
      </c>
      <c r="P41" s="511">
        <f>+'05-POA PROM DEFENSA DERECHOS'!F36</f>
        <v>1</v>
      </c>
      <c r="Q41" s="511">
        <f>+'05-POA PROM DEFENSA DERECHOS'!G36</f>
        <v>0</v>
      </c>
      <c r="R41" s="516" t="str">
        <f>+'05-POA PROM DEFENSA DERECHOS'!O36</f>
        <v>P.D. para la Coordinación del MP y DDHH y sus dependencias adscritas
P.D. para la Coordinación de la Gestión de Personerías Locales y sus Personerías Locales adscritas</v>
      </c>
    </row>
    <row r="42" spans="2:18" ht="70.2" customHeight="1">
      <c r="B42" s="493">
        <f t="shared" si="5"/>
        <v>38</v>
      </c>
      <c r="C42" s="502" t="s">
        <v>782</v>
      </c>
      <c r="D42" s="501" t="s">
        <v>866</v>
      </c>
      <c r="E42" s="510" t="str">
        <f>+'06-PREV CTRL FUN PÚBLICA'!I16</f>
        <v>Informes realizados en temas específicos.</v>
      </c>
      <c r="F42" s="510" t="str">
        <f>+'06-PREV CTRL FUN PÚBLICA'!J16</f>
        <v>Número de informes realizados en temas específicos programados en el periodo.</v>
      </c>
      <c r="G42" s="501" t="s">
        <v>810</v>
      </c>
      <c r="H42" s="496" t="s">
        <v>781</v>
      </c>
      <c r="I42" s="497">
        <v>90</v>
      </c>
      <c r="J42" s="498" t="str">
        <f t="shared" si="6"/>
        <v>Desde (&gt;=):</v>
      </c>
      <c r="K42" s="498">
        <f t="shared" si="1"/>
        <v>66</v>
      </c>
      <c r="L42" s="498" t="str">
        <f t="shared" si="7"/>
        <v>Hasta (&lt;=):</v>
      </c>
      <c r="M42" s="498">
        <f t="shared" si="3"/>
        <v>90</v>
      </c>
      <c r="N42" s="498" t="str">
        <f t="shared" si="8"/>
        <v>Menor A:</v>
      </c>
      <c r="O42" s="499">
        <v>66</v>
      </c>
      <c r="P42" s="518">
        <f>+'06-PREV CTRL FUN PÚBLICA'!F16</f>
        <v>16</v>
      </c>
      <c r="Q42" s="518">
        <f>+'06-PREV CTRL FUN PÚBLICA'!G16</f>
        <v>3</v>
      </c>
      <c r="R42" s="516"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493">
        <f t="shared" si="5"/>
        <v>39</v>
      </c>
      <c r="C43" s="502" t="s">
        <v>782</v>
      </c>
      <c r="D43" s="501" t="s">
        <v>869</v>
      </c>
      <c r="E43" s="510" t="str">
        <f>+'06-PREV CTRL FUN PÚBLICA'!I17</f>
        <v>Informes de seguimientos realizados en temas específicos.</v>
      </c>
      <c r="F43" s="510" t="str">
        <f>+'06-PREV CTRL FUN PÚBLICA'!J17</f>
        <v>Número informes de seguimientos realizados en temas específicos en el periodo.</v>
      </c>
      <c r="G43" s="501" t="s">
        <v>810</v>
      </c>
      <c r="H43" s="496" t="s">
        <v>781</v>
      </c>
      <c r="I43" s="497">
        <v>90</v>
      </c>
      <c r="J43" s="498" t="str">
        <f t="shared" si="6"/>
        <v>Desde (&gt;=):</v>
      </c>
      <c r="K43" s="498">
        <f t="shared" si="1"/>
        <v>69</v>
      </c>
      <c r="L43" s="498" t="str">
        <f t="shared" si="7"/>
        <v>Hasta (&lt;=):</v>
      </c>
      <c r="M43" s="498">
        <f t="shared" si="3"/>
        <v>90</v>
      </c>
      <c r="N43" s="498" t="str">
        <f t="shared" si="8"/>
        <v>Menor A:</v>
      </c>
      <c r="O43" s="499">
        <v>69</v>
      </c>
      <c r="P43" s="518">
        <f>+'06-PREV CTRL FUN PÚBLICA'!F17</f>
        <v>6</v>
      </c>
      <c r="Q43" s="518">
        <f>+'06-PREV CTRL FUN PÚBLICA'!G17</f>
        <v>1</v>
      </c>
      <c r="R43" s="516"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493">
        <f t="shared" si="5"/>
        <v>40</v>
      </c>
      <c r="C44" s="502" t="s">
        <v>782</v>
      </c>
      <c r="D44" s="501" t="s">
        <v>870</v>
      </c>
      <c r="E44" s="510" t="str">
        <f>+'06-PREV CTRL FUN PÚBLICA'!I18</f>
        <v>Acciones de Prevención y Control a la Función Pública realizadas, con informe.</v>
      </c>
      <c r="F44" s="510" t="str">
        <f>+'06-PREV CTRL FUN PÚBLICA'!J18</f>
        <v>Número de informes de Acción de Prevención y Control a la Función Publica realizados en el periodo.</v>
      </c>
      <c r="G44" s="501" t="s">
        <v>810</v>
      </c>
      <c r="H44" s="496" t="s">
        <v>781</v>
      </c>
      <c r="I44" s="497">
        <v>77</v>
      </c>
      <c r="J44" s="498" t="str">
        <f t="shared" si="6"/>
        <v>Desde (&gt;=):</v>
      </c>
      <c r="K44" s="498">
        <f t="shared" si="1"/>
        <v>53</v>
      </c>
      <c r="L44" s="498" t="str">
        <f t="shared" si="7"/>
        <v>Hasta (&lt;=):</v>
      </c>
      <c r="M44" s="498">
        <f t="shared" si="3"/>
        <v>77</v>
      </c>
      <c r="N44" s="498" t="str">
        <f t="shared" si="8"/>
        <v>Menor A:</v>
      </c>
      <c r="O44" s="499">
        <v>53</v>
      </c>
      <c r="P44" s="518">
        <f>+'06-PREV CTRL FUN PÚBLICA'!F18</f>
        <v>790</v>
      </c>
      <c r="Q44" s="518">
        <f>+'06-PREV CTRL FUN PÚBLICA'!G18</f>
        <v>200</v>
      </c>
      <c r="R44" s="516"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493">
        <f t="shared" si="5"/>
        <v>41</v>
      </c>
      <c r="C45" s="502" t="s">
        <v>782</v>
      </c>
      <c r="D45" s="501" t="s">
        <v>871</v>
      </c>
      <c r="E45" s="510" t="str">
        <f>+'06-PREV CTRL FUN PÚBLICA'!I19</f>
        <v>Seguimientos realizados sobre acciones previas, con informe</v>
      </c>
      <c r="F45" s="510" t="str">
        <f>+'06-PREV CTRL FUN PÚBLICA'!J19</f>
        <v>Número de informes de seguimientos realizados en el periodo.</v>
      </c>
      <c r="G45" s="501" t="s">
        <v>810</v>
      </c>
      <c r="H45" s="496" t="s">
        <v>781</v>
      </c>
      <c r="I45" s="497">
        <v>80</v>
      </c>
      <c r="J45" s="498" t="str">
        <f t="shared" si="6"/>
        <v>Desde (&gt;=):</v>
      </c>
      <c r="K45" s="498">
        <f t="shared" si="1"/>
        <v>45</v>
      </c>
      <c r="L45" s="498" t="str">
        <f t="shared" si="7"/>
        <v>Hasta (&lt;=):</v>
      </c>
      <c r="M45" s="498">
        <f t="shared" si="3"/>
        <v>80</v>
      </c>
      <c r="N45" s="498" t="str">
        <f t="shared" si="8"/>
        <v>Menor A:</v>
      </c>
      <c r="O45" s="499">
        <v>45</v>
      </c>
      <c r="P45" s="518">
        <f>+'06-PREV CTRL FUN PÚBLICA'!F19</f>
        <v>90</v>
      </c>
      <c r="Q45" s="518">
        <f>+'06-PREV CTRL FUN PÚBLICA'!G19</f>
        <v>20</v>
      </c>
      <c r="R45" s="516"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493">
        <f t="shared" si="5"/>
        <v>42</v>
      </c>
      <c r="C46" s="502" t="s">
        <v>782</v>
      </c>
      <c r="D46" s="501" t="s">
        <v>872</v>
      </c>
      <c r="E46" s="510" t="str">
        <f>+'06-PREV CTRL FUN PÚBLICA'!I20</f>
        <v>Audiencias públicas y/o mesas de trabajo realizadas.</v>
      </c>
      <c r="F46" s="510" t="str">
        <f>+'06-PREV CTRL FUN PÚBLICA'!J20</f>
        <v>Número de audiencias públicas y/o mesas de trabajo realizadas en el periodo.</v>
      </c>
      <c r="G46" s="501" t="s">
        <v>810</v>
      </c>
      <c r="H46" s="496" t="s">
        <v>781</v>
      </c>
      <c r="I46" s="497">
        <v>85</v>
      </c>
      <c r="J46" s="498" t="str">
        <f t="shared" si="6"/>
        <v>Desde (&gt;=):</v>
      </c>
      <c r="K46" s="498">
        <f t="shared" si="1"/>
        <v>57</v>
      </c>
      <c r="L46" s="498" t="str">
        <f t="shared" si="7"/>
        <v>Hasta (&lt;=):</v>
      </c>
      <c r="M46" s="498">
        <f t="shared" si="3"/>
        <v>85</v>
      </c>
      <c r="N46" s="498" t="str">
        <f t="shared" si="8"/>
        <v>Menor A:</v>
      </c>
      <c r="O46" s="499">
        <v>57</v>
      </c>
      <c r="P46" s="518">
        <f>+'06-PREV CTRL FUN PÚBLICA'!F20</f>
        <v>55</v>
      </c>
      <c r="Q46" s="518">
        <f>+'06-PREV CTRL FUN PÚBLICA'!G20</f>
        <v>7</v>
      </c>
      <c r="R46" s="516" t="str">
        <f>+'06-PREV CTRL FUN PÚBLICA'!O20</f>
        <v>Personería Delegada para la Coordinación de Prevención y Control a la Función Pública y sus Personerías Delegadas.</v>
      </c>
    </row>
    <row r="47" spans="2:18" ht="26.4">
      <c r="B47" s="493">
        <f t="shared" si="5"/>
        <v>43</v>
      </c>
      <c r="C47" s="502" t="s">
        <v>782</v>
      </c>
      <c r="D47" s="501" t="s">
        <v>873</v>
      </c>
      <c r="E47" s="510" t="str">
        <f>+'06-PREV CTRL FUN PÚBLICA'!I21</f>
        <v>Acompañamientos a los ciudadanos realizados.</v>
      </c>
      <c r="F47" s="510" t="str">
        <f>+'06-PREV CTRL FUN PÚBLICA'!J21</f>
        <v>Número de acompañamientos a los ciudadanos realizados en el periodo.</v>
      </c>
      <c r="G47" s="501" t="s">
        <v>810</v>
      </c>
      <c r="H47" s="496" t="s">
        <v>781</v>
      </c>
      <c r="I47" s="497">
        <v>90</v>
      </c>
      <c r="J47" s="498" t="str">
        <f t="shared" si="6"/>
        <v>Desde (&gt;=):</v>
      </c>
      <c r="K47" s="498">
        <f t="shared" si="1"/>
        <v>69</v>
      </c>
      <c r="L47" s="498" t="str">
        <f t="shared" si="7"/>
        <v>Hasta (&lt;=):</v>
      </c>
      <c r="M47" s="498">
        <f t="shared" si="3"/>
        <v>90</v>
      </c>
      <c r="N47" s="498" t="str">
        <f t="shared" si="8"/>
        <v>Menor A:</v>
      </c>
      <c r="O47" s="499">
        <v>69</v>
      </c>
      <c r="P47" s="518">
        <f>+'06-PREV CTRL FUN PÚBLICA'!F21</f>
        <v>140</v>
      </c>
      <c r="Q47" s="518">
        <f>+'06-PREV CTRL FUN PÚBLICA'!G21</f>
        <v>40</v>
      </c>
      <c r="R47" s="516" t="str">
        <f>+'06-PREV CTRL FUN PÚBLICA'!O21</f>
        <v xml:space="preserve">Personería Delegada para la Coordinación de Gestión de las Personerías Locales y sus Personerías Locales. </v>
      </c>
    </row>
    <row r="48" spans="2:18" ht="45.6">
      <c r="B48" s="493">
        <f t="shared" si="5"/>
        <v>44</v>
      </c>
      <c r="C48" s="502" t="s">
        <v>782</v>
      </c>
      <c r="D48" s="501" t="s">
        <v>874</v>
      </c>
      <c r="E48" s="510" t="str">
        <f>+'06-PREV CTRL FUN PÚBLICA'!I22</f>
        <v>Espacios de dialogo realizados.</v>
      </c>
      <c r="F48" s="510" t="str">
        <f>+'06-PREV CTRL FUN PÚBLICA'!J22</f>
        <v>Número de espacios de dialogo realizados en el periodo.</v>
      </c>
      <c r="G48" s="501" t="s">
        <v>810</v>
      </c>
      <c r="H48" s="496" t="s">
        <v>781</v>
      </c>
      <c r="I48" s="497">
        <v>90</v>
      </c>
      <c r="J48" s="498" t="str">
        <f t="shared" si="6"/>
        <v>Desde (&gt;=):</v>
      </c>
      <c r="K48" s="498">
        <f t="shared" si="1"/>
        <v>69</v>
      </c>
      <c r="L48" s="498" t="str">
        <f t="shared" si="7"/>
        <v>Hasta (&lt;=):</v>
      </c>
      <c r="M48" s="498">
        <f t="shared" si="3"/>
        <v>90</v>
      </c>
      <c r="N48" s="498" t="str">
        <f t="shared" si="8"/>
        <v>Menor A:</v>
      </c>
      <c r="O48" s="499">
        <v>69</v>
      </c>
      <c r="P48" s="518">
        <f>+'06-PREV CTRL FUN PÚBLICA'!F22</f>
        <v>100</v>
      </c>
      <c r="Q48" s="518">
        <f>+'06-PREV CTRL FUN PÚBLICA'!G22</f>
        <v>20</v>
      </c>
      <c r="R48" s="516"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493">
        <f t="shared" si="5"/>
        <v>45</v>
      </c>
      <c r="C49" s="503" t="s">
        <v>783</v>
      </c>
      <c r="D49" s="501" t="s">
        <v>867</v>
      </c>
      <c r="E49" s="510" t="str">
        <f>+'07-POTESTAD DISCIPLINARIA'!I16</f>
        <v>Procesos priorizados identificados y decididos de fondo</v>
      </c>
      <c r="F49" s="510" t="str">
        <f>+'07-POTESTAD DISCIPLINARIA'!J16</f>
        <v>Número de procesos priorizados con decisiones de fondo proferidas</v>
      </c>
      <c r="G49" s="501" t="s">
        <v>810</v>
      </c>
      <c r="H49" s="496" t="s">
        <v>781</v>
      </c>
      <c r="I49" s="497">
        <v>90</v>
      </c>
      <c r="J49" s="498" t="str">
        <f t="shared" si="6"/>
        <v>Desde (&gt;=):</v>
      </c>
      <c r="K49" s="498">
        <f t="shared" si="1"/>
        <v>60</v>
      </c>
      <c r="L49" s="498" t="str">
        <f t="shared" si="7"/>
        <v>Hasta (&lt;=):</v>
      </c>
      <c r="M49" s="498">
        <f t="shared" si="3"/>
        <v>90</v>
      </c>
      <c r="N49" s="498" t="str">
        <f t="shared" si="8"/>
        <v>Menor A:</v>
      </c>
      <c r="O49" s="499">
        <v>60</v>
      </c>
      <c r="P49" s="511">
        <f>+'07-POTESTAD DISCIPLINARIA'!F16</f>
        <v>4500</v>
      </c>
      <c r="Q49" s="511">
        <f>+'07-POTESTAD DISCIPLINARIA'!G16</f>
        <v>900</v>
      </c>
      <c r="R49" s="516" t="str">
        <f>+'07-POTESTAD DISCIPLINARIA'!O16</f>
        <v>Personería Delegada para la Coordinación de Potestad Disciplinaria</v>
      </c>
    </row>
    <row r="50" spans="2:18" ht="39.6">
      <c r="B50" s="493">
        <f t="shared" si="5"/>
        <v>46</v>
      </c>
      <c r="C50" s="503" t="s">
        <v>783</v>
      </c>
      <c r="D50" s="501" t="s">
        <v>875</v>
      </c>
      <c r="E50" s="510" t="str">
        <f>+'07-POTESTAD DISCIPLINARIA'!I17</f>
        <v>Noticias disciplinarias  evaluadas y con impulso procesal</v>
      </c>
      <c r="F50" s="510" t="str">
        <f>+'07-POTESTAD DISCIPLINARIA'!J17</f>
        <v>Número de noticias disciplinarias evaluadas y con impulso procesal/ Número de noticias disciplinaria comisionadas a las Delegadas</v>
      </c>
      <c r="G50" s="501" t="s">
        <v>810</v>
      </c>
      <c r="H50" s="496" t="s">
        <v>781</v>
      </c>
      <c r="I50" s="497">
        <v>90</v>
      </c>
      <c r="J50" s="498" t="str">
        <f t="shared" si="6"/>
        <v>Desde (&gt;=):</v>
      </c>
      <c r="K50" s="498">
        <f t="shared" si="1"/>
        <v>60</v>
      </c>
      <c r="L50" s="498" t="str">
        <f t="shared" si="7"/>
        <v>Hasta (&lt;=):</v>
      </c>
      <c r="M50" s="498">
        <f t="shared" si="3"/>
        <v>90</v>
      </c>
      <c r="N50" s="498" t="str">
        <f t="shared" si="8"/>
        <v>Menor A:</v>
      </c>
      <c r="O50" s="499">
        <v>60</v>
      </c>
      <c r="P50" s="515">
        <f>+'07-POTESTAD DISCIPLINARIA'!F17</f>
        <v>1</v>
      </c>
      <c r="Q50" s="515">
        <f>+'07-POTESTAD DISCIPLINARIA'!G17</f>
        <v>1</v>
      </c>
      <c r="R50" s="516" t="str">
        <f>+'07-POTESTAD DISCIPLINARIA'!O17</f>
        <v>Personería Delegada para la Coordinación de Potestad Disciplinaria</v>
      </c>
    </row>
    <row r="51" spans="2:18" ht="26.4">
      <c r="B51" s="493">
        <f t="shared" si="5"/>
        <v>47</v>
      </c>
      <c r="C51" s="503" t="s">
        <v>783</v>
      </c>
      <c r="D51" s="501" t="s">
        <v>876</v>
      </c>
      <c r="E51" s="510" t="str">
        <f>+'07-POTESTAD DISCIPLINARIA'!I18</f>
        <v>Visitas de seguimiento a Oficinas de Control Interno Disciplinario realizadas</v>
      </c>
      <c r="F51" s="510" t="str">
        <f>+'07-POTESTAD DISCIPLINARIA'!J18</f>
        <v>Número de visitas de seguimiento a OCID realizadas</v>
      </c>
      <c r="G51" s="501" t="s">
        <v>810</v>
      </c>
      <c r="H51" s="496" t="s">
        <v>781</v>
      </c>
      <c r="I51" s="497">
        <v>90</v>
      </c>
      <c r="J51" s="498" t="str">
        <f t="shared" si="6"/>
        <v>Desde (&gt;=):</v>
      </c>
      <c r="K51" s="498">
        <f t="shared" si="1"/>
        <v>65</v>
      </c>
      <c r="L51" s="498" t="str">
        <f t="shared" si="7"/>
        <v>Hasta (&lt;=):</v>
      </c>
      <c r="M51" s="498">
        <f t="shared" si="3"/>
        <v>90</v>
      </c>
      <c r="N51" s="498" t="str">
        <f t="shared" si="8"/>
        <v>Menor A:</v>
      </c>
      <c r="O51" s="499">
        <v>65</v>
      </c>
      <c r="P51" s="511">
        <f>+'07-POTESTAD DISCIPLINARIA'!F18</f>
        <v>204</v>
      </c>
      <c r="Q51" s="511">
        <f>+'07-POTESTAD DISCIPLINARIA'!G18</f>
        <v>51</v>
      </c>
      <c r="R51" s="516" t="str">
        <f>+'07-POTESTAD DISCIPLINARIA'!O18</f>
        <v>Personería Delegada para la Coordinación de Potestad Disciplinaria</v>
      </c>
    </row>
    <row r="52" spans="2:18" ht="39.6">
      <c r="B52" s="493">
        <f t="shared" si="5"/>
        <v>48</v>
      </c>
      <c r="C52" s="503" t="s">
        <v>783</v>
      </c>
      <c r="D52" s="501" t="s">
        <v>877</v>
      </c>
      <c r="E52" s="510" t="str">
        <f>+'07-POTESTAD DISCIPLINARIA'!I19</f>
        <v>Procesos de interés e impacto asumidos por competencia</v>
      </c>
      <c r="F52" s="510" t="str">
        <f>+'07-POTESTAD DISCIPLINARIA'!J19</f>
        <v>Número de solicitudes a petición asumidas por poder preferente/ Número total de peticiones solicitadas por poder preferente</v>
      </c>
      <c r="G52" s="501" t="s">
        <v>810</v>
      </c>
      <c r="H52" s="496" t="s">
        <v>781</v>
      </c>
      <c r="I52" s="497">
        <v>90</v>
      </c>
      <c r="J52" s="498" t="str">
        <f t="shared" si="6"/>
        <v>Desde (&gt;=):</v>
      </c>
      <c r="K52" s="498">
        <f t="shared" si="1"/>
        <v>65</v>
      </c>
      <c r="L52" s="498" t="str">
        <f t="shared" si="7"/>
        <v>Hasta (&lt;=):</v>
      </c>
      <c r="M52" s="498">
        <f t="shared" si="3"/>
        <v>90</v>
      </c>
      <c r="N52" s="498" t="str">
        <f t="shared" si="8"/>
        <v>Menor A:</v>
      </c>
      <c r="O52" s="499">
        <v>65</v>
      </c>
      <c r="P52" s="515">
        <f>+'07-POTESTAD DISCIPLINARIA'!F19</f>
        <v>1</v>
      </c>
      <c r="Q52" s="515">
        <f>+'07-POTESTAD DISCIPLINARIA'!G19</f>
        <v>1</v>
      </c>
      <c r="R52" s="516" t="str">
        <f>+'07-POTESTAD DISCIPLINARIA'!O19</f>
        <v>Personería Delegada para la Coordinación de Potestad Disciplinaria</v>
      </c>
    </row>
    <row r="53" spans="2:18" ht="26.4">
      <c r="B53" s="493">
        <f t="shared" si="5"/>
        <v>49</v>
      </c>
      <c r="C53" s="503" t="s">
        <v>783</v>
      </c>
      <c r="D53" s="501" t="s">
        <v>878</v>
      </c>
      <c r="E53" s="510" t="str">
        <f>+'07-POTESTAD DISCIPLINARIA'!I20</f>
        <v>Escenarios de intercambio de conocimiento generados</v>
      </c>
      <c r="F53" s="510" t="str">
        <f>+'07-POTESTAD DISCIPLINARIA'!J20</f>
        <v xml:space="preserve">Número de escenarios de sensibilización generados </v>
      </c>
      <c r="G53" s="501" t="s">
        <v>810</v>
      </c>
      <c r="H53" s="496" t="s">
        <v>781</v>
      </c>
      <c r="I53" s="497">
        <v>90</v>
      </c>
      <c r="J53" s="498" t="str">
        <f t="shared" si="6"/>
        <v>Desde (&gt;=):</v>
      </c>
      <c r="K53" s="498">
        <f t="shared" si="1"/>
        <v>65</v>
      </c>
      <c r="L53" s="498" t="str">
        <f t="shared" si="7"/>
        <v>Hasta (&lt;=):</v>
      </c>
      <c r="M53" s="498">
        <f t="shared" si="3"/>
        <v>90</v>
      </c>
      <c r="N53" s="498" t="str">
        <f t="shared" si="8"/>
        <v>Menor A:</v>
      </c>
      <c r="O53" s="499">
        <v>65</v>
      </c>
      <c r="P53" s="511">
        <f>+'07-POTESTAD DISCIPLINARIA'!F20</f>
        <v>8</v>
      </c>
      <c r="Q53" s="511">
        <f>+'07-POTESTAD DISCIPLINARIA'!G20</f>
        <v>2</v>
      </c>
      <c r="R53" s="516" t="str">
        <f>+'07-POTESTAD DISCIPLINARIA'!O20</f>
        <v>Personería Delegada para la Coordinación de Potestad Disciplinaria</v>
      </c>
    </row>
    <row r="54" spans="2:18" ht="26.4">
      <c r="B54" s="493">
        <f t="shared" si="5"/>
        <v>50</v>
      </c>
      <c r="C54" s="503" t="s">
        <v>783</v>
      </c>
      <c r="D54" s="501" t="s">
        <v>879</v>
      </c>
      <c r="E54" s="510" t="str">
        <f>+'07-POTESTAD DISCIPLINARIA'!I21</f>
        <v xml:space="preserve">Sistema de Comunicación con las Oficinas de Control Interno Disciplinario implementado </v>
      </c>
      <c r="F54" s="510" t="str">
        <f>+'07-POTESTAD DISCIPLINARIA'!J21</f>
        <v>Porcentaje de avance en la implementación del Sistema de Comunicación</v>
      </c>
      <c r="G54" s="501" t="s">
        <v>810</v>
      </c>
      <c r="H54" s="496" t="s">
        <v>781</v>
      </c>
      <c r="I54" s="497">
        <v>90</v>
      </c>
      <c r="J54" s="498" t="str">
        <f t="shared" si="6"/>
        <v>Desde (&gt;=):</v>
      </c>
      <c r="K54" s="498">
        <f t="shared" si="1"/>
        <v>65</v>
      </c>
      <c r="L54" s="498" t="str">
        <f t="shared" si="7"/>
        <v>Hasta (&lt;=):</v>
      </c>
      <c r="M54" s="498">
        <f t="shared" si="3"/>
        <v>90</v>
      </c>
      <c r="N54" s="498" t="str">
        <f t="shared" si="8"/>
        <v>Menor A:</v>
      </c>
      <c r="O54" s="499">
        <v>65</v>
      </c>
      <c r="P54" s="511">
        <f>+'07-POTESTAD DISCIPLINARIA'!F21</f>
        <v>1</v>
      </c>
      <c r="Q54" s="513">
        <f>+'07-POTESTAD DISCIPLINARIA'!G21</f>
        <v>0.5</v>
      </c>
      <c r="R54" s="516" t="str">
        <f>+'07-POTESTAD DISCIPLINARIA'!O21</f>
        <v>Personería Delegada para la Coordinación de Potestad Disciplinaria</v>
      </c>
    </row>
    <row r="55" spans="2:18" ht="26.4">
      <c r="B55" s="493">
        <f t="shared" si="5"/>
        <v>51</v>
      </c>
      <c r="C55" s="503" t="s">
        <v>783</v>
      </c>
      <c r="D55" s="501" t="s">
        <v>880</v>
      </c>
      <c r="E55" s="510" t="str">
        <f>+'07-POTESTAD DISCIPLINARIA'!I22</f>
        <v xml:space="preserve">Sistema de información misional implementado </v>
      </c>
      <c r="F55" s="510" t="str">
        <f>+'07-POTESTAD DISCIPLINARIA'!J22</f>
        <v>Porcentaje de avance en la implementación de Sistema de Información</v>
      </c>
      <c r="G55" s="501" t="s">
        <v>810</v>
      </c>
      <c r="H55" s="496" t="s">
        <v>781</v>
      </c>
      <c r="I55" s="497">
        <v>90</v>
      </c>
      <c r="J55" s="498" t="str">
        <f t="shared" si="6"/>
        <v>Desde (&gt;=):</v>
      </c>
      <c r="K55" s="498">
        <f t="shared" si="1"/>
        <v>65</v>
      </c>
      <c r="L55" s="498" t="str">
        <f t="shared" si="7"/>
        <v>Hasta (&lt;=):</v>
      </c>
      <c r="M55" s="498">
        <f t="shared" si="3"/>
        <v>90</v>
      </c>
      <c r="N55" s="498" t="str">
        <f t="shared" si="8"/>
        <v>Menor A:</v>
      </c>
      <c r="O55" s="499">
        <v>65</v>
      </c>
      <c r="P55" s="511">
        <f>+'07-POTESTAD DISCIPLINARIA'!F22</f>
        <v>1</v>
      </c>
      <c r="Q55" s="513">
        <f>+'07-POTESTAD DISCIPLINARIA'!G22</f>
        <v>0.2</v>
      </c>
      <c r="R55" s="516" t="str">
        <f>+'07-POTESTAD DISCIPLINARIA'!O22</f>
        <v>Personería Delegada para la Coordinación de Potestad Disciplinaria</v>
      </c>
    </row>
    <row r="56" spans="2:18" ht="26.4">
      <c r="B56" s="493">
        <f t="shared" si="5"/>
        <v>52</v>
      </c>
      <c r="C56" s="503" t="s">
        <v>783</v>
      </c>
      <c r="D56" s="501" t="s">
        <v>881</v>
      </c>
      <c r="E56" s="510" t="str">
        <f>+'07-POTESTAD DISCIPLINARIA'!I23</f>
        <v>Relatoría diseñada e implementada</v>
      </c>
      <c r="F56" s="510" t="str">
        <f>+'07-POTESTAD DISCIPLINARIA'!J23</f>
        <v>Porcentaje de avance en la implementación de la relatoría</v>
      </c>
      <c r="G56" s="501" t="s">
        <v>810</v>
      </c>
      <c r="H56" s="496" t="s">
        <v>781</v>
      </c>
      <c r="I56" s="497">
        <v>90</v>
      </c>
      <c r="J56" s="498" t="str">
        <f t="shared" si="6"/>
        <v>Desde (&gt;=):</v>
      </c>
      <c r="K56" s="498">
        <f t="shared" si="1"/>
        <v>65</v>
      </c>
      <c r="L56" s="498" t="str">
        <f t="shared" si="7"/>
        <v>Hasta (&lt;=):</v>
      </c>
      <c r="M56" s="498">
        <f t="shared" si="3"/>
        <v>90</v>
      </c>
      <c r="N56" s="498" t="str">
        <f t="shared" si="8"/>
        <v>Menor A:</v>
      </c>
      <c r="O56" s="499">
        <v>65</v>
      </c>
      <c r="P56" s="511">
        <f>+'07-POTESTAD DISCIPLINARIA'!F23</f>
        <v>1</v>
      </c>
      <c r="Q56" s="513">
        <f>+'07-POTESTAD DISCIPLINARIA'!G23</f>
        <v>0.1</v>
      </c>
      <c r="R56" s="516" t="str">
        <f>+'07-POTESTAD DISCIPLINARIA'!O23</f>
        <v>Personería Delegada para la Coordinación de Potestad Disciplinaria</v>
      </c>
    </row>
    <row r="57" spans="2:18" ht="54" customHeight="1">
      <c r="B57" s="493">
        <f t="shared" si="5"/>
        <v>53</v>
      </c>
      <c r="C57" s="504" t="s">
        <v>784</v>
      </c>
      <c r="D57" s="501" t="s">
        <v>868</v>
      </c>
      <c r="E57" s="510" t="str">
        <f>+'08-G. DEL TALENTO HUMANO'!I16</f>
        <v>Porcentaje de novedades y situaciones administrativas gestionadas</v>
      </c>
      <c r="F57" s="510" t="str">
        <f>+'08-G. DEL TALENTO HUMANO'!J16</f>
        <v>N° de novedades y situaciones administrativas gestionadas /  N° requerimientos de novedades y situaciones administrativas presentados * 100</v>
      </c>
      <c r="G57" s="501" t="s">
        <v>810</v>
      </c>
      <c r="H57" s="496" t="s">
        <v>776</v>
      </c>
      <c r="I57" s="497">
        <v>90</v>
      </c>
      <c r="J57" s="498" t="str">
        <f t="shared" si="6"/>
        <v>Desde (&gt;):</v>
      </c>
      <c r="K57" s="498">
        <f t="shared" si="1"/>
        <v>69</v>
      </c>
      <c r="L57" s="498" t="str">
        <f t="shared" si="7"/>
        <v>Hasta (&lt;):</v>
      </c>
      <c r="M57" s="498">
        <f t="shared" si="3"/>
        <v>90</v>
      </c>
      <c r="N57" s="498" t="str">
        <f t="shared" si="8"/>
        <v>Menor o Igual A:</v>
      </c>
      <c r="O57" s="499">
        <v>69</v>
      </c>
      <c r="P57" s="512">
        <f>+'08-G. DEL TALENTO HUMANO'!F16</f>
        <v>1</v>
      </c>
      <c r="Q57" s="512">
        <f>+'08-G. DEL TALENTO HUMANO'!G16</f>
        <v>1</v>
      </c>
      <c r="R57" s="516" t="str">
        <f>+'08-G. DEL TALENTO HUMANO'!O16</f>
        <v xml:space="preserve">
Dirección de Talento Humano
</v>
      </c>
    </row>
    <row r="58" spans="2:18" ht="79.2" customHeight="1">
      <c r="B58" s="493">
        <f t="shared" si="5"/>
        <v>54</v>
      </c>
      <c r="C58" s="504" t="s">
        <v>784</v>
      </c>
      <c r="D58" s="501" t="s">
        <v>884</v>
      </c>
      <c r="E58" s="510" t="str">
        <f>+'08-G. DEL TALENTO HUMANO'!I17</f>
        <v xml:space="preserve">Novedades incluidas en la nómina  oportunamente  </v>
      </c>
      <c r="F58" s="510" t="str">
        <f>+'08-G. DEL TALENTO HUMANO'!J17</f>
        <v xml:space="preserve"> N° de Novedades incluidas en la Nomina oportunamente / N° de novedades radicadas en los plazos establecidos</v>
      </c>
      <c r="G58" s="501" t="s">
        <v>810</v>
      </c>
      <c r="H58" s="496" t="s">
        <v>776</v>
      </c>
      <c r="I58" s="497">
        <v>97</v>
      </c>
      <c r="J58" s="498" t="str">
        <f t="shared" si="6"/>
        <v>Desde (&gt;):</v>
      </c>
      <c r="K58" s="498">
        <f t="shared" si="1"/>
        <v>84</v>
      </c>
      <c r="L58" s="498" t="str">
        <f t="shared" si="7"/>
        <v>Hasta (&lt;):</v>
      </c>
      <c r="M58" s="498">
        <f t="shared" si="3"/>
        <v>97</v>
      </c>
      <c r="N58" s="498" t="str">
        <f t="shared" si="8"/>
        <v>Menor o Igual A:</v>
      </c>
      <c r="O58" s="499">
        <v>84</v>
      </c>
      <c r="P58" s="512">
        <f>+'08-G. DEL TALENTO HUMANO'!F17</f>
        <v>0.97</v>
      </c>
      <c r="Q58" s="512">
        <f>+'08-G. DEL TALENTO HUMANO'!G17</f>
        <v>0.97</v>
      </c>
      <c r="R58" s="516" t="str">
        <f>+'08-G. DEL TALENTO HUMANO'!O17</f>
        <v>Dependencia Líder: 
Dirección de Talento Humano
Dependencia Operativa:
Subdirección de Gestión del Talento Humano</v>
      </c>
    </row>
    <row r="59" spans="2:18" ht="66">
      <c r="B59" s="493">
        <f t="shared" si="5"/>
        <v>55</v>
      </c>
      <c r="C59" s="504" t="s">
        <v>784</v>
      </c>
      <c r="D59" s="501" t="s">
        <v>885</v>
      </c>
      <c r="E59" s="510" t="str">
        <f>+'08-G. DEL TALENTO HUMANO'!I18</f>
        <v>Porcentaje de Usuarios internos satisfechos con las solicitudes de los servicios atendidas de la SGTH (Certificaciones laborales, bonos pensionales y autorizaciones de retiro de cesantías)</v>
      </c>
      <c r="F59" s="510" t="str">
        <f>+'08-G. DEL TALENTO HUMANO'!J18</f>
        <v>N° de usuarios satisfechos con las solicitudes de servicios atendidas por la SGTH (Certificaciones laborales, bonos pensionales y autorizaciones de retiro de cesantías. / N° de usuarios encuestados *100</v>
      </c>
      <c r="G59" s="501" t="s">
        <v>818</v>
      </c>
      <c r="H59" s="496" t="s">
        <v>776</v>
      </c>
      <c r="I59" s="497">
        <v>90</v>
      </c>
      <c r="J59" s="498" t="str">
        <f t="shared" si="6"/>
        <v>Desde (&gt;):</v>
      </c>
      <c r="K59" s="498">
        <f t="shared" si="1"/>
        <v>79</v>
      </c>
      <c r="L59" s="498" t="str">
        <f t="shared" si="7"/>
        <v>Hasta (&lt;):</v>
      </c>
      <c r="M59" s="498">
        <f t="shared" si="3"/>
        <v>90</v>
      </c>
      <c r="N59" s="498" t="str">
        <f t="shared" si="8"/>
        <v>Menor o Igual A:</v>
      </c>
      <c r="O59" s="499">
        <v>79</v>
      </c>
      <c r="P59" s="512">
        <f>+'08-G. DEL TALENTO HUMANO'!F18</f>
        <v>0.9</v>
      </c>
      <c r="Q59" s="512">
        <f>+'08-G. DEL TALENTO HUMANO'!G18</f>
        <v>0.9</v>
      </c>
      <c r="R59" s="516" t="str">
        <f>+'08-G. DEL TALENTO HUMANO'!O18</f>
        <v>Dependencia Líder: 
Dirección de Talento Humano
Dependencia Operativa:
Subdirección de Gestión del Talento Humano</v>
      </c>
    </row>
    <row r="60" spans="2:18" ht="62.4" customHeight="1">
      <c r="B60" s="493">
        <f t="shared" si="5"/>
        <v>56</v>
      </c>
      <c r="C60" s="504" t="s">
        <v>784</v>
      </c>
      <c r="D60" s="501" t="s">
        <v>886</v>
      </c>
      <c r="E60" s="510" t="str">
        <f>+'08-G. DEL TALENTO HUMANO'!I19</f>
        <v>Plan Institucional de Capacitación formulado y ejecutado</v>
      </c>
      <c r="F60" s="510" t="str">
        <f>+'08-G. DEL TALENTO HUMANO'!J19</f>
        <v>Grado de avance en la formulación y ejecución del Plan Institucional de Capacitación</v>
      </c>
      <c r="G60" s="501" t="s">
        <v>810</v>
      </c>
      <c r="H60" s="496" t="s">
        <v>776</v>
      </c>
      <c r="I60" s="497">
        <v>90</v>
      </c>
      <c r="J60" s="498" t="str">
        <f t="shared" si="6"/>
        <v>Desde (&gt;):</v>
      </c>
      <c r="K60" s="498">
        <f t="shared" si="1"/>
        <v>69</v>
      </c>
      <c r="L60" s="498" t="str">
        <f t="shared" si="7"/>
        <v>Hasta (&lt;):</v>
      </c>
      <c r="M60" s="498">
        <f t="shared" si="3"/>
        <v>90</v>
      </c>
      <c r="N60" s="498" t="str">
        <f t="shared" si="8"/>
        <v>Menor o Igual A:</v>
      </c>
      <c r="O60" s="499">
        <v>69</v>
      </c>
      <c r="P60" s="512">
        <f>+'08-G. DEL TALENTO HUMANO'!F19</f>
        <v>1</v>
      </c>
      <c r="Q60" s="512">
        <f>+'08-G. DEL TALENTO HUMANO'!G19</f>
        <v>1</v>
      </c>
      <c r="R60" s="516" t="str">
        <f>+'08-G. DEL TALENTO HUMANO'!O19</f>
        <v>Dependencia Líder: 
Dirección de Talento Humano
Dependencia Operativa:
Subdirección de Desarrollo del Talento Humano</v>
      </c>
    </row>
    <row r="61" spans="2:18" ht="63" customHeight="1">
      <c r="B61" s="493">
        <f t="shared" si="5"/>
        <v>57</v>
      </c>
      <c r="C61" s="504" t="s">
        <v>784</v>
      </c>
      <c r="D61" s="501" t="s">
        <v>887</v>
      </c>
      <c r="E61" s="510" t="str">
        <f>+'08-G. DEL TALENTO HUMANO'!I20</f>
        <v>Plan Institucional de Bienestar formulado y ejecutado</v>
      </c>
      <c r="F61" s="510" t="str">
        <f>+'08-G. DEL TALENTO HUMANO'!J20</f>
        <v>Grado de avance en la formulación y ejecución del Plan Institucional de Bienestar</v>
      </c>
      <c r="G61" s="501" t="s">
        <v>810</v>
      </c>
      <c r="H61" s="496" t="s">
        <v>776</v>
      </c>
      <c r="I61" s="497">
        <v>90</v>
      </c>
      <c r="J61" s="498" t="str">
        <f t="shared" si="6"/>
        <v>Desde (&gt;):</v>
      </c>
      <c r="K61" s="498">
        <f t="shared" si="1"/>
        <v>69</v>
      </c>
      <c r="L61" s="498" t="str">
        <f t="shared" si="7"/>
        <v>Hasta (&lt;):</v>
      </c>
      <c r="M61" s="498">
        <f t="shared" si="3"/>
        <v>90</v>
      </c>
      <c r="N61" s="498" t="str">
        <f t="shared" si="8"/>
        <v>Menor o Igual A:</v>
      </c>
      <c r="O61" s="499">
        <v>69</v>
      </c>
      <c r="P61" s="512">
        <f>+'08-G. DEL TALENTO HUMANO'!F20</f>
        <v>1</v>
      </c>
      <c r="Q61" s="512">
        <f>+'08-G. DEL TALENTO HUMANO'!G20</f>
        <v>1</v>
      </c>
      <c r="R61" s="516" t="str">
        <f>+'08-G. DEL TALENTO HUMANO'!O20</f>
        <v>Dependencia Líder: 
Dirección de Talento Humano
Dependencia Operativa:
Subdirección de Desarrollo del Talento Humano</v>
      </c>
    </row>
    <row r="62" spans="2:18" ht="57">
      <c r="B62" s="493">
        <f t="shared" si="5"/>
        <v>58</v>
      </c>
      <c r="C62" s="504" t="s">
        <v>784</v>
      </c>
      <c r="D62" s="501" t="s">
        <v>888</v>
      </c>
      <c r="E62" s="510" t="str">
        <f>+'08-G. DEL TALENTO HUMANO'!I21</f>
        <v>Plan Institucional de Incentivos formulado y ejecutado</v>
      </c>
      <c r="F62" s="510" t="str">
        <f>+'08-G. DEL TALENTO HUMANO'!J21</f>
        <v>Grado de avance en la formulación y ejecución del Plan Institucional de Incentivos</v>
      </c>
      <c r="G62" s="501" t="s">
        <v>810</v>
      </c>
      <c r="H62" s="496" t="s">
        <v>776</v>
      </c>
      <c r="I62" s="497">
        <v>90</v>
      </c>
      <c r="J62" s="498" t="str">
        <f t="shared" si="6"/>
        <v>Desde (&gt;):</v>
      </c>
      <c r="K62" s="498">
        <f t="shared" si="1"/>
        <v>69</v>
      </c>
      <c r="L62" s="498" t="str">
        <f t="shared" si="7"/>
        <v>Hasta (&lt;):</v>
      </c>
      <c r="M62" s="498">
        <f t="shared" si="3"/>
        <v>90</v>
      </c>
      <c r="N62" s="498" t="str">
        <f t="shared" si="8"/>
        <v>Menor o Igual A:</v>
      </c>
      <c r="O62" s="499">
        <v>69</v>
      </c>
      <c r="P62" s="512">
        <f>+'08-G. DEL TALENTO HUMANO'!F21</f>
        <v>1</v>
      </c>
      <c r="Q62" s="512">
        <f>+'08-G. DEL TALENTO HUMANO'!G21</f>
        <v>1</v>
      </c>
      <c r="R62" s="516" t="str">
        <f>+'08-G. DEL TALENTO HUMANO'!O21</f>
        <v>Dependencia Líder: 
Dirección de Talento Humano
Dependencia Operativa:
Subdirección de Desarrollo del Talento Humano</v>
      </c>
    </row>
    <row r="63" spans="2:18" ht="57">
      <c r="B63" s="493">
        <f t="shared" si="5"/>
        <v>59</v>
      </c>
      <c r="C63" s="504" t="s">
        <v>784</v>
      </c>
      <c r="D63" s="501" t="s">
        <v>889</v>
      </c>
      <c r="E63" s="510" t="str">
        <f>+'08-G. DEL TALENTO HUMANO'!I22</f>
        <v>Plan Anual de Trabajo del Sistema de Gestión de Seguridad y Salud en el Trabajo SG-SST diseñado y ejecutado</v>
      </c>
      <c r="F63" s="510" t="str">
        <f>+'08-G. DEL TALENTO HUMANO'!J22</f>
        <v>Grado de avance en la formulación y ejecución del Plan Anual de Trabajo del SG-SST</v>
      </c>
      <c r="G63" s="501" t="s">
        <v>810</v>
      </c>
      <c r="H63" s="496" t="s">
        <v>776</v>
      </c>
      <c r="I63" s="497">
        <v>90</v>
      </c>
      <c r="J63" s="498" t="str">
        <f t="shared" si="6"/>
        <v>Desde (&gt;):</v>
      </c>
      <c r="K63" s="498">
        <f t="shared" si="1"/>
        <v>69</v>
      </c>
      <c r="L63" s="498" t="str">
        <f t="shared" si="7"/>
        <v>Hasta (&lt;):</v>
      </c>
      <c r="M63" s="498">
        <f t="shared" si="3"/>
        <v>90</v>
      </c>
      <c r="N63" s="498" t="str">
        <f t="shared" si="8"/>
        <v>Menor o Igual A:</v>
      </c>
      <c r="O63" s="499">
        <v>69</v>
      </c>
      <c r="P63" s="512">
        <f>+'08-G. DEL TALENTO HUMANO'!F22</f>
        <v>1</v>
      </c>
      <c r="Q63" s="512">
        <f>+'08-G. DEL TALENTO HUMANO'!G22</f>
        <v>1</v>
      </c>
      <c r="R63" s="516" t="str">
        <f>+'08-G. DEL TALENTO HUMANO'!O22</f>
        <v>Dependencia Líder: 
Dirección de Talento Humano
Dependencia Operativa:
Subdirección de Desarrollo del Talento Humano</v>
      </c>
    </row>
    <row r="64" spans="2:18" ht="52.8">
      <c r="B64" s="493">
        <f t="shared" si="5"/>
        <v>60</v>
      </c>
      <c r="C64" s="504" t="s">
        <v>784</v>
      </c>
      <c r="D64" s="501" t="s">
        <v>890</v>
      </c>
      <c r="E64" s="510" t="str">
        <f>+'08-G. DEL TALENTO HUMANO'!I23</f>
        <v>Capacitaciones realizadas sobre los Sistemas de Gestión y Evaluación del Desempeño Laboral de la Personería de Bogotá, D.C.</v>
      </c>
      <c r="F64" s="510" t="str">
        <f>+'08-G. DEL TALENTO HUMANO'!J23</f>
        <v>Número de capacitacionese realizadas sobre los Sistemas de Gestión y Evaluación del Desempeño Laboral de la Personería de Bogotá, D.C.</v>
      </c>
      <c r="G64" s="501" t="s">
        <v>810</v>
      </c>
      <c r="H64" s="496" t="s">
        <v>781</v>
      </c>
      <c r="I64" s="497">
        <v>100</v>
      </c>
      <c r="J64" s="498" t="str">
        <f t="shared" si="6"/>
        <v>Desde (&gt;=):</v>
      </c>
      <c r="K64" s="498">
        <f t="shared" si="1"/>
        <v>90</v>
      </c>
      <c r="L64" s="498" t="str">
        <f t="shared" si="7"/>
        <v>Hasta (&lt;=):</v>
      </c>
      <c r="M64" s="498">
        <f t="shared" si="3"/>
        <v>100</v>
      </c>
      <c r="N64" s="498" t="str">
        <f t="shared" si="8"/>
        <v>Menor A:</v>
      </c>
      <c r="O64" s="499">
        <v>90</v>
      </c>
      <c r="P64" s="511">
        <f>+'08-G. DEL TALENTO HUMANO'!F23</f>
        <v>36</v>
      </c>
      <c r="Q64" s="511">
        <f>+'08-G. DEL TALENTO HUMANO'!G23</f>
        <v>9</v>
      </c>
      <c r="R64" s="516" t="str">
        <f>+'08-G. DEL TALENTO HUMANO'!O23</f>
        <v>Dirección de Talento Humano</v>
      </c>
    </row>
    <row r="65" spans="2:18" ht="34.200000000000003" customHeight="1">
      <c r="B65" s="493">
        <f t="shared" si="5"/>
        <v>61</v>
      </c>
      <c r="C65" s="503" t="s">
        <v>785</v>
      </c>
      <c r="D65" s="501" t="s">
        <v>891</v>
      </c>
      <c r="E65" s="510" t="str">
        <f>+'09-G.  ADMINISTRATIVA'!I16</f>
        <v>Porcentaje de servicios atendidos</v>
      </c>
      <c r="F65" s="510" t="str">
        <f>+'09-G.  ADMINISTRATIVA'!J16</f>
        <v>No. Servicios realizados /Total de servicios solicitados *100</v>
      </c>
      <c r="G65" s="501" t="s">
        <v>810</v>
      </c>
      <c r="H65" s="496" t="s">
        <v>781</v>
      </c>
      <c r="I65" s="497">
        <v>97</v>
      </c>
      <c r="J65" s="498" t="str">
        <f t="shared" si="6"/>
        <v>Desde (&gt;=):</v>
      </c>
      <c r="K65" s="498">
        <f t="shared" ref="K65:K106" si="9">IF(I65&gt;O65,O65,
IF(I65&lt;O65,I65,
IF(I65=O65,"No Aplica","")))</f>
        <v>93</v>
      </c>
      <c r="L65" s="498" t="str">
        <f t="shared" si="7"/>
        <v>Hasta (&lt;=):</v>
      </c>
      <c r="M65" s="498">
        <f t="shared" ref="M65:M106" si="10">IF(I65&gt;O65,I65,
IF(I65&lt;O65,O65,
IF(I65=O65,"No Aplica","")))</f>
        <v>97</v>
      </c>
      <c r="N65" s="498" t="str">
        <f t="shared" si="8"/>
        <v>Menor A:</v>
      </c>
      <c r="O65" s="499">
        <v>93</v>
      </c>
      <c r="P65" s="512">
        <f>+'09-G.  ADMINISTRATIVA'!G16</f>
        <v>1</v>
      </c>
      <c r="Q65" s="512">
        <f>+'09-G.  ADMINISTRATIVA'!G16</f>
        <v>1</v>
      </c>
      <c r="R65" s="516" t="str">
        <f>+'09-G.  ADMINISTRATIVA'!O16</f>
        <v>Subdirección de Gestión Documental y Recursos Físicos
Dirección Administrativa y Financiera</v>
      </c>
    </row>
    <row r="66" spans="2:18" ht="39.6">
      <c r="B66" s="493">
        <f t="shared" si="5"/>
        <v>62</v>
      </c>
      <c r="C66" s="503" t="s">
        <v>785</v>
      </c>
      <c r="D66" s="501" t="s">
        <v>893</v>
      </c>
      <c r="E66" s="510" t="str">
        <f>+'09-G.  ADMINISTRATIVA'!I17</f>
        <v>Porcentaje de actividades del PESV ejecutadas</v>
      </c>
      <c r="F66" s="510" t="str">
        <f>+'09-G.  ADMINISTRATIVA'!J17</f>
        <v>N° de actividades ejecutadas en el periodo/N° de actividades programadas en el PESV para la vigencia*100</v>
      </c>
      <c r="G66" s="501" t="s">
        <v>810</v>
      </c>
      <c r="H66" s="496" t="s">
        <v>781</v>
      </c>
      <c r="I66" s="497">
        <v>97</v>
      </c>
      <c r="J66" s="498" t="str">
        <f t="shared" si="6"/>
        <v>Desde (&gt;=):</v>
      </c>
      <c r="K66" s="498">
        <f t="shared" si="9"/>
        <v>93</v>
      </c>
      <c r="L66" s="498" t="str">
        <f t="shared" si="7"/>
        <v>Hasta (&lt;=):</v>
      </c>
      <c r="M66" s="498">
        <f t="shared" si="10"/>
        <v>97</v>
      </c>
      <c r="N66" s="498" t="str">
        <f t="shared" si="8"/>
        <v>Menor A:</v>
      </c>
      <c r="O66" s="499">
        <v>93</v>
      </c>
      <c r="P66" s="512">
        <f>+'09-G.  ADMINISTRATIVA'!G17</f>
        <v>0.97</v>
      </c>
      <c r="Q66" s="512">
        <f>+'09-G.  ADMINISTRATIVA'!G17</f>
        <v>0.97</v>
      </c>
      <c r="R66" s="516" t="str">
        <f>+'09-G.  ADMINISTRATIVA'!O17</f>
        <v>Subdirección de Gestión Documental y Recursos Físicos
Dirección Administrativa y Financiera</v>
      </c>
    </row>
    <row r="67" spans="2:18" ht="26.4">
      <c r="B67" s="493">
        <f t="shared" si="5"/>
        <v>63</v>
      </c>
      <c r="C67" s="504" t="s">
        <v>786</v>
      </c>
      <c r="D67" s="501" t="s">
        <v>892</v>
      </c>
      <c r="E67" s="510" t="str">
        <f>+'10-GESTIÓN FINANCIERA'!I16</f>
        <v>Porcentaje del presupuesto aprobado y ejecutado.</v>
      </c>
      <c r="F67" s="510" t="str">
        <f>+'10-GESTIÓN FINANCIERA'!J16</f>
        <v>Valor de ejecución de presupuesto / Valor del presupuesto aprobado</v>
      </c>
      <c r="G67" s="501" t="s">
        <v>810</v>
      </c>
      <c r="H67" s="496" t="s">
        <v>776</v>
      </c>
      <c r="I67" s="497">
        <v>95</v>
      </c>
      <c r="J67" s="498" t="str">
        <f t="shared" ref="J67:J106" si="11">IF(OR($H67="Mayor A:",$H67="Menor A:"),"Desde (&gt;=):",
IF(OR($H67="Mayor o Igual A:",$H67="Menor o Igual A:"),"Desde (&gt;):",
IF($H67="Igual A:","No Aplica",
IF($H67="",""))))</f>
        <v>Desde (&gt;):</v>
      </c>
      <c r="K67" s="498">
        <f t="shared" si="9"/>
        <v>90</v>
      </c>
      <c r="L67" s="498" t="str">
        <f t="shared" ref="L67:L106" si="12">IF(OR($H67="Mayor A:",$H67="Menor A:"),"Hasta (&lt;=):",
IF(OR($H67="Mayor o Igual A:",$H67="Menor o Igual A:"),"Hasta (&lt;):",
IF($H67="Igual A:","No Aplica",
IF($H67="",""))))</f>
        <v>Hasta (&lt;):</v>
      </c>
      <c r="M67" s="498">
        <f t="shared" si="10"/>
        <v>95</v>
      </c>
      <c r="N67" s="498" t="str">
        <f t="shared" ref="N67:N106" si="13">IF($H67="Mayor A:","Menor A:",
IF($H67="Menor A:","Mayor A:",
IF($H67="Mayor o Igual A:","Menor o Igual A:",
IF($H67="Menor o Igual A:","Mayor o Igual A:",
IF($H67="Igual A:","Igual A:",
IF($H67="",""))))))</f>
        <v>Menor o Igual A:</v>
      </c>
      <c r="O67" s="499">
        <v>90</v>
      </c>
      <c r="P67" s="512">
        <f>+'10-GESTIÓN FINANCIERA'!F16</f>
        <v>0.95</v>
      </c>
      <c r="Q67" s="512">
        <f>+'10-GESTIÓN FINANCIERA'!G16</f>
        <v>0.95</v>
      </c>
      <c r="R67" s="516" t="str">
        <f>+'10-GESTIÓN FINANCIERA'!O16</f>
        <v>Subdirección de Gestión Financiera
Dirección Administrativa y Financiera</v>
      </c>
    </row>
    <row r="68" spans="2:18" ht="26.4">
      <c r="B68" s="493">
        <f t="shared" si="5"/>
        <v>64</v>
      </c>
      <c r="C68" s="504" t="s">
        <v>786</v>
      </c>
      <c r="D68" s="501" t="s">
        <v>894</v>
      </c>
      <c r="E68" s="510" t="str">
        <f>+'10-GESTIÓN FINANCIERA'!I17</f>
        <v>Porcentaje de los compromisos de pago programados y ejecutados.</v>
      </c>
      <c r="F68" s="510" t="str">
        <f>+'10-GESTIÓN FINANCIERA'!J17</f>
        <v>Valor de pagos realizados / Valor del presupuesto ejecutado</v>
      </c>
      <c r="G68" s="501" t="s">
        <v>810</v>
      </c>
      <c r="H68" s="496" t="s">
        <v>776</v>
      </c>
      <c r="I68" s="497">
        <v>95</v>
      </c>
      <c r="J68" s="498" t="str">
        <f t="shared" si="11"/>
        <v>Desde (&gt;):</v>
      </c>
      <c r="K68" s="498">
        <f t="shared" si="9"/>
        <v>90</v>
      </c>
      <c r="L68" s="498" t="str">
        <f t="shared" si="12"/>
        <v>Hasta (&lt;):</v>
      </c>
      <c r="M68" s="498">
        <f t="shared" si="10"/>
        <v>95</v>
      </c>
      <c r="N68" s="498" t="str">
        <f t="shared" si="13"/>
        <v>Menor o Igual A:</v>
      </c>
      <c r="O68" s="499">
        <v>90</v>
      </c>
      <c r="P68" s="512">
        <f>+'10-GESTIÓN FINANCIERA'!F17</f>
        <v>0.95</v>
      </c>
      <c r="Q68" s="512">
        <f>+'10-GESTIÓN FINANCIERA'!G17</f>
        <v>0.95</v>
      </c>
      <c r="R68" s="516" t="str">
        <f>+'10-GESTIÓN FINANCIERA'!O17</f>
        <v>Subdirección de Gestión Financiera
Dirección Administrativa y Financiera</v>
      </c>
    </row>
    <row r="69" spans="2:18" ht="26.4">
      <c r="B69" s="493">
        <f t="shared" si="5"/>
        <v>65</v>
      </c>
      <c r="C69" s="504" t="s">
        <v>786</v>
      </c>
      <c r="D69" s="501" t="s">
        <v>895</v>
      </c>
      <c r="E69" s="510" t="str">
        <f>+'10-GESTIÓN FINANCIERA'!I18</f>
        <v>Porcentaje de estados financieros de la Entidad elaborados y presentados.</v>
      </c>
      <c r="F69" s="510" t="str">
        <f>+'10-GESTIÓN FINANCIERA'!J18</f>
        <v>Estados Financieros presentados</v>
      </c>
      <c r="G69" s="501" t="s">
        <v>810</v>
      </c>
      <c r="H69" s="496" t="s">
        <v>776</v>
      </c>
      <c r="I69" s="497">
        <v>100</v>
      </c>
      <c r="J69" s="498" t="str">
        <f t="shared" si="11"/>
        <v>Desde (&gt;):</v>
      </c>
      <c r="K69" s="498">
        <f t="shared" si="9"/>
        <v>95</v>
      </c>
      <c r="L69" s="498" t="str">
        <f t="shared" si="12"/>
        <v>Hasta (&lt;):</v>
      </c>
      <c r="M69" s="498">
        <f t="shared" si="10"/>
        <v>100</v>
      </c>
      <c r="N69" s="498" t="str">
        <f t="shared" si="13"/>
        <v>Menor o Igual A:</v>
      </c>
      <c r="O69" s="499">
        <v>95</v>
      </c>
      <c r="P69" s="512">
        <f>+'10-GESTIÓN FINANCIERA'!F18</f>
        <v>1</v>
      </c>
      <c r="Q69" s="512">
        <f>+'10-GESTIÓN FINANCIERA'!G18</f>
        <v>1</v>
      </c>
      <c r="R69" s="516" t="str">
        <f>+'10-GESTIÓN FINANCIERA'!O18</f>
        <v>Subdirección de Gestión Financiera
Dirección Administrativa y Financiera</v>
      </c>
    </row>
    <row r="70" spans="2:18" ht="26.4">
      <c r="B70" s="493">
        <f t="shared" si="5"/>
        <v>66</v>
      </c>
      <c r="C70" s="503" t="s">
        <v>787</v>
      </c>
      <c r="D70" s="501" t="s">
        <v>882</v>
      </c>
      <c r="E70" s="510" t="str">
        <f>+'11-GESTIÓN CONTRACTUAL'!I16</f>
        <v xml:space="preserve">Porcentaje del Plan Anual de Adquisiciones ejecutado </v>
      </c>
      <c r="F70" s="510" t="str">
        <f>+'11-GESTIÓN CONTRACTUAL'!J16</f>
        <v>No. de adquisiciones realizadas /Total de adquisiciones planeadas *100</v>
      </c>
      <c r="G70" s="501" t="s">
        <v>810</v>
      </c>
      <c r="H70" s="496" t="s">
        <v>776</v>
      </c>
      <c r="I70" s="497">
        <v>95</v>
      </c>
      <c r="J70" s="498" t="str">
        <f t="shared" si="11"/>
        <v>Desde (&gt;):</v>
      </c>
      <c r="K70" s="498">
        <f t="shared" si="9"/>
        <v>90</v>
      </c>
      <c r="L70" s="498" t="str">
        <f t="shared" si="12"/>
        <v>Hasta (&lt;):</v>
      </c>
      <c r="M70" s="498">
        <f t="shared" si="10"/>
        <v>95</v>
      </c>
      <c r="N70" s="498" t="str">
        <f t="shared" si="13"/>
        <v>Menor o Igual A:</v>
      </c>
      <c r="O70" s="499">
        <v>90</v>
      </c>
      <c r="P70" s="512">
        <f>+'11-GESTIÓN CONTRACTUAL'!F16</f>
        <v>0.95</v>
      </c>
      <c r="Q70" s="512">
        <f>+'11-GESTIÓN CONTRACTUAL'!G16</f>
        <v>0.95</v>
      </c>
      <c r="R70" s="516" t="str">
        <f>+'11-GESTIÓN CONTRACTUAL'!O16</f>
        <v>Subdirección de Gestión Contractual
Dirección Administrativa y Financiera</v>
      </c>
    </row>
    <row r="71" spans="2:18" ht="52.8">
      <c r="B71" s="493">
        <f t="shared" si="5"/>
        <v>67</v>
      </c>
      <c r="C71" s="503" t="s">
        <v>787</v>
      </c>
      <c r="D71" s="501" t="s">
        <v>980</v>
      </c>
      <c r="E71" s="510" t="s">
        <v>970</v>
      </c>
      <c r="F71" s="510" t="s">
        <v>973</v>
      </c>
      <c r="G71" s="501" t="s">
        <v>814</v>
      </c>
      <c r="H71" s="496" t="s">
        <v>776</v>
      </c>
      <c r="I71" s="497">
        <v>95</v>
      </c>
      <c r="J71" s="498" t="str">
        <f t="shared" si="11"/>
        <v>Desde (&gt;):</v>
      </c>
      <c r="K71" s="498">
        <f t="shared" si="9"/>
        <v>80</v>
      </c>
      <c r="L71" s="498" t="str">
        <f t="shared" si="12"/>
        <v>Hasta (&lt;):</v>
      </c>
      <c r="M71" s="498">
        <f t="shared" si="10"/>
        <v>95</v>
      </c>
      <c r="N71" s="498" t="str">
        <f t="shared" si="13"/>
        <v>Menor o Igual A:</v>
      </c>
      <c r="O71" s="499">
        <v>80</v>
      </c>
      <c r="P71" s="512">
        <f>+'11-GESTIÓN CONTRACTUAL'!F17</f>
        <v>0.95</v>
      </c>
      <c r="Q71" s="512">
        <f>+'11-GESTIÓN CONTRACTUAL'!G17</f>
        <v>0.6</v>
      </c>
      <c r="R71" s="516" t="str">
        <f>+'11-GESTIÓN CONTRACTUAL'!O17</f>
        <v>Subdirección de Gestión Contractual</v>
      </c>
    </row>
    <row r="72" spans="2:18" ht="92.4">
      <c r="B72" s="493">
        <f t="shared" ref="B72" si="14">1+B71</f>
        <v>68</v>
      </c>
      <c r="C72" s="503" t="s">
        <v>787</v>
      </c>
      <c r="D72" s="501" t="s">
        <v>981</v>
      </c>
      <c r="E72" s="510" t="s">
        <v>971</v>
      </c>
      <c r="F72" s="510" t="s">
        <v>979</v>
      </c>
      <c r="G72" s="501" t="s">
        <v>814</v>
      </c>
      <c r="H72" s="496" t="s">
        <v>776</v>
      </c>
      <c r="I72" s="497">
        <v>95</v>
      </c>
      <c r="J72" s="498" t="str">
        <f t="shared" si="11"/>
        <v>Desde (&gt;):</v>
      </c>
      <c r="K72" s="498">
        <f t="shared" si="9"/>
        <v>80</v>
      </c>
      <c r="L72" s="498" t="str">
        <f t="shared" si="12"/>
        <v>Hasta (&lt;):</v>
      </c>
      <c r="M72" s="498">
        <f t="shared" si="10"/>
        <v>95</v>
      </c>
      <c r="N72" s="498" t="str">
        <f t="shared" si="13"/>
        <v>Menor o Igual A:</v>
      </c>
      <c r="O72" s="499">
        <v>80</v>
      </c>
      <c r="P72" s="512">
        <f>+'11-GESTIÓN CONTRACTUAL'!F18</f>
        <v>0.95</v>
      </c>
      <c r="Q72" s="512">
        <f>+'11-GESTIÓN CONTRACTUAL'!G18</f>
        <v>0.6</v>
      </c>
      <c r="R72" s="516" t="str">
        <f>+'11-GESTIÓN CONTRACTUAL'!O18</f>
        <v>Subdirección de Gestión Contractual</v>
      </c>
    </row>
    <row r="73" spans="2:18" ht="92.4">
      <c r="B73" s="493">
        <f t="shared" si="5"/>
        <v>69</v>
      </c>
      <c r="C73" s="503" t="s">
        <v>787</v>
      </c>
      <c r="D73" s="501" t="s">
        <v>982</v>
      </c>
      <c r="E73" s="510" t="s">
        <v>972</v>
      </c>
      <c r="F73" s="510" t="s">
        <v>978</v>
      </c>
      <c r="G73" s="501" t="s">
        <v>814</v>
      </c>
      <c r="H73" s="496" t="s">
        <v>776</v>
      </c>
      <c r="I73" s="497">
        <v>95</v>
      </c>
      <c r="J73" s="498" t="str">
        <f t="shared" si="11"/>
        <v>Desde (&gt;):</v>
      </c>
      <c r="K73" s="498">
        <f t="shared" si="9"/>
        <v>80</v>
      </c>
      <c r="L73" s="498" t="str">
        <f t="shared" si="12"/>
        <v>Hasta (&lt;):</v>
      </c>
      <c r="M73" s="498">
        <f t="shared" si="10"/>
        <v>95</v>
      </c>
      <c r="N73" s="498" t="str">
        <f t="shared" si="13"/>
        <v>Menor o Igual A:</v>
      </c>
      <c r="O73" s="499">
        <v>80</v>
      </c>
      <c r="P73" s="512">
        <f>+'11-GESTIÓN CONTRACTUAL'!F19</f>
        <v>0.95</v>
      </c>
      <c r="Q73" s="512">
        <f>+'11-GESTIÓN CONTRACTUAL'!G19</f>
        <v>0.6</v>
      </c>
      <c r="R73" s="516" t="str">
        <f>+'11-GESTIÓN CONTRACTUAL'!O19</f>
        <v>Subdirección de Gestión Contractual</v>
      </c>
    </row>
    <row r="74" spans="2:18" ht="58.2" customHeight="1">
      <c r="B74" s="493">
        <f t="shared" ref="B74" si="15">1+B73</f>
        <v>70</v>
      </c>
      <c r="C74" s="504" t="s">
        <v>788</v>
      </c>
      <c r="D74" s="501" t="s">
        <v>883</v>
      </c>
      <c r="E74" s="510" t="str">
        <f>+'12-GESTIÓN DOCUMENTAL'!I16</f>
        <v>Porcentaje de Comunicaciones oficiales con reparto realizado dentro de los 3 días hábiles desde su radicación</v>
      </c>
      <c r="F74" s="510" t="str">
        <f>+'12-GESTIÓN DOCUMENTAL'!J16</f>
        <v>No comunicaciones entregadas a las dependencias internas dentro de los 3 días hábiles de su recepción / Numero de comunicaciones recibidas en el Grupo de Correspondencia</v>
      </c>
      <c r="G74" s="501" t="s">
        <v>814</v>
      </c>
      <c r="H74" s="496" t="s">
        <v>781</v>
      </c>
      <c r="I74" s="497">
        <v>95</v>
      </c>
      <c r="J74" s="498" t="str">
        <f t="shared" si="11"/>
        <v>Desde (&gt;=):</v>
      </c>
      <c r="K74" s="498">
        <f t="shared" si="9"/>
        <v>90</v>
      </c>
      <c r="L74" s="498" t="str">
        <f t="shared" si="12"/>
        <v>Hasta (&lt;=):</v>
      </c>
      <c r="M74" s="498">
        <f t="shared" si="10"/>
        <v>95</v>
      </c>
      <c r="N74" s="498" t="str">
        <f t="shared" si="13"/>
        <v>Menor A:</v>
      </c>
      <c r="O74" s="499">
        <v>90</v>
      </c>
      <c r="P74" s="512">
        <f>+'12-GESTIÓN DOCUMENTAL'!F16</f>
        <v>0.95</v>
      </c>
      <c r="Q74" s="512">
        <f>+'12-GESTIÓN DOCUMENTAL'!G16</f>
        <v>0.95</v>
      </c>
      <c r="R74" s="516" t="str">
        <f>+'12-GESTIÓN DOCUMENTAL'!O16</f>
        <v>Subdirección de Gestión Documental y Recursos Físicos - Grupo de Correspondencia</v>
      </c>
    </row>
    <row r="75" spans="2:18" ht="54" customHeight="1">
      <c r="B75" s="493">
        <f t="shared" ref="B75:B91" si="16">1+B74</f>
        <v>71</v>
      </c>
      <c r="C75" s="504" t="s">
        <v>788</v>
      </c>
      <c r="D75" s="501" t="s">
        <v>898</v>
      </c>
      <c r="E75" s="510" t="str">
        <f>+'12-GESTIÓN DOCUMENTAL'!I17</f>
        <v>Porcentaje de documentación incorporada en el archivo central durante la vigencia.</v>
      </c>
      <c r="F75" s="510" t="str">
        <f>+'12-GESTIÓN DOCUMENTAL'!J17</f>
        <v xml:space="preserve">Metros lineales incorporados al archivo central/ Metros lineales recibidos para incorporar al archivo central que cumplen los requisitos </v>
      </c>
      <c r="G75" s="501" t="s">
        <v>810</v>
      </c>
      <c r="H75" s="496" t="s">
        <v>781</v>
      </c>
      <c r="I75" s="497">
        <v>100</v>
      </c>
      <c r="J75" s="498" t="str">
        <f t="shared" si="11"/>
        <v>Desde (&gt;=):</v>
      </c>
      <c r="K75" s="498">
        <f t="shared" si="9"/>
        <v>93</v>
      </c>
      <c r="L75" s="498" t="str">
        <f t="shared" si="12"/>
        <v>Hasta (&lt;=):</v>
      </c>
      <c r="M75" s="498">
        <f t="shared" si="10"/>
        <v>100</v>
      </c>
      <c r="N75" s="498" t="str">
        <f t="shared" si="13"/>
        <v>Menor A:</v>
      </c>
      <c r="O75" s="499">
        <v>93</v>
      </c>
      <c r="P75" s="512">
        <f>+'12-GESTIÓN DOCUMENTAL'!F17</f>
        <v>0.8</v>
      </c>
      <c r="Q75" s="512">
        <f>+'12-GESTIÓN DOCUMENTAL'!G17</f>
        <v>0.8</v>
      </c>
      <c r="R75" s="516" t="str">
        <f>+'12-GESTIÓN DOCUMENTAL'!O17</f>
        <v>Subdirección de Gestión Documental y Recursos Físicos - Archivo central</v>
      </c>
    </row>
    <row r="76" spans="2:18" ht="52.8">
      <c r="B76" s="493">
        <f t="shared" si="16"/>
        <v>72</v>
      </c>
      <c r="C76" s="504" t="s">
        <v>788</v>
      </c>
      <c r="D76" s="501" t="s">
        <v>899</v>
      </c>
      <c r="E76" s="510" t="str">
        <f>+'12-GESTIÓN DOCUMENTAL'!I18</f>
        <v>Cantidad de actividades realizadas por año para el diseño, actualización o ajuste de los instrumentos archivísticos establecidos por norma</v>
      </c>
      <c r="F76" s="510" t="str">
        <f>+'12-GESTIÓN DOCUMENTAL'!J18</f>
        <v>Cantidad de actividades de diseño, actualización o ajuste de los instrumentos archivisticos establecidos por norma.</v>
      </c>
      <c r="G76" s="501" t="s">
        <v>810</v>
      </c>
      <c r="H76" s="496" t="s">
        <v>776</v>
      </c>
      <c r="I76" s="497">
        <v>100</v>
      </c>
      <c r="J76" s="498" t="str">
        <f t="shared" si="11"/>
        <v>Desde (&gt;):</v>
      </c>
      <c r="K76" s="498">
        <f t="shared" si="9"/>
        <v>80</v>
      </c>
      <c r="L76" s="498" t="str">
        <f t="shared" si="12"/>
        <v>Hasta (&lt;):</v>
      </c>
      <c r="M76" s="498">
        <f t="shared" si="10"/>
        <v>100</v>
      </c>
      <c r="N76" s="498" t="str">
        <f t="shared" si="13"/>
        <v>Menor o Igual A:</v>
      </c>
      <c r="O76" s="499">
        <v>80</v>
      </c>
      <c r="P76" s="518">
        <f>+'12-GESTIÓN DOCUMENTAL'!F18</f>
        <v>100</v>
      </c>
      <c r="Q76" s="518">
        <f>+'12-GESTIÓN DOCUMENTAL'!G18</f>
        <v>25</v>
      </c>
      <c r="R76" s="516" t="str">
        <f>+'12-GESTIÓN DOCUMENTAL'!O18</f>
        <v xml:space="preserve">Subdirección de Gestión Documental y Recursos Físicos </v>
      </c>
    </row>
    <row r="77" spans="2:18" ht="52.8">
      <c r="B77" s="493">
        <f t="shared" si="16"/>
        <v>73</v>
      </c>
      <c r="C77" s="504" t="s">
        <v>788</v>
      </c>
      <c r="D77" s="501" t="s">
        <v>900</v>
      </c>
      <c r="E77" s="510" t="str">
        <f>+'12-GESTIÓN DOCUMENTAL'!I19</f>
        <v>Cantidad de actividades realizadas por año para implementación de los instrumentos archivísticos establecidos por norma, y de herramientas de apoyo a la gestión documental.</v>
      </c>
      <c r="F77" s="510" t="str">
        <f>+'12-GESTIÓN DOCUMENTAL'!J19</f>
        <v>Cantidad de actividades de implementación de los instrumentos archivisticos establecidos por norma.</v>
      </c>
      <c r="G77" s="501" t="s">
        <v>810</v>
      </c>
      <c r="H77" s="496" t="s">
        <v>776</v>
      </c>
      <c r="I77" s="497">
        <v>100</v>
      </c>
      <c r="J77" s="498" t="str">
        <f t="shared" si="11"/>
        <v>Desde (&gt;):</v>
      </c>
      <c r="K77" s="498">
        <f t="shared" si="9"/>
        <v>80</v>
      </c>
      <c r="L77" s="498" t="str">
        <f t="shared" si="12"/>
        <v>Hasta (&lt;):</v>
      </c>
      <c r="M77" s="498">
        <f t="shared" si="10"/>
        <v>100</v>
      </c>
      <c r="N77" s="498" t="str">
        <f t="shared" si="13"/>
        <v>Menor o Igual A:</v>
      </c>
      <c r="O77" s="499">
        <v>80</v>
      </c>
      <c r="P77" s="518">
        <f>+'12-GESTIÓN DOCUMENTAL'!F19</f>
        <v>100</v>
      </c>
      <c r="Q77" s="518">
        <f>+'12-GESTIÓN DOCUMENTAL'!G19</f>
        <v>25</v>
      </c>
      <c r="R77" s="516" t="str">
        <f>+'12-GESTIÓN DOCUMENTAL'!O19</f>
        <v>Subdirección de Gestión Documental y Recursos Físicos
Dirección de Tecnologías de la Información y Comunicaciones</v>
      </c>
    </row>
    <row r="78" spans="2:18" ht="73.2" customHeight="1">
      <c r="B78" s="493">
        <f t="shared" si="16"/>
        <v>74</v>
      </c>
      <c r="C78" s="503" t="s">
        <v>789</v>
      </c>
      <c r="D78" s="501" t="s">
        <v>896</v>
      </c>
      <c r="E78" s="510" t="str">
        <f>+'13-GESTIÓN JURÍDICA'!I16</f>
        <v>Porcentaje de procesos judiciales en los que se vincule o demande a la Entidad, objeto de representación oportuna</v>
      </c>
      <c r="F78" s="510" t="str">
        <f>+'13-GESTIÓN JURÍDICA'!J16</f>
        <v>(Número de procesos judiciales en los que se representa oportunamente, de acuerdo con los términos fijados por los despachos judiciales / Número total de procesos judiciales en los que se vincula la Entidad )  (x 100)</v>
      </c>
      <c r="G78" s="501" t="s">
        <v>810</v>
      </c>
      <c r="H78" s="496" t="s">
        <v>776</v>
      </c>
      <c r="I78" s="497">
        <v>100</v>
      </c>
      <c r="J78" s="498" t="str">
        <f t="shared" si="11"/>
        <v>Desde (&gt;):</v>
      </c>
      <c r="K78" s="498">
        <f t="shared" si="9"/>
        <v>90</v>
      </c>
      <c r="L78" s="498" t="str">
        <f t="shared" si="12"/>
        <v>Hasta (&lt;):</v>
      </c>
      <c r="M78" s="498">
        <f t="shared" si="10"/>
        <v>100</v>
      </c>
      <c r="N78" s="498" t="str">
        <f t="shared" si="13"/>
        <v>Menor o Igual A:</v>
      </c>
      <c r="O78" s="499">
        <v>90</v>
      </c>
      <c r="P78" s="512">
        <f>+'13-GESTIÓN JURÍDICA'!F16</f>
        <v>1</v>
      </c>
      <c r="Q78" s="512">
        <f>+'13-GESTIÓN JURÍDICA'!G16</f>
        <v>1</v>
      </c>
      <c r="R78" s="516" t="str">
        <f>+'13-GESTIÓN JURÍDICA'!O16</f>
        <v>Oficina Asesora Jurídica</v>
      </c>
    </row>
    <row r="79" spans="2:18" ht="66">
      <c r="B79" s="493">
        <f t="shared" si="16"/>
        <v>75</v>
      </c>
      <c r="C79" s="503" t="s">
        <v>789</v>
      </c>
      <c r="D79" s="501" t="s">
        <v>903</v>
      </c>
      <c r="E79" s="510" t="str">
        <f>+'13-GESTIÓN JURÍDICA'!I17</f>
        <v xml:space="preserve">Porcentaje de acciones de tutela en las cuales se defienda judicialmente a la Entidad oportunamente </v>
      </c>
      <c r="F79" s="510"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501" t="s">
        <v>810</v>
      </c>
      <c r="H79" s="496" t="s">
        <v>776</v>
      </c>
      <c r="I79" s="497">
        <v>100</v>
      </c>
      <c r="J79" s="498" t="str">
        <f t="shared" si="11"/>
        <v>Desde (&gt;):</v>
      </c>
      <c r="K79" s="498">
        <f t="shared" si="9"/>
        <v>90</v>
      </c>
      <c r="L79" s="498" t="str">
        <f t="shared" si="12"/>
        <v>Hasta (&lt;):</v>
      </c>
      <c r="M79" s="498">
        <f t="shared" si="10"/>
        <v>100</v>
      </c>
      <c r="N79" s="498" t="str">
        <f t="shared" si="13"/>
        <v>Menor o Igual A:</v>
      </c>
      <c r="O79" s="499">
        <v>90</v>
      </c>
      <c r="P79" s="512">
        <f>+'13-GESTIÓN JURÍDICA'!F17</f>
        <v>1</v>
      </c>
      <c r="Q79" s="512">
        <f>+'13-GESTIÓN JURÍDICA'!G17</f>
        <v>1</v>
      </c>
      <c r="R79" s="516" t="str">
        <f>+'13-GESTIÓN JURÍDICA'!O17</f>
        <v>Oficina Asesora Jurídica</v>
      </c>
    </row>
    <row r="80" spans="2:18" ht="52.8">
      <c r="B80" s="493">
        <f t="shared" si="16"/>
        <v>76</v>
      </c>
      <c r="C80" s="503" t="s">
        <v>789</v>
      </c>
      <c r="D80" s="501" t="s">
        <v>904</v>
      </c>
      <c r="E80" s="510" t="str">
        <f>+'13-GESTIÓN JURÍDICA'!I18</f>
        <v>Porcentaje de conceptos de competencia de la dependencia emitidos oportunamente</v>
      </c>
      <c r="F80" s="510" t="str">
        <f>+'13-GESTIÓN JURÍDICA'!J18</f>
        <v>Número de conceptos emitidos oportunamente / Número de solicitudes de conceptos jurídicos recibidas de competencia de la dependencia (x100)</v>
      </c>
      <c r="G80" s="501" t="s">
        <v>810</v>
      </c>
      <c r="H80" s="496" t="s">
        <v>776</v>
      </c>
      <c r="I80" s="497">
        <v>100</v>
      </c>
      <c r="J80" s="498" t="str">
        <f t="shared" si="11"/>
        <v>Desde (&gt;):</v>
      </c>
      <c r="K80" s="498">
        <f t="shared" si="9"/>
        <v>90</v>
      </c>
      <c r="L80" s="498" t="str">
        <f t="shared" si="12"/>
        <v>Hasta (&lt;):</v>
      </c>
      <c r="M80" s="498">
        <f t="shared" si="10"/>
        <v>100</v>
      </c>
      <c r="N80" s="498" t="str">
        <f t="shared" si="13"/>
        <v>Menor o Igual A:</v>
      </c>
      <c r="O80" s="499">
        <v>90</v>
      </c>
      <c r="P80" s="512">
        <f>+'13-GESTIÓN JURÍDICA'!F18</f>
        <v>1</v>
      </c>
      <c r="Q80" s="512">
        <f>+'13-GESTIÓN JURÍDICA'!G18</f>
        <v>1</v>
      </c>
      <c r="R80" s="516" t="str">
        <f>+'13-GESTIÓN JURÍDICA'!O18</f>
        <v>Oficina Asesora Jurídica</v>
      </c>
    </row>
    <row r="81" spans="2:18" ht="39.6">
      <c r="B81" s="493">
        <f t="shared" si="16"/>
        <v>77</v>
      </c>
      <c r="C81" s="503" t="s">
        <v>789</v>
      </c>
      <c r="D81" s="501" t="s">
        <v>905</v>
      </c>
      <c r="E81" s="510" t="str">
        <f>+'13-GESTIÓN JURÍDICA'!I19</f>
        <v>Porcentaje de reportes de la base de datos de sanciones disciplinarias registrados</v>
      </c>
      <c r="F81" s="510" t="str">
        <f>+'13-GESTIÓN JURÍDICA'!J19</f>
        <v>Número de reportes actualizados / Número de solicitudes de actualización de reportes recibidos (x100)</v>
      </c>
      <c r="G81" s="501" t="s">
        <v>810</v>
      </c>
      <c r="H81" s="496" t="s">
        <v>776</v>
      </c>
      <c r="I81" s="497">
        <v>100</v>
      </c>
      <c r="J81" s="498" t="str">
        <f t="shared" si="11"/>
        <v>Desde (&gt;):</v>
      </c>
      <c r="K81" s="498">
        <f t="shared" si="9"/>
        <v>90</v>
      </c>
      <c r="L81" s="498" t="str">
        <f t="shared" si="12"/>
        <v>Hasta (&lt;):</v>
      </c>
      <c r="M81" s="498">
        <f t="shared" si="10"/>
        <v>100</v>
      </c>
      <c r="N81" s="498" t="str">
        <f t="shared" si="13"/>
        <v>Menor o Igual A:</v>
      </c>
      <c r="O81" s="499">
        <v>90</v>
      </c>
      <c r="P81" s="512">
        <f>+'13-GESTIÓN JURÍDICA'!F19</f>
        <v>1</v>
      </c>
      <c r="Q81" s="512">
        <f>+'13-GESTIÓN JURÍDICA'!G19</f>
        <v>1</v>
      </c>
      <c r="R81" s="516" t="str">
        <f>+'13-GESTIÓN JURÍDICA'!O19</f>
        <v>Oficina Asesora Jurídica</v>
      </c>
    </row>
    <row r="82" spans="2:18" ht="39.6">
      <c r="B82" s="493">
        <f t="shared" si="16"/>
        <v>78</v>
      </c>
      <c r="C82" s="503" t="s">
        <v>789</v>
      </c>
      <c r="D82" s="501" t="s">
        <v>906</v>
      </c>
      <c r="E82" s="510" t="str">
        <f>+'13-GESTIÓN JURÍDICA'!I20</f>
        <v>Porcentaje de antecedentes disciplinarios expedidos</v>
      </c>
      <c r="F82" s="510" t="str">
        <f>+'13-GESTIÓN JURÍDICA'!J20</f>
        <v>Número de antecedentes disciplinarios expedidos / Número de antecedentes disciplinarios solicitados (x100)</v>
      </c>
      <c r="G82" s="501" t="s">
        <v>810</v>
      </c>
      <c r="H82" s="496" t="s">
        <v>776</v>
      </c>
      <c r="I82" s="497">
        <v>100</v>
      </c>
      <c r="J82" s="498" t="str">
        <f t="shared" si="11"/>
        <v>Desde (&gt;):</v>
      </c>
      <c r="K82" s="498">
        <f t="shared" si="9"/>
        <v>90</v>
      </c>
      <c r="L82" s="498" t="str">
        <f t="shared" si="12"/>
        <v>Hasta (&lt;):</v>
      </c>
      <c r="M82" s="498">
        <f t="shared" si="10"/>
        <v>100</v>
      </c>
      <c r="N82" s="498" t="str">
        <f t="shared" si="13"/>
        <v>Menor o Igual A:</v>
      </c>
      <c r="O82" s="499">
        <v>90</v>
      </c>
      <c r="P82" s="512">
        <f>+'13-GESTIÓN JURÍDICA'!F20</f>
        <v>1</v>
      </c>
      <c r="Q82" s="512">
        <f>+'13-GESTIÓN JURÍDICA'!G20</f>
        <v>1</v>
      </c>
      <c r="R82" s="516" t="str">
        <f>+'13-GESTIÓN JURÍDICA'!O20</f>
        <v>Oficina Asesora Jurídica</v>
      </c>
    </row>
    <row r="83" spans="2:18" ht="39.6">
      <c r="B83" s="493">
        <f t="shared" si="16"/>
        <v>79</v>
      </c>
      <c r="C83" s="504" t="s">
        <v>790</v>
      </c>
      <c r="D83" s="501" t="s">
        <v>897</v>
      </c>
      <c r="E83" s="509" t="str">
        <f>+'14-SERVICIO AL USUARIO'!I16</f>
        <v>Porcentaje de Percepción de los usuarios en calificación excelente y bueno incrementado</v>
      </c>
      <c r="F83" s="509" t="str">
        <f>+'14-SERVICIO AL USUARIO'!J16</f>
        <v>(Número total de encuestas con calificación excelente y bueno/Número total de encuestras registradas)*100</v>
      </c>
      <c r="G83" s="501" t="s">
        <v>810</v>
      </c>
      <c r="H83" s="496" t="s">
        <v>781</v>
      </c>
      <c r="I83" s="497">
        <v>90</v>
      </c>
      <c r="J83" s="498" t="str">
        <f t="shared" si="11"/>
        <v>Desde (&gt;=):</v>
      </c>
      <c r="K83" s="498">
        <f t="shared" si="9"/>
        <v>70</v>
      </c>
      <c r="L83" s="498" t="str">
        <f t="shared" si="12"/>
        <v>Hasta (&lt;=):</v>
      </c>
      <c r="M83" s="498">
        <f t="shared" si="10"/>
        <v>90</v>
      </c>
      <c r="N83" s="498" t="str">
        <f t="shared" si="13"/>
        <v>Menor A:</v>
      </c>
      <c r="O83" s="499">
        <v>70</v>
      </c>
      <c r="P83" s="512">
        <f>+'14-SERVICIO AL USUARIO'!F16</f>
        <v>0.9</v>
      </c>
      <c r="Q83" s="512">
        <f>+'14-SERVICIO AL USUARIO'!G16</f>
        <v>0.9</v>
      </c>
      <c r="R83" s="516" t="str">
        <f>+'14-SERVICIO AL USUARIO'!O16</f>
        <v>Secretaría General</v>
      </c>
    </row>
    <row r="84" spans="2:18" ht="24.6" customHeight="1">
      <c r="B84" s="493">
        <f t="shared" si="16"/>
        <v>80</v>
      </c>
      <c r="C84" s="504" t="s">
        <v>790</v>
      </c>
      <c r="D84" s="501" t="s">
        <v>907</v>
      </c>
      <c r="E84" s="509" t="str">
        <f>+'14-SERVICIO AL USUARIO'!I17</f>
        <v>Lineamientos implementados</v>
      </c>
      <c r="F84" s="509" t="str">
        <f>+'14-SERVICIO AL USUARIO'!J17</f>
        <v>Número de lineamientos implementados en el periodo</v>
      </c>
      <c r="G84" s="501" t="s">
        <v>810</v>
      </c>
      <c r="H84" s="496" t="s">
        <v>781</v>
      </c>
      <c r="I84" s="497">
        <v>90</v>
      </c>
      <c r="J84" s="498" t="str">
        <f t="shared" si="11"/>
        <v>Desde (&gt;=):</v>
      </c>
      <c r="K84" s="498">
        <f t="shared" si="9"/>
        <v>70</v>
      </c>
      <c r="L84" s="498" t="str">
        <f t="shared" si="12"/>
        <v>Hasta (&lt;=):</v>
      </c>
      <c r="M84" s="498">
        <f t="shared" si="10"/>
        <v>90</v>
      </c>
      <c r="N84" s="498" t="str">
        <f t="shared" si="13"/>
        <v>Menor A:</v>
      </c>
      <c r="O84" s="499">
        <v>70</v>
      </c>
      <c r="P84" s="493">
        <f>+'14-SERVICIO AL USUARIO'!F17</f>
        <v>7</v>
      </c>
      <c r="Q84" s="493">
        <f>+'14-SERVICIO AL USUARIO'!G17</f>
        <v>2</v>
      </c>
      <c r="R84" s="516" t="str">
        <f>+'14-SERVICIO AL USUARIO'!O17</f>
        <v>Secretaría General</v>
      </c>
    </row>
    <row r="85" spans="2:18" ht="31.2" customHeight="1">
      <c r="B85" s="493">
        <f t="shared" si="16"/>
        <v>81</v>
      </c>
      <c r="C85" s="504" t="s">
        <v>790</v>
      </c>
      <c r="D85" s="501" t="s">
        <v>908</v>
      </c>
      <c r="E85" s="509" t="str">
        <f>+'14-SERVICIO AL USUARIO'!I18</f>
        <v>Acuerdos interinstitucionales gestionados</v>
      </c>
      <c r="F85" s="509" t="str">
        <f>+'14-SERVICIO AL USUARIO'!J18</f>
        <v>Número de acuerdos interinstitucionales gestionados en el periodo</v>
      </c>
      <c r="G85" s="501" t="s">
        <v>810</v>
      </c>
      <c r="H85" s="496" t="s">
        <v>781</v>
      </c>
      <c r="I85" s="497">
        <v>90</v>
      </c>
      <c r="J85" s="498" t="str">
        <f t="shared" si="11"/>
        <v>Desde (&gt;=):</v>
      </c>
      <c r="K85" s="498">
        <f t="shared" si="9"/>
        <v>70</v>
      </c>
      <c r="L85" s="498" t="str">
        <f t="shared" si="12"/>
        <v>Hasta (&lt;=):</v>
      </c>
      <c r="M85" s="498">
        <f t="shared" si="10"/>
        <v>90</v>
      </c>
      <c r="N85" s="498" t="str">
        <f t="shared" si="13"/>
        <v>Menor A:</v>
      </c>
      <c r="O85" s="499">
        <v>70</v>
      </c>
      <c r="P85" s="493">
        <f>+'14-SERVICIO AL USUARIO'!F18</f>
        <v>3</v>
      </c>
      <c r="Q85" s="493">
        <f>+'14-SERVICIO AL USUARIO'!G18</f>
        <v>1</v>
      </c>
      <c r="R85" s="516" t="str">
        <f>+'14-SERVICIO AL USUARIO'!O18</f>
        <v>Secretaría General</v>
      </c>
    </row>
    <row r="86" spans="2:18" ht="35.4" customHeight="1">
      <c r="B86" s="493">
        <f t="shared" si="16"/>
        <v>82</v>
      </c>
      <c r="C86" s="503" t="s">
        <v>791</v>
      </c>
      <c r="D86" s="501" t="s">
        <v>901</v>
      </c>
      <c r="E86" s="505" t="str">
        <f>+'15-CTRL DISCIPLINARIO INTERNO'!I16</f>
        <v>Medidas de preservación del orden interno emitidas</v>
      </c>
      <c r="F86" s="505" t="str">
        <f>+'15-CTRL DISCIPLINARIO INTERNO'!J16</f>
        <v>Número de medidas de preservación del orden interno emitidas</v>
      </c>
      <c r="G86" s="501" t="s">
        <v>810</v>
      </c>
      <c r="H86" s="496" t="s">
        <v>776</v>
      </c>
      <c r="I86" s="497">
        <v>100</v>
      </c>
      <c r="J86" s="498" t="str">
        <f t="shared" si="11"/>
        <v>Desde (&gt;):</v>
      </c>
      <c r="K86" s="498">
        <f t="shared" si="9"/>
        <v>79</v>
      </c>
      <c r="L86" s="498" t="str">
        <f t="shared" si="12"/>
        <v>Hasta (&lt;):</v>
      </c>
      <c r="M86" s="498">
        <f t="shared" si="10"/>
        <v>100</v>
      </c>
      <c r="N86" s="498" t="str">
        <f t="shared" si="13"/>
        <v>Menor o Igual A:</v>
      </c>
      <c r="O86" s="499">
        <v>79</v>
      </c>
      <c r="P86" s="493">
        <f>+'15-CTRL DISCIPLINARIO INTERNO'!F16</f>
        <v>96</v>
      </c>
      <c r="Q86" s="493">
        <f>+'15-CTRL DISCIPLINARIO INTERNO'!G16</f>
        <v>24</v>
      </c>
      <c r="R86" s="516" t="str">
        <f>+'15-CTRL DISCIPLINARIO INTERNO'!O16</f>
        <v>Oficina Control Interno Disciplinario</v>
      </c>
    </row>
    <row r="87" spans="2:18">
      <c r="B87" s="493">
        <f t="shared" si="16"/>
        <v>83</v>
      </c>
      <c r="C87" s="503" t="s">
        <v>791</v>
      </c>
      <c r="D87" s="501" t="s">
        <v>909</v>
      </c>
      <c r="E87" s="505" t="str">
        <f>+'15-CTRL DISCIPLINARIO INTERNO'!I17</f>
        <v>Jornadas de sensibilización realizadas</v>
      </c>
      <c r="F87" s="505" t="str">
        <f>+'15-CTRL DISCIPLINARIO INTERNO'!J17</f>
        <v>Número de jornadas de sensibilización realizadas</v>
      </c>
      <c r="G87" s="501" t="s">
        <v>810</v>
      </c>
      <c r="H87" s="496" t="s">
        <v>776</v>
      </c>
      <c r="I87" s="497">
        <v>100</v>
      </c>
      <c r="J87" s="498" t="str">
        <f t="shared" si="11"/>
        <v>Desde (&gt;):</v>
      </c>
      <c r="K87" s="498">
        <f t="shared" si="9"/>
        <v>99</v>
      </c>
      <c r="L87" s="498" t="str">
        <f t="shared" si="12"/>
        <v>Hasta (&lt;):</v>
      </c>
      <c r="M87" s="498">
        <f t="shared" si="10"/>
        <v>100</v>
      </c>
      <c r="N87" s="498" t="str">
        <f t="shared" si="13"/>
        <v>Menor o Igual A:</v>
      </c>
      <c r="O87" s="499">
        <v>99</v>
      </c>
      <c r="P87" s="493">
        <f>+'15-CTRL DISCIPLINARIO INTERNO'!F17</f>
        <v>7</v>
      </c>
      <c r="Q87" s="493">
        <f>+'15-CTRL DISCIPLINARIO INTERNO'!G17</f>
        <v>2</v>
      </c>
      <c r="R87" s="516" t="str">
        <f>+'15-CTRL DISCIPLINARIO INTERNO'!O17</f>
        <v>Oficina Control Interno Disciplinario</v>
      </c>
    </row>
    <row r="88" spans="2:18" ht="26.4">
      <c r="B88" s="493">
        <f t="shared" si="16"/>
        <v>84</v>
      </c>
      <c r="C88" s="503" t="s">
        <v>791</v>
      </c>
      <c r="D88" s="501" t="s">
        <v>910</v>
      </c>
      <c r="E88" s="505" t="str">
        <f>+'15-CTRL DISCIPLINARIO INTERNO'!I18</f>
        <v>Procesos disciplinarios con decisión de fondo proferida</v>
      </c>
      <c r="F88" s="505" t="str">
        <f>+'15-CTRL DISCIPLINARIO INTERNO'!J18</f>
        <v>Número de procesos disciplinarios con decisión de fondo proferidos</v>
      </c>
      <c r="G88" s="501" t="s">
        <v>810</v>
      </c>
      <c r="H88" s="496" t="s">
        <v>776</v>
      </c>
      <c r="I88" s="497">
        <v>100</v>
      </c>
      <c r="J88" s="498" t="str">
        <f t="shared" si="11"/>
        <v>Desde (&gt;):</v>
      </c>
      <c r="K88" s="498">
        <f t="shared" si="9"/>
        <v>70</v>
      </c>
      <c r="L88" s="498" t="str">
        <f t="shared" si="12"/>
        <v>Hasta (&lt;):</v>
      </c>
      <c r="M88" s="498">
        <f t="shared" si="10"/>
        <v>100</v>
      </c>
      <c r="N88" s="498" t="str">
        <f t="shared" si="13"/>
        <v>Menor o Igual A:</v>
      </c>
      <c r="O88" s="499">
        <v>70</v>
      </c>
      <c r="P88" s="493">
        <f>+'15-CTRL DISCIPLINARIO INTERNO'!F18</f>
        <v>400</v>
      </c>
      <c r="Q88" s="493">
        <f>+'15-CTRL DISCIPLINARIO INTERNO'!G18</f>
        <v>100</v>
      </c>
      <c r="R88" s="516" t="str">
        <f>+'15-CTRL DISCIPLINARIO INTERNO'!O18</f>
        <v>Oficina Control Interno Disciplinario</v>
      </c>
    </row>
    <row r="89" spans="2:18" ht="36" customHeight="1">
      <c r="B89" s="493">
        <f t="shared" si="16"/>
        <v>85</v>
      </c>
      <c r="C89" s="504" t="s">
        <v>792</v>
      </c>
      <c r="D89" s="501" t="s">
        <v>902</v>
      </c>
      <c r="E89" s="505" t="str">
        <f>+'16-EVALUACIÓN Y SEGUIMIENTO'!I16</f>
        <v>Programa anual de auditorías ejecutado.</v>
      </c>
      <c r="F89" s="505" t="str">
        <f>+'16-EVALUACIÓN Y SEGUIMIENTO'!J16</f>
        <v>Grado del avance del Programa Anual de Auditoría</v>
      </c>
      <c r="G89" s="501" t="s">
        <v>810</v>
      </c>
      <c r="H89" s="496" t="s">
        <v>776</v>
      </c>
      <c r="I89" s="497">
        <v>90</v>
      </c>
      <c r="J89" s="498" t="str">
        <f t="shared" si="11"/>
        <v>Desde (&gt;):</v>
      </c>
      <c r="K89" s="498">
        <f t="shared" si="9"/>
        <v>69</v>
      </c>
      <c r="L89" s="498" t="str">
        <f t="shared" si="12"/>
        <v>Hasta (&lt;):</v>
      </c>
      <c r="M89" s="498">
        <f t="shared" si="10"/>
        <v>90</v>
      </c>
      <c r="N89" s="498" t="str">
        <f t="shared" si="13"/>
        <v>Menor o Igual A:</v>
      </c>
      <c r="O89" s="499">
        <v>69</v>
      </c>
      <c r="P89" s="493">
        <f>+'16-EVALUACIÓN Y SEGUIMIENTO'!F16</f>
        <v>4</v>
      </c>
      <c r="Q89" s="493">
        <f>+'16-EVALUACIÓN Y SEGUIMIENTO'!G16</f>
        <v>1</v>
      </c>
      <c r="R89" s="516" t="str">
        <f>+'16-EVALUACIÓN Y SEGUIMIENTO'!O16</f>
        <v>Oficina de Control Interno</v>
      </c>
    </row>
    <row r="90" spans="2:18" ht="26.4">
      <c r="B90" s="493">
        <f t="shared" si="16"/>
        <v>86</v>
      </c>
      <c r="C90" s="504" t="s">
        <v>792</v>
      </c>
      <c r="D90" s="501" t="s">
        <v>911</v>
      </c>
      <c r="E90" s="505" t="str">
        <f>+'16-EVALUACIÓN Y SEGUIMIENTO'!I17</f>
        <v>Estrategia de Sensibilización acerca de la Cultura del Control realizada</v>
      </c>
      <c r="F90" s="505" t="str">
        <f>+'16-EVALUACIÓN Y SEGUIMIENTO'!J17</f>
        <v>Número de estratégias de sensibilización acerca de la cultura del control desarrolladas</v>
      </c>
      <c r="G90" s="501" t="s">
        <v>810</v>
      </c>
      <c r="H90" s="496" t="s">
        <v>776</v>
      </c>
      <c r="I90" s="497">
        <v>90</v>
      </c>
      <c r="J90" s="498" t="str">
        <f t="shared" si="11"/>
        <v>Desde (&gt;):</v>
      </c>
      <c r="K90" s="498">
        <f t="shared" si="9"/>
        <v>69</v>
      </c>
      <c r="L90" s="498" t="str">
        <f t="shared" si="12"/>
        <v>Hasta (&lt;):</v>
      </c>
      <c r="M90" s="498">
        <f t="shared" si="10"/>
        <v>90</v>
      </c>
      <c r="N90" s="498" t="str">
        <f t="shared" si="13"/>
        <v>Menor o Igual A:</v>
      </c>
      <c r="O90" s="499">
        <v>69</v>
      </c>
      <c r="P90" s="493">
        <f>+'16-EVALUACIÓN Y SEGUIMIENTO'!F17</f>
        <v>4</v>
      </c>
      <c r="Q90" s="493">
        <f>+'16-EVALUACIÓN Y SEGUIMIENTO'!G17</f>
        <v>1</v>
      </c>
      <c r="R90" s="516" t="str">
        <f>+'16-EVALUACIÓN Y SEGUIMIENTO'!O17</f>
        <v>Oficina de Control Interno</v>
      </c>
    </row>
    <row r="91" spans="2:18" ht="39.6">
      <c r="B91" s="493">
        <f t="shared" si="16"/>
        <v>87</v>
      </c>
      <c r="C91" s="504" t="s">
        <v>792</v>
      </c>
      <c r="D91" s="501" t="s">
        <v>912</v>
      </c>
      <c r="E91" s="505" t="str">
        <f>+'16-EVALUACIÓN Y SEGUIMIENTO'!I18</f>
        <v>Sensibilización a Directivos y Referentes de Gestión sobre la Séptima Dimensión del MIPG realizada</v>
      </c>
      <c r="F91" s="505" t="str">
        <f>+'16-EVALUACIÓN Y SEGUIMIENTO'!J18</f>
        <v>Número de jornadas de Sensibilización realizadas</v>
      </c>
      <c r="G91" s="501" t="s">
        <v>810</v>
      </c>
      <c r="H91" s="496" t="s">
        <v>776</v>
      </c>
      <c r="I91" s="497">
        <v>90</v>
      </c>
      <c r="J91" s="498" t="str">
        <f t="shared" si="11"/>
        <v>Desde (&gt;):</v>
      </c>
      <c r="K91" s="498">
        <f t="shared" si="9"/>
        <v>69</v>
      </c>
      <c r="L91" s="498" t="str">
        <f t="shared" si="12"/>
        <v>Hasta (&lt;):</v>
      </c>
      <c r="M91" s="498">
        <f t="shared" si="10"/>
        <v>90</v>
      </c>
      <c r="N91" s="498" t="str">
        <f t="shared" si="13"/>
        <v>Menor o Igual A:</v>
      </c>
      <c r="O91" s="499">
        <v>69</v>
      </c>
      <c r="P91" s="493">
        <f>+'16-EVALUACIÓN Y SEGUIMIENTO'!F18</f>
        <v>4</v>
      </c>
      <c r="Q91" s="493">
        <f>+'16-EVALUACIÓN Y SEGUIMIENTO'!G18</f>
        <v>1</v>
      </c>
      <c r="R91" s="516" t="str">
        <f>+'16-EVALUACIÓN Y SEGUIMIENTO'!O18</f>
        <v>Oficina de Control Interno</v>
      </c>
    </row>
    <row r="92" spans="2:18">
      <c r="B92" s="493">
        <f t="shared" ref="B92:B106" si="17">1+B91</f>
        <v>88</v>
      </c>
      <c r="C92" s="520"/>
      <c r="D92" s="493"/>
      <c r="E92" s="505"/>
      <c r="F92" s="505"/>
      <c r="G92" s="501"/>
      <c r="H92" s="496"/>
      <c r="I92" s="497"/>
      <c r="J92" s="498" t="str">
        <f t="shared" si="11"/>
        <v/>
      </c>
      <c r="K92" s="498" t="str">
        <f t="shared" si="9"/>
        <v>No Aplica</v>
      </c>
      <c r="L92" s="498" t="str">
        <f t="shared" si="12"/>
        <v/>
      </c>
      <c r="M92" s="498" t="str">
        <f t="shared" si="10"/>
        <v>No Aplica</v>
      </c>
      <c r="N92" s="498" t="str">
        <f t="shared" si="13"/>
        <v/>
      </c>
      <c r="O92" s="499"/>
      <c r="P92" s="493"/>
      <c r="Q92" s="493"/>
      <c r="R92" s="516"/>
    </row>
    <row r="93" spans="2:18">
      <c r="B93" s="493">
        <f t="shared" si="17"/>
        <v>89</v>
      </c>
      <c r="C93" s="520"/>
      <c r="D93" s="493"/>
      <c r="E93" s="505"/>
      <c r="F93" s="505"/>
      <c r="G93" s="501"/>
      <c r="H93" s="496"/>
      <c r="I93" s="497"/>
      <c r="J93" s="498" t="str">
        <f t="shared" si="11"/>
        <v/>
      </c>
      <c r="K93" s="498" t="str">
        <f t="shared" si="9"/>
        <v>No Aplica</v>
      </c>
      <c r="L93" s="498" t="str">
        <f t="shared" si="12"/>
        <v/>
      </c>
      <c r="M93" s="498" t="str">
        <f t="shared" si="10"/>
        <v>No Aplica</v>
      </c>
      <c r="N93" s="498" t="str">
        <f t="shared" si="13"/>
        <v/>
      </c>
      <c r="O93" s="499"/>
      <c r="P93" s="493"/>
      <c r="Q93" s="493"/>
      <c r="R93" s="516"/>
    </row>
    <row r="94" spans="2:18">
      <c r="B94" s="493">
        <f t="shared" si="17"/>
        <v>90</v>
      </c>
      <c r="C94" s="520"/>
      <c r="D94" s="493"/>
      <c r="E94" s="505"/>
      <c r="F94" s="505"/>
      <c r="G94" s="501"/>
      <c r="H94" s="496"/>
      <c r="I94" s="497"/>
      <c r="J94" s="498" t="str">
        <f t="shared" si="11"/>
        <v/>
      </c>
      <c r="K94" s="498" t="str">
        <f t="shared" si="9"/>
        <v>No Aplica</v>
      </c>
      <c r="L94" s="498" t="str">
        <f t="shared" si="12"/>
        <v/>
      </c>
      <c r="M94" s="498" t="str">
        <f t="shared" si="10"/>
        <v>No Aplica</v>
      </c>
      <c r="N94" s="498" t="str">
        <f t="shared" si="13"/>
        <v/>
      </c>
      <c r="O94" s="499"/>
      <c r="P94" s="493"/>
      <c r="Q94" s="493"/>
      <c r="R94" s="516"/>
    </row>
    <row r="95" spans="2:18" hidden="1">
      <c r="B95" s="493">
        <f t="shared" si="17"/>
        <v>91</v>
      </c>
      <c r="C95" s="520"/>
      <c r="D95" s="493"/>
      <c r="E95" s="505"/>
      <c r="F95" s="505"/>
      <c r="G95" s="501"/>
      <c r="H95" s="496"/>
      <c r="I95" s="497"/>
      <c r="J95" s="498" t="str">
        <f t="shared" si="11"/>
        <v/>
      </c>
      <c r="K95" s="498" t="str">
        <f t="shared" si="9"/>
        <v>No Aplica</v>
      </c>
      <c r="L95" s="498" t="str">
        <f t="shared" si="12"/>
        <v/>
      </c>
      <c r="M95" s="498" t="str">
        <f t="shared" si="10"/>
        <v>No Aplica</v>
      </c>
      <c r="N95" s="498" t="str">
        <f t="shared" si="13"/>
        <v/>
      </c>
      <c r="O95" s="499"/>
      <c r="P95" s="493"/>
      <c r="Q95" s="493"/>
      <c r="R95" s="516"/>
    </row>
    <row r="96" spans="2:18" hidden="1">
      <c r="B96" s="493">
        <f t="shared" si="17"/>
        <v>92</v>
      </c>
      <c r="C96" s="520"/>
      <c r="D96" s="493"/>
      <c r="E96" s="505"/>
      <c r="F96" s="505"/>
      <c r="G96" s="501"/>
      <c r="H96" s="496"/>
      <c r="I96" s="497"/>
      <c r="J96" s="498" t="str">
        <f t="shared" si="11"/>
        <v/>
      </c>
      <c r="K96" s="498" t="str">
        <f t="shared" si="9"/>
        <v>No Aplica</v>
      </c>
      <c r="L96" s="498" t="str">
        <f t="shared" si="12"/>
        <v/>
      </c>
      <c r="M96" s="498" t="str">
        <f t="shared" si="10"/>
        <v>No Aplica</v>
      </c>
      <c r="N96" s="498" t="str">
        <f t="shared" si="13"/>
        <v/>
      </c>
      <c r="O96" s="499"/>
      <c r="P96" s="493"/>
      <c r="Q96" s="493"/>
      <c r="R96" s="516"/>
    </row>
    <row r="97" spans="2:18" hidden="1">
      <c r="B97" s="493">
        <f t="shared" si="17"/>
        <v>93</v>
      </c>
      <c r="C97" s="505"/>
      <c r="D97" s="493"/>
      <c r="E97" s="505"/>
      <c r="F97" s="505"/>
      <c r="G97" s="493"/>
      <c r="H97" s="496"/>
      <c r="I97" s="497"/>
      <c r="J97" s="498" t="str">
        <f t="shared" si="11"/>
        <v/>
      </c>
      <c r="K97" s="498" t="str">
        <f t="shared" si="9"/>
        <v>No Aplica</v>
      </c>
      <c r="L97" s="498" t="str">
        <f t="shared" si="12"/>
        <v/>
      </c>
      <c r="M97" s="498" t="str">
        <f t="shared" si="10"/>
        <v>No Aplica</v>
      </c>
      <c r="N97" s="498" t="str">
        <f t="shared" si="13"/>
        <v/>
      </c>
      <c r="O97" s="499"/>
      <c r="P97" s="493"/>
      <c r="Q97" s="493"/>
      <c r="R97" s="516"/>
    </row>
    <row r="98" spans="2:18" hidden="1">
      <c r="B98" s="493">
        <f t="shared" si="17"/>
        <v>94</v>
      </c>
      <c r="C98" s="505"/>
      <c r="D98" s="493"/>
      <c r="E98" s="505"/>
      <c r="F98" s="505"/>
      <c r="G98" s="493"/>
      <c r="H98" s="496"/>
      <c r="I98" s="497"/>
      <c r="J98" s="498" t="str">
        <f t="shared" si="11"/>
        <v/>
      </c>
      <c r="K98" s="498" t="str">
        <f t="shared" si="9"/>
        <v>No Aplica</v>
      </c>
      <c r="L98" s="498" t="str">
        <f t="shared" si="12"/>
        <v/>
      </c>
      <c r="M98" s="498" t="str">
        <f t="shared" si="10"/>
        <v>No Aplica</v>
      </c>
      <c r="N98" s="498" t="str">
        <f t="shared" si="13"/>
        <v/>
      </c>
      <c r="O98" s="499"/>
      <c r="P98" s="493"/>
      <c r="Q98" s="493"/>
      <c r="R98" s="516"/>
    </row>
    <row r="99" spans="2:18" hidden="1">
      <c r="B99" s="493">
        <f t="shared" si="17"/>
        <v>95</v>
      </c>
      <c r="C99" s="505"/>
      <c r="D99" s="493"/>
      <c r="E99" s="505"/>
      <c r="F99" s="505"/>
      <c r="G99" s="493"/>
      <c r="H99" s="496"/>
      <c r="I99" s="497"/>
      <c r="J99" s="498" t="str">
        <f t="shared" si="11"/>
        <v/>
      </c>
      <c r="K99" s="498" t="str">
        <f t="shared" si="9"/>
        <v>No Aplica</v>
      </c>
      <c r="L99" s="498" t="str">
        <f t="shared" si="12"/>
        <v/>
      </c>
      <c r="M99" s="498" t="str">
        <f t="shared" si="10"/>
        <v>No Aplica</v>
      </c>
      <c r="N99" s="498" t="str">
        <f t="shared" si="13"/>
        <v/>
      </c>
      <c r="O99" s="499"/>
      <c r="P99" s="493"/>
      <c r="Q99" s="493"/>
      <c r="R99" s="516"/>
    </row>
    <row r="100" spans="2:18" hidden="1">
      <c r="B100" s="493">
        <f t="shared" si="17"/>
        <v>96</v>
      </c>
      <c r="C100" s="505"/>
      <c r="D100" s="493"/>
      <c r="E100" s="505"/>
      <c r="F100" s="505"/>
      <c r="G100" s="493"/>
      <c r="H100" s="496"/>
      <c r="I100" s="497"/>
      <c r="J100" s="498" t="str">
        <f t="shared" si="11"/>
        <v/>
      </c>
      <c r="K100" s="498" t="str">
        <f t="shared" si="9"/>
        <v>No Aplica</v>
      </c>
      <c r="L100" s="498" t="str">
        <f t="shared" si="12"/>
        <v/>
      </c>
      <c r="M100" s="498" t="str">
        <f t="shared" si="10"/>
        <v>No Aplica</v>
      </c>
      <c r="N100" s="498" t="str">
        <f t="shared" si="13"/>
        <v/>
      </c>
      <c r="O100" s="499"/>
      <c r="P100" s="493"/>
      <c r="Q100" s="493"/>
      <c r="R100" s="516"/>
    </row>
    <row r="101" spans="2:18" hidden="1">
      <c r="B101" s="493">
        <f t="shared" si="17"/>
        <v>97</v>
      </c>
      <c r="C101" s="505"/>
      <c r="D101" s="493"/>
      <c r="E101" s="505"/>
      <c r="F101" s="505"/>
      <c r="G101" s="493"/>
      <c r="H101" s="496"/>
      <c r="I101" s="497"/>
      <c r="J101" s="498" t="str">
        <f t="shared" si="11"/>
        <v/>
      </c>
      <c r="K101" s="498" t="str">
        <f t="shared" si="9"/>
        <v>No Aplica</v>
      </c>
      <c r="L101" s="498" t="str">
        <f t="shared" si="12"/>
        <v/>
      </c>
      <c r="M101" s="498" t="str">
        <f t="shared" si="10"/>
        <v>No Aplica</v>
      </c>
      <c r="N101" s="498" t="str">
        <f t="shared" si="13"/>
        <v/>
      </c>
      <c r="O101" s="499"/>
      <c r="P101" s="493"/>
      <c r="Q101" s="493"/>
      <c r="R101" s="516"/>
    </row>
    <row r="102" spans="2:18" hidden="1">
      <c r="B102" s="493">
        <f t="shared" si="17"/>
        <v>98</v>
      </c>
      <c r="C102" s="505"/>
      <c r="D102" s="493"/>
      <c r="E102" s="505"/>
      <c r="F102" s="505"/>
      <c r="G102" s="493"/>
      <c r="H102" s="496"/>
      <c r="I102" s="497"/>
      <c r="J102" s="498" t="str">
        <f t="shared" si="11"/>
        <v/>
      </c>
      <c r="K102" s="498" t="str">
        <f t="shared" si="9"/>
        <v>No Aplica</v>
      </c>
      <c r="L102" s="498" t="str">
        <f t="shared" si="12"/>
        <v/>
      </c>
      <c r="M102" s="498" t="str">
        <f t="shared" si="10"/>
        <v>No Aplica</v>
      </c>
      <c r="N102" s="498" t="str">
        <f t="shared" si="13"/>
        <v/>
      </c>
      <c r="O102" s="499"/>
      <c r="P102" s="493"/>
      <c r="Q102" s="493"/>
      <c r="R102" s="516"/>
    </row>
    <row r="103" spans="2:18" hidden="1">
      <c r="B103" s="493">
        <f t="shared" si="17"/>
        <v>99</v>
      </c>
      <c r="C103" s="505"/>
      <c r="D103" s="493"/>
      <c r="E103" s="505"/>
      <c r="F103" s="505"/>
      <c r="G103" s="493"/>
      <c r="H103" s="496"/>
      <c r="I103" s="497"/>
      <c r="J103" s="498" t="str">
        <f t="shared" si="11"/>
        <v/>
      </c>
      <c r="K103" s="498" t="str">
        <f t="shared" si="9"/>
        <v>No Aplica</v>
      </c>
      <c r="L103" s="498" t="str">
        <f t="shared" si="12"/>
        <v/>
      </c>
      <c r="M103" s="498" t="str">
        <f t="shared" si="10"/>
        <v>No Aplica</v>
      </c>
      <c r="N103" s="498" t="str">
        <f t="shared" si="13"/>
        <v/>
      </c>
      <c r="O103" s="499"/>
      <c r="P103" s="493"/>
      <c r="Q103" s="493"/>
      <c r="R103" s="516"/>
    </row>
    <row r="104" spans="2:18" hidden="1">
      <c r="B104" s="493">
        <f t="shared" si="17"/>
        <v>100</v>
      </c>
      <c r="C104" s="505"/>
      <c r="D104" s="493"/>
      <c r="E104" s="505"/>
      <c r="F104" s="505"/>
      <c r="G104" s="493"/>
      <c r="H104" s="496"/>
      <c r="I104" s="497"/>
      <c r="J104" s="498" t="str">
        <f t="shared" si="11"/>
        <v/>
      </c>
      <c r="K104" s="498" t="str">
        <f t="shared" si="9"/>
        <v>No Aplica</v>
      </c>
      <c r="L104" s="498" t="str">
        <f t="shared" si="12"/>
        <v/>
      </c>
      <c r="M104" s="498" t="str">
        <f t="shared" si="10"/>
        <v>No Aplica</v>
      </c>
      <c r="N104" s="498" t="str">
        <f t="shared" si="13"/>
        <v/>
      </c>
      <c r="O104" s="499"/>
      <c r="P104" s="493"/>
      <c r="Q104" s="493"/>
      <c r="R104" s="516"/>
    </row>
    <row r="105" spans="2:18" hidden="1">
      <c r="B105" s="493">
        <f t="shared" si="17"/>
        <v>101</v>
      </c>
      <c r="C105" s="505"/>
      <c r="D105" s="493"/>
      <c r="E105" s="505"/>
      <c r="F105" s="505"/>
      <c r="G105" s="493"/>
      <c r="H105" s="496"/>
      <c r="I105" s="497"/>
      <c r="J105" s="498" t="str">
        <f t="shared" si="11"/>
        <v/>
      </c>
      <c r="K105" s="498" t="str">
        <f t="shared" si="9"/>
        <v>No Aplica</v>
      </c>
      <c r="L105" s="498" t="str">
        <f t="shared" si="12"/>
        <v/>
      </c>
      <c r="M105" s="498" t="str">
        <f t="shared" si="10"/>
        <v>No Aplica</v>
      </c>
      <c r="N105" s="498" t="str">
        <f t="shared" si="13"/>
        <v/>
      </c>
      <c r="O105" s="499"/>
      <c r="P105" s="493"/>
      <c r="Q105" s="493"/>
      <c r="R105" s="516"/>
    </row>
    <row r="106" spans="2:18" hidden="1">
      <c r="B106" s="493">
        <f t="shared" si="17"/>
        <v>102</v>
      </c>
      <c r="C106" s="505"/>
      <c r="D106" s="493"/>
      <c r="E106" s="495"/>
      <c r="F106" s="495"/>
      <c r="G106" s="493"/>
      <c r="H106" s="496"/>
      <c r="I106" s="497"/>
      <c r="J106" s="498" t="str">
        <f t="shared" si="11"/>
        <v/>
      </c>
      <c r="K106" s="498" t="str">
        <f t="shared" si="9"/>
        <v>No Aplica</v>
      </c>
      <c r="L106" s="498" t="str">
        <f t="shared" si="12"/>
        <v/>
      </c>
      <c r="M106" s="498" t="str">
        <f t="shared" si="10"/>
        <v>No Aplica</v>
      </c>
      <c r="N106" s="498" t="str">
        <f t="shared" si="13"/>
        <v/>
      </c>
      <c r="O106" s="499"/>
      <c r="P106" s="493"/>
      <c r="Q106" s="493"/>
      <c r="R106" s="516"/>
    </row>
    <row r="109" spans="2:18" ht="15.6">
      <c r="C109" s="1113" t="s">
        <v>801</v>
      </c>
      <c r="D109" s="1114" t="s">
        <v>914</v>
      </c>
      <c r="E109" s="1124" t="s">
        <v>949</v>
      </c>
      <c r="F109" s="1124"/>
      <c r="G109" s="1124"/>
    </row>
    <row r="110" spans="2:18" ht="15.6">
      <c r="C110" s="1113"/>
      <c r="D110" s="1114"/>
      <c r="E110" s="615" t="s">
        <v>810</v>
      </c>
      <c r="F110" s="615" t="s">
        <v>814</v>
      </c>
      <c r="G110" s="615" t="s">
        <v>818</v>
      </c>
    </row>
    <row r="111" spans="2:18" ht="13.8">
      <c r="C111" s="630" t="s">
        <v>775</v>
      </c>
      <c r="D111" s="633">
        <f>COUNT(B5:B8)</f>
        <v>4</v>
      </c>
      <c r="E111" s="634">
        <f>COUNTIF($G5:$G8,"Eficacia")</f>
        <v>4</v>
      </c>
      <c r="F111" s="634">
        <f>COUNTIF($G5:$G8,"Eficiencia")</f>
        <v>0</v>
      </c>
      <c r="G111" s="634">
        <f>COUNTIF($G5:$G8,"Efectividad")</f>
        <v>0</v>
      </c>
    </row>
    <row r="112" spans="2:18" ht="13.8">
      <c r="C112" s="630" t="s">
        <v>777</v>
      </c>
      <c r="D112" s="633">
        <f>COUNT(B9:B11)</f>
        <v>3</v>
      </c>
      <c r="E112" s="634">
        <f>COUNTIF($G9:$G11,"Eficacia")</f>
        <v>3</v>
      </c>
      <c r="F112" s="634">
        <f>COUNTIF($G9:$G11,"Eficiencia")</f>
        <v>0</v>
      </c>
      <c r="G112" s="634">
        <f>COUNTIF($G9:$G11,"Efectividad")</f>
        <v>0</v>
      </c>
    </row>
    <row r="113" spans="3:9" ht="13.8">
      <c r="C113" s="630" t="s">
        <v>778</v>
      </c>
      <c r="D113" s="633">
        <f>COUNT(B12:B18)</f>
        <v>7</v>
      </c>
      <c r="E113" s="634">
        <f>COUNTIF($G12:$G18,"Eficacia")</f>
        <v>7</v>
      </c>
      <c r="F113" s="634">
        <f>COUNTIF($G12:$G18,"Eficiencia")</f>
        <v>0</v>
      </c>
      <c r="G113" s="634">
        <f>COUNTIF($G12:$G18,"Efectividad")</f>
        <v>0</v>
      </c>
    </row>
    <row r="114" spans="3:9" ht="13.8">
      <c r="C114" s="630" t="s">
        <v>779</v>
      </c>
      <c r="D114" s="633">
        <f>COUNT(B19:B20)</f>
        <v>2</v>
      </c>
      <c r="E114" s="634">
        <f>COUNTIF($G19:$G20,"Eficacia")</f>
        <v>2</v>
      </c>
      <c r="F114" s="634">
        <f>COUNTIF($G19:$G20,"Eficiencia")</f>
        <v>0</v>
      </c>
      <c r="G114" s="634">
        <f>COUNTIF($G19:$G20,"Efectividad")</f>
        <v>0</v>
      </c>
    </row>
    <row r="115" spans="3:9" ht="13.8">
      <c r="C115" s="630" t="s">
        <v>780</v>
      </c>
      <c r="D115" s="633">
        <f>COUNT(B21:B41)</f>
        <v>21</v>
      </c>
      <c r="E115" s="634">
        <f>COUNTIF($G17:$G37,"Eficacia")</f>
        <v>21</v>
      </c>
      <c r="F115" s="634">
        <f>COUNTIF($G17:$G37,"Eficiencia")</f>
        <v>0</v>
      </c>
      <c r="G115" s="634">
        <f>COUNTIF($G17:$G37,"Efectividad")</f>
        <v>0</v>
      </c>
    </row>
    <row r="116" spans="3:9" ht="13.8">
      <c r="C116" s="630" t="s">
        <v>916</v>
      </c>
      <c r="D116" s="633">
        <f>COUNT(B42:B48)</f>
        <v>7</v>
      </c>
      <c r="E116" s="634">
        <f>COUNTIF($G42:$G48,"Eficacia")</f>
        <v>7</v>
      </c>
      <c r="F116" s="634">
        <f>COUNTIF($G42:$G48,"Eficiencia")</f>
        <v>0</v>
      </c>
      <c r="G116" s="634">
        <f>COUNTIF($G42:$G48,"Efectividad")</f>
        <v>0</v>
      </c>
    </row>
    <row r="117" spans="3:9" ht="13.8">
      <c r="C117" s="630" t="s">
        <v>783</v>
      </c>
      <c r="D117" s="633">
        <f>COUNT(B49:B56)</f>
        <v>8</v>
      </c>
      <c r="E117" s="634">
        <f>COUNTIF($G49:$G56,"Eficacia")</f>
        <v>8</v>
      </c>
      <c r="F117" s="634">
        <f>COUNTIF($G49:$G56,"Eficiencia")</f>
        <v>0</v>
      </c>
      <c r="G117" s="634">
        <f>COUNTIF($G49:$G56,"Efectividad")</f>
        <v>0</v>
      </c>
    </row>
    <row r="118" spans="3:9" ht="13.8">
      <c r="C118" s="630" t="s">
        <v>784</v>
      </c>
      <c r="D118" s="633">
        <f>COUNT(B57:B64)</f>
        <v>8</v>
      </c>
      <c r="E118" s="634">
        <f>COUNTIF($G57:$G64,"Eficacia")</f>
        <v>7</v>
      </c>
      <c r="F118" s="634">
        <f>COUNTIF($G57:$G64,"Eficiencia")</f>
        <v>0</v>
      </c>
      <c r="G118" s="634">
        <f>COUNTIF($G57:$G64,"Efectividad")</f>
        <v>1</v>
      </c>
    </row>
    <row r="119" spans="3:9" ht="13.8">
      <c r="C119" s="630" t="s">
        <v>785</v>
      </c>
      <c r="D119" s="633">
        <f>COUNT(B65:B66)</f>
        <v>2</v>
      </c>
      <c r="E119" s="634">
        <f>COUNTIF($G65:$G66,"Eficacia")</f>
        <v>2</v>
      </c>
      <c r="F119" s="634">
        <f>COUNTIF($G65:$G66,"Eficiencia")</f>
        <v>0</v>
      </c>
      <c r="G119" s="634">
        <f>COUNTIF($G65:$G66,"Efectividad")</f>
        <v>0</v>
      </c>
    </row>
    <row r="120" spans="3:9" ht="13.8">
      <c r="C120" s="630" t="s">
        <v>786</v>
      </c>
      <c r="D120" s="633">
        <f>COUNT(B67:B69)</f>
        <v>3</v>
      </c>
      <c r="E120" s="634">
        <f>COUNTIF($G67:$G69,"Eficacia")</f>
        <v>3</v>
      </c>
      <c r="F120" s="634">
        <f>COUNTIF($G67:$G69,"Eficiencia")</f>
        <v>0</v>
      </c>
      <c r="G120" s="634">
        <f>COUNTIF($G67:$G69,"Efectividad")</f>
        <v>0</v>
      </c>
    </row>
    <row r="121" spans="3:9" ht="13.8">
      <c r="C121" s="630" t="s">
        <v>787</v>
      </c>
      <c r="D121" s="633">
        <f>COUNT(B70:B73)</f>
        <v>4</v>
      </c>
      <c r="E121" s="634">
        <f>COUNTIF($G70:$G73,"Eficacia")</f>
        <v>1</v>
      </c>
      <c r="F121" s="634">
        <f>COUNTIF($G70:$G73,"Eficiencia")</f>
        <v>3</v>
      </c>
      <c r="G121" s="634">
        <f>COUNTIF($G70:$G73,"Efectividad")</f>
        <v>0</v>
      </c>
    </row>
    <row r="122" spans="3:9" ht="13.8">
      <c r="C122" s="630" t="s">
        <v>788</v>
      </c>
      <c r="D122" s="633">
        <f>COUNT(B74:B77)</f>
        <v>4</v>
      </c>
      <c r="E122" s="634">
        <f>COUNTIF($G74:$G77,"Eficacia")</f>
        <v>3</v>
      </c>
      <c r="F122" s="634">
        <f>COUNTIF($G74:$G77,"Eficiencia")</f>
        <v>1</v>
      </c>
      <c r="G122" s="634">
        <f>COUNTIF($G74:$G77,"Efectividad")</f>
        <v>0</v>
      </c>
    </row>
    <row r="123" spans="3:9" ht="13.8">
      <c r="C123" s="630" t="s">
        <v>789</v>
      </c>
      <c r="D123" s="633">
        <f>COUNT(B78:B82)</f>
        <v>5</v>
      </c>
      <c r="E123" s="634">
        <f>COUNTIF($G78:$G82,"Eficacia")</f>
        <v>5</v>
      </c>
      <c r="F123" s="634">
        <f>COUNTIF($G78:$G82,"Eficiencia")</f>
        <v>0</v>
      </c>
      <c r="G123" s="634">
        <f>COUNTIF($G78:$G82,"Efectividad")</f>
        <v>0</v>
      </c>
    </row>
    <row r="124" spans="3:9" ht="13.8">
      <c r="C124" s="630" t="s">
        <v>790</v>
      </c>
      <c r="D124" s="633">
        <f>COUNT(B83:B85)</f>
        <v>3</v>
      </c>
      <c r="E124" s="634">
        <f>COUNTIF($G83:$G85,"Eficacia")</f>
        <v>3</v>
      </c>
      <c r="F124" s="634">
        <f>COUNTIF($G83:$G85,"Eficiencia")</f>
        <v>0</v>
      </c>
      <c r="G124" s="634">
        <f>COUNTIF($G83:$G85,"Efectividad")</f>
        <v>0</v>
      </c>
    </row>
    <row r="125" spans="3:9" ht="13.8">
      <c r="C125" s="630" t="s">
        <v>791</v>
      </c>
      <c r="D125" s="633">
        <f>COUNT(B86:B88)</f>
        <v>3</v>
      </c>
      <c r="E125" s="634">
        <f>COUNTIF($G86:$G88,"Eficacia")</f>
        <v>3</v>
      </c>
      <c r="F125" s="634">
        <f>COUNTIF($G86:$G88,"Eficiencia")</f>
        <v>0</v>
      </c>
      <c r="G125" s="634">
        <f>COUNTIF($G86:$G88,"Efectividad")</f>
        <v>0</v>
      </c>
    </row>
    <row r="126" spans="3:9" ht="13.8">
      <c r="C126" s="630" t="s">
        <v>792</v>
      </c>
      <c r="D126" s="633">
        <f>COUNT(B89:B91)</f>
        <v>3</v>
      </c>
      <c r="E126" s="634">
        <f>COUNTIF($G89:$G91,"Eficacia")</f>
        <v>3</v>
      </c>
      <c r="F126" s="634">
        <f>COUNTIF($G89:$G91,"Eficiencia")</f>
        <v>0</v>
      </c>
      <c r="G126" s="634">
        <f>COUNTIF($G89:$G91,"Efectividad")</f>
        <v>0</v>
      </c>
    </row>
    <row r="127" spans="3:9" ht="15.6">
      <c r="C127" s="631" t="s">
        <v>956</v>
      </c>
      <c r="D127" s="632">
        <f>SUM(D111:D126)</f>
        <v>87</v>
      </c>
      <c r="E127" s="632">
        <f t="shared" ref="E127:G127" si="18">SUM(E111:E126)</f>
        <v>82</v>
      </c>
      <c r="F127" s="632">
        <f t="shared" si="18"/>
        <v>4</v>
      </c>
      <c r="G127" s="632">
        <f t="shared" si="18"/>
        <v>1</v>
      </c>
      <c r="H127" s="635"/>
      <c r="I127" s="636"/>
    </row>
  </sheetData>
  <sheetProtection algorithmName="SHA-512" hashValue="RjNsfTqIgDNEspz2KNJm7j7X5qxq8zsiQmIqSb65N+B0Yl1yV2IgE4L1n0F3NNs4MuvN0qRhUHDkDYIPKbYaqA==" saltValue="u2S1gIXwD/WZ5YC6K2Dypw==" spinCount="100000" sheet="1" formatRows="0"/>
  <mergeCells count="8">
    <mergeCell ref="C109:C110"/>
    <mergeCell ref="D109:D110"/>
    <mergeCell ref="B2:O2"/>
    <mergeCell ref="H3:O3"/>
    <mergeCell ref="H4:I4"/>
    <mergeCell ref="J4:M4"/>
    <mergeCell ref="N4:O4"/>
    <mergeCell ref="E109:G109"/>
  </mergeCells>
  <phoneticPr fontId="73"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tabSelected="1" zoomScale="40" zoomScaleNormal="40" workbookViewId="0">
      <selection activeCell="B8" sqref="B8:C8"/>
    </sheetView>
  </sheetViews>
  <sheetFormatPr baseColWidth="10" defaultColWidth="17.33203125" defaultRowHeight="15"/>
  <cols>
    <col min="1" max="1" width="4.33203125" style="1" customWidth="1"/>
    <col min="2" max="2" width="87.44140625" style="3" customWidth="1"/>
    <col min="3" max="3" width="99" style="1" customWidth="1"/>
    <col min="4" max="5" width="38.6640625" style="1" customWidth="1"/>
    <col min="6" max="16384" width="17.33203125" style="1"/>
  </cols>
  <sheetData>
    <row r="1" spans="2:5" ht="15" customHeight="1"/>
    <row r="2" spans="2:5" ht="59.4" customHeight="1">
      <c r="B2" s="1125" t="s">
        <v>736</v>
      </c>
      <c r="C2" s="1132" t="s">
        <v>1110</v>
      </c>
      <c r="D2" s="911"/>
      <c r="E2" s="911"/>
    </row>
    <row r="3" spans="2:5" ht="59.4" customHeight="1">
      <c r="B3" s="1125"/>
      <c r="C3" s="1133"/>
      <c r="D3" s="911"/>
      <c r="E3" s="911"/>
    </row>
    <row r="4" spans="2:5" ht="14.25" customHeight="1">
      <c r="B4" s="2"/>
    </row>
    <row r="5" spans="2:5" ht="32.4" customHeight="1">
      <c r="B5" s="1134" t="s">
        <v>1207</v>
      </c>
      <c r="C5" s="1135"/>
      <c r="D5" s="779"/>
      <c r="E5" s="779"/>
    </row>
    <row r="6" spans="2:5" ht="14.25" customHeight="1">
      <c r="B6" s="2"/>
      <c r="C6" s="12"/>
      <c r="D6" s="12"/>
      <c r="E6" s="12"/>
    </row>
    <row r="7" spans="2:5" ht="34.200000000000003" customHeight="1" thickBot="1">
      <c r="B7" s="947" t="str">
        <f>+'3-Grado Cump Metas Estratégicas'!B7</f>
        <v>Corte: 30 de septiembre de 2021</v>
      </c>
      <c r="C7" s="12"/>
      <c r="D7" s="12"/>
      <c r="E7" s="12"/>
    </row>
    <row r="8" spans="2:5" ht="52.2" customHeight="1">
      <c r="B8" s="1126" t="s">
        <v>1094</v>
      </c>
      <c r="C8" s="1127"/>
      <c r="D8" s="928"/>
      <c r="E8" s="928"/>
    </row>
    <row r="9" spans="2:5" ht="59.4" customHeight="1">
      <c r="B9" s="1128" t="s">
        <v>0</v>
      </c>
      <c r="C9" s="1130" t="s">
        <v>1112</v>
      </c>
      <c r="D9" s="929"/>
      <c r="E9" s="929"/>
    </row>
    <row r="10" spans="2:5" ht="38.4" customHeight="1">
      <c r="B10" s="1129"/>
      <c r="C10" s="1131"/>
      <c r="D10" s="929"/>
      <c r="E10" s="929"/>
    </row>
    <row r="11" spans="2:5" ht="156.6" customHeight="1">
      <c r="B11" s="96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65">
        <f>+'1-Infor Det Sgto PEI 2021-2024 '!BO9</f>
        <v>0.23212946833855638</v>
      </c>
      <c r="D11" s="930"/>
      <c r="E11" s="930"/>
    </row>
    <row r="12" spans="2:5" ht="141.6" customHeight="1">
      <c r="B12" s="966" t="str">
        <f>+'Matriz PEI 2021-2024'!B13</f>
        <v>2. Realizar acciones de prevención y control a la Función Pública, en el marco del cumplimiento del Plan de Desarrollo, con énfasis en los Derechos e intereses colectivos.</v>
      </c>
      <c r="C12" s="967">
        <f>+'1-Infor Det Sgto PEI 2021-2024 '!BO30</f>
        <v>0.16345916795069337</v>
      </c>
      <c r="D12" s="931"/>
      <c r="E12" s="931"/>
    </row>
    <row r="13" spans="2:5" ht="141.6" customHeight="1">
      <c r="B13" s="964" t="str">
        <f>+'Matriz PEI 2021-2024'!B16</f>
        <v>3. Vigilar la conducta oficial de los(as) servidores(as) públicos(as) del Distrito Capital, mediante acciones preventivas y correctivas, que permitan un adecuado cumplimiento de los principios de la Función Pública</v>
      </c>
      <c r="C13" s="968">
        <f>+'1-Infor Det Sgto PEI 2021-2024 '!BO37</f>
        <v>0.19064152777777776</v>
      </c>
      <c r="D13" s="930"/>
      <c r="E13" s="930"/>
    </row>
    <row r="14" spans="2:5" ht="141.6" customHeight="1">
      <c r="B14" s="966"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969">
        <f>+'1-Infor Det Sgto PEI 2021-2024 '!BO45</f>
        <v>0.15884302300488068</v>
      </c>
      <c r="D14" s="932"/>
      <c r="E14" s="932"/>
    </row>
    <row r="15" spans="2:5" ht="141.6" customHeight="1">
      <c r="B15" s="964" t="str">
        <f>+'Matriz PEI 2021-2024'!B27</f>
        <v xml:space="preserve">5. Incorporar una cultura del conocimiento y la innovación a través de actividades que permitan el desarrollo de ideas, lecciones aprendidas e investigaciones para mejorar los resultados de la gestión institucional. </v>
      </c>
      <c r="C15" s="970">
        <f>+'1-Infor Det Sgto PEI 2021-2024 '!BO93</f>
        <v>0.1275</v>
      </c>
      <c r="D15" s="926"/>
      <c r="E15" s="926"/>
    </row>
    <row r="16" spans="2:5" ht="32.4" customHeight="1" thickBot="1">
      <c r="B16" s="971" t="s">
        <v>1093</v>
      </c>
      <c r="C16" s="963">
        <f>AVERAGE(C11:C15)</f>
        <v>0.17451463741438164</v>
      </c>
      <c r="D16" s="927"/>
      <c r="E16" s="927"/>
    </row>
    <row r="17" spans="2:2" ht="13.5" customHeight="1">
      <c r="B17" s="43"/>
    </row>
    <row r="18" spans="2:2" ht="15" customHeight="1">
      <c r="B18" s="43"/>
    </row>
    <row r="19" spans="2:2" ht="15" customHeight="1">
      <c r="B19" s="43"/>
    </row>
    <row r="20" spans="2:2" ht="15" customHeight="1">
      <c r="B20" s="43"/>
    </row>
    <row r="21" spans="2:2" ht="15" customHeight="1">
      <c r="B21" s="43"/>
    </row>
    <row r="25" spans="2:2" s="950" customFormat="1">
      <c r="B25" s="949"/>
    </row>
    <row r="26" spans="2:2" s="950" customFormat="1" ht="24.6" customHeight="1">
      <c r="B26" s="949"/>
    </row>
    <row r="27" spans="2:2" s="950" customFormat="1">
      <c r="B27" s="949"/>
    </row>
    <row r="28" spans="2:2" s="950" customFormat="1">
      <c r="B28" s="949"/>
    </row>
    <row r="29" spans="2:2" s="950" customFormat="1">
      <c r="B29" s="949"/>
    </row>
    <row r="30" spans="2:2" s="950" customFormat="1">
      <c r="B30" s="949"/>
    </row>
    <row r="31" spans="2:2" s="950" customFormat="1">
      <c r="B31" s="949"/>
    </row>
    <row r="32" spans="2:2" s="950" customFormat="1">
      <c r="B32" s="949"/>
    </row>
    <row r="33" spans="2:2" s="950" customFormat="1">
      <c r="B33" s="949"/>
    </row>
    <row r="34" spans="2:2" s="950" customFormat="1">
      <c r="B34" s="949"/>
    </row>
    <row r="35" spans="2:2" s="950" customFormat="1">
      <c r="B35" s="949"/>
    </row>
    <row r="36" spans="2:2" s="950" customFormat="1">
      <c r="B36" s="949"/>
    </row>
    <row r="37" spans="2:2" s="950" customFormat="1">
      <c r="B37" s="949"/>
    </row>
    <row r="38" spans="2:2" s="950" customFormat="1">
      <c r="B38" s="949"/>
    </row>
    <row r="39" spans="2:2" s="950" customFormat="1">
      <c r="B39" s="949"/>
    </row>
    <row r="40" spans="2:2" s="950" customFormat="1">
      <c r="B40" s="949"/>
    </row>
    <row r="41" spans="2:2" s="950" customFormat="1">
      <c r="B41" s="949"/>
    </row>
    <row r="42" spans="2:2" s="950" customFormat="1">
      <c r="B42" s="949"/>
    </row>
    <row r="43" spans="2:2" s="950" customFormat="1">
      <c r="B43" s="949"/>
    </row>
    <row r="44" spans="2:2" s="950" customFormat="1">
      <c r="B44" s="949"/>
    </row>
    <row r="45" spans="2:2" s="950" customFormat="1">
      <c r="B45" s="949"/>
    </row>
    <row r="46" spans="2:2" s="950" customFormat="1">
      <c r="B46" s="949"/>
    </row>
    <row r="47" spans="2:2" s="950" customFormat="1">
      <c r="B47" s="949"/>
    </row>
    <row r="48" spans="2:2" s="950" customFormat="1">
      <c r="B48" s="949"/>
    </row>
    <row r="49" spans="2:2" s="950" customFormat="1" ht="15" customHeight="1">
      <c r="B49" s="949"/>
    </row>
    <row r="50" spans="2:2" s="950" customFormat="1" ht="15" customHeight="1">
      <c r="B50" s="949"/>
    </row>
    <row r="51" spans="2:2" s="950" customFormat="1">
      <c r="B51" s="949"/>
    </row>
    <row r="52" spans="2:2" s="950" customFormat="1">
      <c r="B52" s="949"/>
    </row>
    <row r="53" spans="2:2" s="950" customFormat="1">
      <c r="B53" s="949"/>
    </row>
    <row r="54" spans="2:2" s="950" customFormat="1">
      <c r="B54" s="949"/>
    </row>
    <row r="55" spans="2:2" s="950" customFormat="1">
      <c r="B55" s="949"/>
    </row>
  </sheetData>
  <mergeCells count="6">
    <mergeCell ref="B2:B3"/>
    <mergeCell ref="B8:C8"/>
    <mergeCell ref="B9:B10"/>
    <mergeCell ref="C9:C10"/>
    <mergeCell ref="C2:C3"/>
    <mergeCell ref="B5:C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topLeftCell="A22" zoomScale="50" zoomScaleNormal="50" workbookViewId="0">
      <selection activeCell="C5" sqref="C5"/>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174" t="s">
        <v>736</v>
      </c>
      <c r="C2" s="1144" t="s">
        <v>1107</v>
      </c>
      <c r="D2" s="1145"/>
      <c r="E2" s="1146"/>
      <c r="F2" s="903"/>
      <c r="G2" s="903"/>
    </row>
    <row r="3" spans="2:7" ht="27" customHeight="1" thickBot="1">
      <c r="B3" s="1175"/>
      <c r="C3" s="1147"/>
      <c r="D3" s="1148"/>
      <c r="E3" s="1149"/>
      <c r="F3" s="903"/>
      <c r="G3" s="903"/>
    </row>
    <row r="4" spans="2:7" ht="14.25" customHeight="1">
      <c r="B4" s="2"/>
      <c r="C4" s="2"/>
    </row>
    <row r="5" spans="2:7" ht="32.4" customHeight="1">
      <c r="B5" s="944" t="s">
        <v>764</v>
      </c>
      <c r="C5" s="945" t="str">
        <f>+'1-Infor Det Sgto PEI 2021-2024 '!C4</f>
        <v xml:space="preserve">TRIMESTRE 3 </v>
      </c>
      <c r="D5" s="945">
        <v>2021</v>
      </c>
      <c r="E5" s="779"/>
      <c r="F5" s="779"/>
      <c r="G5" s="779"/>
    </row>
    <row r="6" spans="2:7" ht="14.25" customHeight="1">
      <c r="B6" s="2"/>
      <c r="C6" s="2"/>
      <c r="D6" s="12"/>
      <c r="E6" s="12"/>
      <c r="F6" s="12"/>
      <c r="G6" s="12"/>
    </row>
    <row r="7" spans="2:7" ht="34.200000000000003" customHeight="1">
      <c r="B7" s="947" t="str">
        <f>+'2- Resumen Ejec PEI 2021'!B6</f>
        <v>Corte: 30 de septiembre de 2021</v>
      </c>
      <c r="C7" s="2"/>
      <c r="D7" s="12"/>
      <c r="E7" s="12"/>
      <c r="F7" s="12"/>
      <c r="G7" s="12"/>
    </row>
    <row r="8" spans="2:7" ht="52.2" customHeight="1">
      <c r="B8" s="1150" t="s">
        <v>759</v>
      </c>
      <c r="C8" s="1151"/>
      <c r="D8" s="1151"/>
      <c r="E8" s="1152"/>
      <c r="F8" s="928"/>
      <c r="G8" s="928"/>
    </row>
    <row r="9" spans="2:7" ht="59.4" customHeight="1">
      <c r="B9" s="1153" t="s">
        <v>0</v>
      </c>
      <c r="C9" s="1153" t="s">
        <v>52</v>
      </c>
      <c r="D9" s="1170" t="s">
        <v>1113</v>
      </c>
      <c r="E9" s="1172" t="s">
        <v>1112</v>
      </c>
      <c r="F9" s="929"/>
      <c r="G9" s="929"/>
    </row>
    <row r="10" spans="2:7" ht="38.4" customHeight="1">
      <c r="B10" s="1154"/>
      <c r="C10" s="1154"/>
      <c r="D10" s="1171"/>
      <c r="E10" s="1173"/>
      <c r="F10" s="929"/>
      <c r="G10" s="929"/>
    </row>
    <row r="11" spans="2:7" ht="103.5" customHeight="1">
      <c r="B11" s="113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01" t="str">
        <f>+'Matriz PEI 2021-2024'!C10</f>
        <v>1.1. Realizar 879.578 acciones que promuevan la defensa, garantía y restablecimiento de los derechos de las personas en el Distrito Capital.</v>
      </c>
      <c r="D11" s="905">
        <f>+'1-Infor Det Sgto PEI 2021-2024 '!BN9</f>
        <v>0.23017778546810425</v>
      </c>
      <c r="E11" s="1167">
        <f>+'1-Infor Det Sgto PEI 2021-2024 '!BO9</f>
        <v>0.23212946833855638</v>
      </c>
      <c r="F11" s="930"/>
      <c r="G11" s="930"/>
    </row>
    <row r="12" spans="2:7" ht="135.75" customHeight="1">
      <c r="B12" s="1139"/>
      <c r="C12" s="901" t="str">
        <f>+'Matriz PEI 2021-2024'!C11</f>
        <v>1.2. Realizar 242.714 acciones que propendan por la efectiva defensa y garantía de los derechos de los sujetos de especial protección constitucional, con énfasis en las personas mayores, mujeres y la población migrante en el Distrito Capital.</v>
      </c>
      <c r="D12" s="907">
        <f>+'1-Infor Det Sgto PEI 2021-2024 '!BN20</f>
        <v>0.33113418346350798</v>
      </c>
      <c r="E12" s="1168"/>
      <c r="F12" s="931"/>
      <c r="G12" s="931"/>
    </row>
    <row r="13" spans="2:7" ht="90" customHeight="1">
      <c r="B13" s="1139"/>
      <c r="C13" s="901" t="str">
        <f>+'Matriz PEI 2021-2024'!C12</f>
        <v>1.3. Construir e Implementar 36 estrategias que permitan incrementar la oferta y cobertura de los servicios prestados por la Entidad.</v>
      </c>
      <c r="D13" s="907">
        <f>+'1-Infor Det Sgto PEI 2021-2024 '!BN26</f>
        <v>4.7781818181818182E-2</v>
      </c>
      <c r="E13" s="1169"/>
      <c r="F13" s="931"/>
      <c r="G13" s="931"/>
    </row>
    <row r="14" spans="2:7" ht="102" customHeight="1">
      <c r="B14" s="1166" t="str">
        <f>+'Matriz PEI 2021-2024'!B13</f>
        <v>2. Realizar acciones de prevención y control a la Función Pública, en el marco del cumplimiento del Plan de Desarrollo, con énfasis en los Derechos e intereses colectivos.</v>
      </c>
      <c r="C14" s="902" t="str">
        <f>+'Matriz PEI 2021-2024'!C13</f>
        <v>2.1. Realizar 22 acciones de prevención y control a la función pública en medio ambiente, agua, protección y bienestar animal y desarrollo urbano.</v>
      </c>
      <c r="D14" s="919">
        <f>+'1-Infor Det Sgto PEI 2021-2024 '!BN30</f>
        <v>4.5454545454545497E-2</v>
      </c>
      <c r="E14" s="1163">
        <f>+'1-Infor Det Sgto PEI 2021-2024 '!BO30</f>
        <v>0.16345916795069337</v>
      </c>
      <c r="F14" s="931"/>
      <c r="G14" s="931"/>
    </row>
    <row r="15" spans="2:7" ht="100.5" customHeight="1">
      <c r="B15" s="1158"/>
      <c r="C15" s="902" t="str">
        <f>+'Matriz PEI 2021-2024'!C14</f>
        <v>2.2. Fortalecer la moralidad publica realizando  880 acciones de prevención y control a la función pública.</v>
      </c>
      <c r="D15" s="919">
        <f>+'1-Infor Det Sgto PEI 2021-2024 '!BN32</f>
        <v>0.1977272727272727</v>
      </c>
      <c r="E15" s="1164"/>
      <c r="F15" s="931"/>
      <c r="G15" s="931"/>
    </row>
    <row r="16" spans="2:7" ht="65.25" customHeight="1">
      <c r="B16" s="1158"/>
      <c r="C16" s="902" t="str">
        <f>+'Matriz PEI 2021-2024'!C15</f>
        <v>2.3. Fortalecer 295 espacios de participación ciudadana en la Personería de Bogotá</v>
      </c>
      <c r="D16" s="906">
        <f>+'1-Infor Det Sgto PEI 2021-2024 '!BN34</f>
        <v>0.31186440677966099</v>
      </c>
      <c r="E16" s="1165"/>
      <c r="F16" s="931"/>
      <c r="G16" s="931"/>
    </row>
    <row r="17" spans="2:7" ht="93.75" customHeight="1">
      <c r="B17" s="1138" t="str">
        <f>+'Matriz PEI 2021-2024'!B16</f>
        <v>3. Vigilar la conducta oficial de los(as) servidores(as) públicos(as) del Distrito Capital, mediante acciones preventivas y correctivas, que permitan un adecuado cumplimiento de los principios de la Función Pública</v>
      </c>
      <c r="C17" s="901" t="str">
        <f>+'Matriz PEI 2021-2024'!C16</f>
        <v>3.1. Descongestionar 4500 procesos disciplinarios con criterios de calidad, efectividad y garantía del debido proceso.</v>
      </c>
      <c r="D17" s="936">
        <f>+'1-Infor Det Sgto PEI 2021-2024 '!BN37</f>
        <v>0.22986944444444443</v>
      </c>
      <c r="E17" s="1160">
        <f>+'1-Infor Det Sgto PEI 2021-2024 '!BO37</f>
        <v>0.19064152777777776</v>
      </c>
      <c r="F17" s="930"/>
      <c r="G17" s="930"/>
    </row>
    <row r="18" spans="2:7" ht="95.25" customHeight="1">
      <c r="B18" s="1139"/>
      <c r="C18" s="901" t="str">
        <f>+'Matriz PEI 2021-2024'!C17</f>
        <v xml:space="preserve">3.2. Identificar el 100% de los hechos constitutivos de faltas disciplinarias para ejercer el poder preferente en las Oficinas de Control Interno Disciplinario, en temas de interés e impacto para el Distrito Capital. </v>
      </c>
      <c r="D18" s="936">
        <f>+'1-Infor Det Sgto PEI 2021-2024 '!BN39</f>
        <v>0.140625</v>
      </c>
      <c r="E18" s="1161"/>
      <c r="F18" s="930"/>
      <c r="G18" s="930"/>
    </row>
    <row r="19" spans="2:7" ht="126.75" customHeight="1">
      <c r="B19" s="1139"/>
      <c r="C19" s="904" t="str">
        <f>+'Matriz PEI 2021-2024'!C18</f>
        <v>3.3. Generar 8 escenarios que fortalezcan el conocimiento y las competencias del operador disciplinario, que apoya el cumplimiento de la labor misional, extendiendo el alcance a los jueces naturales en el Distrito Capital.</v>
      </c>
      <c r="D19" s="900">
        <f>+'1-Infor Det Sgto PEI 2021-2024 '!BN41</f>
        <v>0.125</v>
      </c>
      <c r="E19" s="1161"/>
      <c r="F19" s="930"/>
      <c r="G19" s="930"/>
    </row>
    <row r="20" spans="2:7" ht="61.5" customHeight="1">
      <c r="B20" s="1139"/>
      <c r="C20" s="901" t="str">
        <f>+'Matriz PEI 2021-2024'!C19</f>
        <v>3.4. Implementar al 100% tres soluciones informáticas propias para la ejecución y gestión de la Potestad Disciplinaria.</v>
      </c>
      <c r="D20" s="937">
        <f>+'1-Infor Det Sgto PEI 2021-2024 '!BN42</f>
        <v>0.186</v>
      </c>
      <c r="E20" s="1162"/>
      <c r="F20" s="930"/>
      <c r="G20" s="930"/>
    </row>
    <row r="21" spans="2:7" ht="75" customHeight="1">
      <c r="B21" s="1158"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902" t="str">
        <f>+'Matriz PEI 2021-2024'!C20</f>
        <v>4.1. Implementar el 100% de las acciones que impulsen el crecimiento del Modelo de Madurez de Transformación Digital de la Entidad, aplicando los principios , lineamientos y normas que lo enmarcan.</v>
      </c>
      <c r="D21" s="938">
        <f>+'1-Infor Det Sgto PEI 2021-2024 '!BN45</f>
        <v>0.23430000000000004</v>
      </c>
      <c r="E21" s="1155">
        <f>+'1-Infor Det Sgto PEI 2021-2024 '!BO45</f>
        <v>0.15884302300488068</v>
      </c>
      <c r="F21" s="932"/>
      <c r="G21" s="932"/>
    </row>
    <row r="22" spans="2:7" ht="105" customHeight="1">
      <c r="B22" s="1158"/>
      <c r="C22" s="901" t="str">
        <f>+'Matriz PEI 2021-2024'!C21</f>
        <v>4.2. Consolidar el 90% del Modelo Integrado de Planeación y Gestión –MIPG- y sus sistemas de gestión articulados, como compromiso con la Calidad, la Excelencia, la Responsabilidad Ambiental y la Mejora en la prestación del Servicio.</v>
      </c>
      <c r="D22" s="939">
        <f>+'1-Infor Det Sgto PEI 2021-2024 '!BN52</f>
        <v>0.24493721062645929</v>
      </c>
      <c r="E22" s="1156"/>
      <c r="F22" s="931"/>
      <c r="G22" s="931"/>
    </row>
    <row r="23" spans="2:7" ht="60" customHeight="1">
      <c r="B23" s="1158"/>
      <c r="C23" s="902" t="str">
        <f>+'Matriz PEI 2021-2024'!C22</f>
        <v xml:space="preserve">4.3. Realizar el 100% de las actividades relacionadas con la Gestión del Talento Humano, que permita su fortalecimiento y el desarrollo de sus conocimientos, su competencia y bienestar. </v>
      </c>
      <c r="D23" s="940">
        <f>+'1-Infor Det Sgto PEI 2021-2024 '!BN58</f>
        <v>0.15487097651775486</v>
      </c>
      <c r="E23" s="1156"/>
      <c r="F23" s="924"/>
      <c r="G23" s="924"/>
    </row>
    <row r="24" spans="2:7" ht="76.5" customHeight="1">
      <c r="B24" s="1158"/>
      <c r="C24" s="901" t="str">
        <f>+'Matriz PEI 2021-2024'!C23</f>
        <v>4.4. Implementar el 100% de las acciones necesarias para la modernización de la gestión institucional a través de los procesos de apoyo, que permita una mejor prestación del servicio.</v>
      </c>
      <c r="D24" s="936">
        <f>+'1-Infor Det Sgto PEI 2021-2024 '!BN66</f>
        <v>0.14313455736971017</v>
      </c>
      <c r="E24" s="1156"/>
      <c r="F24" s="930"/>
      <c r="G24" s="930"/>
    </row>
    <row r="25" spans="2:7" ht="73.5" customHeight="1">
      <c r="B25" s="1158"/>
      <c r="C25" s="902" t="str">
        <f>+'Matriz PEI 2021-2024'!C24</f>
        <v>4.5. Desarrollar el 100% de las acciones relacionadas con el fomento de la Cultura del Autocontrol, la Autorregulación y la Autogestión institucional.</v>
      </c>
      <c r="D25" s="941">
        <f>+'1-Infor Det Sgto PEI 2021-2024 '!BN84</f>
        <v>0.19811904761904764</v>
      </c>
      <c r="E25" s="1156"/>
      <c r="F25" s="922"/>
      <c r="G25" s="922"/>
    </row>
    <row r="26" spans="2:7" ht="60" customHeight="1">
      <c r="B26" s="1158"/>
      <c r="C26" s="901" t="str">
        <f>+'Matriz PEI 2021-2024'!C25</f>
        <v>4.6. Desarrollar el 100% de las estrategias de comunicación organizacional y de medios que contribuyan al logro de los objetivos institucionales y al posicionamiento de la Entidad.</v>
      </c>
      <c r="D26" s="948">
        <f>+'1-Infor Det Sgto PEI 2021-2024 '!BN90</f>
        <v>0.125</v>
      </c>
      <c r="E26" s="1156"/>
      <c r="F26" s="924"/>
      <c r="G26" s="924"/>
    </row>
    <row r="27" spans="2:7" ht="114" customHeight="1">
      <c r="B27" s="1159"/>
      <c r="C27" s="821" t="str">
        <f>+'Matriz PEI 2021-2024'!C26</f>
        <v>4.7. Articular el 100% de las acciones de trabajo interinstitucional y cooperación nacional e internacional que permita aunar esfuerzos para el cumplimiento de la misión institucional.</v>
      </c>
      <c r="D27" s="920">
        <f>+'1-Infor Det Sgto PEI 2021-2024 '!BN92</f>
        <v>0</v>
      </c>
      <c r="E27" s="1157"/>
      <c r="F27" s="924"/>
      <c r="G27" s="924"/>
    </row>
    <row r="28" spans="2:7" ht="93.75" customHeight="1">
      <c r="B28" s="1138" t="str">
        <f>+'Matriz PEI 2021-2024'!B27</f>
        <v xml:space="preserve">5. Incorporar una cultura del conocimiento y la innovación a través de actividades que permitan el desarrollo de ideas, lecciones aprendidas e investigaciones para mejorar los resultados de la gestión institucional. </v>
      </c>
      <c r="C28" s="826" t="str">
        <f>+'Matriz PEI 2021-2024'!C27</f>
        <v>5.1 Generar el 100% de productos de nuevo conocimiento o transformar los existentes, alineados con proyectos resultados de la investigación, desarrollo e innovación (I+D+I) en la Entidad.</v>
      </c>
      <c r="D28" s="921">
        <f>+'1-Infor Det Sgto PEI 2021-2024 '!BN93</f>
        <v>0</v>
      </c>
      <c r="E28" s="1141">
        <f>+'1-Infor Det Sgto PEI 2021-2024 '!BO93</f>
        <v>0.1275</v>
      </c>
      <c r="F28" s="926"/>
      <c r="G28" s="926"/>
    </row>
    <row r="29" spans="2:7" ht="102" customHeight="1">
      <c r="B29" s="1139"/>
      <c r="C29" s="826" t="str">
        <f>+'Matriz PEI 2021-2024'!C28</f>
        <v>5.2 Formular el 100% de herramientas y acciones que permitan categorizar, preservar y utilizar el conocimiento para la toma de decisiones y compartir fácilmente los datos y la información de la Entidad.</v>
      </c>
      <c r="D29" s="921">
        <f>+'1-Infor Det Sgto PEI 2021-2024 '!BN94</f>
        <v>0.125</v>
      </c>
      <c r="E29" s="1142"/>
      <c r="F29" s="926"/>
      <c r="G29" s="926"/>
    </row>
    <row r="30" spans="2:7" ht="124.5" customHeight="1" thickBot="1">
      <c r="B30" s="1140"/>
      <c r="C30" s="827"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921">
        <f>+'1-Infor Det Sgto PEI 2021-2024 '!BN95</f>
        <v>0.3</v>
      </c>
      <c r="E30" s="1143"/>
      <c r="F30" s="926"/>
      <c r="G30" s="926"/>
    </row>
    <row r="31" spans="2:7" ht="18" thickBot="1">
      <c r="B31" s="828"/>
      <c r="C31" s="942"/>
      <c r="D31" s="943">
        <f>AVERAGE(D11:D30)</f>
        <v>0.1685498124326163</v>
      </c>
      <c r="E31" s="934">
        <f>AVERAGE(E11:E30)</f>
        <v>0.17451463741438164</v>
      </c>
      <c r="F31" s="927"/>
      <c r="G31" s="927"/>
    </row>
    <row r="32" spans="2:7" ht="13.5" customHeight="1">
      <c r="B32" s="43"/>
      <c r="C32" s="43"/>
    </row>
    <row r="33" spans="2:4" ht="15" customHeight="1">
      <c r="B33" s="43" t="s">
        <v>1067</v>
      </c>
      <c r="C33" s="43"/>
    </row>
    <row r="34" spans="2:4" ht="15" customHeight="1">
      <c r="B34" s="43"/>
      <c r="C34" s="43"/>
    </row>
    <row r="35" spans="2:4" ht="15" customHeight="1">
      <c r="B35" s="43"/>
      <c r="C35" s="43"/>
    </row>
    <row r="36" spans="2:4" ht="15" customHeight="1">
      <c r="B36" s="43"/>
      <c r="C36" s="43"/>
    </row>
    <row r="38" spans="2:4" s="973" customFormat="1">
      <c r="B38" s="972"/>
      <c r="C38" s="972"/>
    </row>
    <row r="39" spans="2:4" s="973" customFormat="1">
      <c r="B39" s="972"/>
      <c r="C39" s="972"/>
    </row>
    <row r="40" spans="2:4" s="975" customFormat="1">
      <c r="B40" s="974"/>
      <c r="C40" s="1136" t="s">
        <v>52</v>
      </c>
      <c r="D40" s="1136" t="s">
        <v>1007</v>
      </c>
    </row>
    <row r="41" spans="2:4" s="975" customFormat="1" ht="24.6" customHeight="1">
      <c r="B41" s="974"/>
      <c r="C41" s="1136"/>
      <c r="D41" s="1136"/>
    </row>
    <row r="42" spans="2:4" s="975" customFormat="1" ht="22.8">
      <c r="B42" s="974"/>
      <c r="C42" s="976" t="s">
        <v>1068</v>
      </c>
      <c r="D42" s="977">
        <f t="shared" ref="D42:D53" si="0">+D11</f>
        <v>0.23017778546810425</v>
      </c>
    </row>
    <row r="43" spans="2:4" s="975" customFormat="1" ht="22.8">
      <c r="B43" s="974"/>
      <c r="C43" s="976" t="s">
        <v>1069</v>
      </c>
      <c r="D43" s="977">
        <f t="shared" si="0"/>
        <v>0.33113418346350798</v>
      </c>
    </row>
    <row r="44" spans="2:4" s="975" customFormat="1" ht="22.8">
      <c r="B44" s="974"/>
      <c r="C44" s="976" t="s">
        <v>1070</v>
      </c>
      <c r="D44" s="977">
        <f t="shared" si="0"/>
        <v>4.7781818181818182E-2</v>
      </c>
    </row>
    <row r="45" spans="2:4" s="975" customFormat="1" ht="22.8">
      <c r="B45" s="974"/>
      <c r="C45" s="976" t="s">
        <v>1071</v>
      </c>
      <c r="D45" s="977">
        <f t="shared" si="0"/>
        <v>4.5454545454545497E-2</v>
      </c>
    </row>
    <row r="46" spans="2:4" s="975" customFormat="1" ht="22.8">
      <c r="B46" s="974"/>
      <c r="C46" s="976" t="s">
        <v>1072</v>
      </c>
      <c r="D46" s="977">
        <f t="shared" si="0"/>
        <v>0.1977272727272727</v>
      </c>
    </row>
    <row r="47" spans="2:4" s="975" customFormat="1" ht="22.8">
      <c r="B47" s="974"/>
      <c r="C47" s="976" t="s">
        <v>1073</v>
      </c>
      <c r="D47" s="977">
        <f t="shared" si="0"/>
        <v>0.31186440677966099</v>
      </c>
    </row>
    <row r="48" spans="2:4" s="975" customFormat="1" ht="22.8">
      <c r="B48" s="974"/>
      <c r="C48" s="976" t="s">
        <v>1074</v>
      </c>
      <c r="D48" s="977">
        <f t="shared" si="0"/>
        <v>0.22986944444444443</v>
      </c>
    </row>
    <row r="49" spans="2:4" s="975" customFormat="1" ht="22.8">
      <c r="B49" s="974"/>
      <c r="C49" s="976" t="s">
        <v>1075</v>
      </c>
      <c r="D49" s="977">
        <f t="shared" si="0"/>
        <v>0.140625</v>
      </c>
    </row>
    <row r="50" spans="2:4" s="975" customFormat="1" ht="22.8">
      <c r="B50" s="974"/>
      <c r="C50" s="976" t="s">
        <v>1076</v>
      </c>
      <c r="D50" s="977">
        <f t="shared" si="0"/>
        <v>0.125</v>
      </c>
    </row>
    <row r="51" spans="2:4" s="975" customFormat="1" ht="22.8">
      <c r="B51" s="974"/>
      <c r="C51" s="976" t="s">
        <v>1077</v>
      </c>
      <c r="D51" s="977">
        <f t="shared" si="0"/>
        <v>0.186</v>
      </c>
    </row>
    <row r="52" spans="2:4" s="975" customFormat="1" ht="22.8">
      <c r="B52" s="974"/>
      <c r="C52" s="976" t="s">
        <v>1078</v>
      </c>
      <c r="D52" s="977">
        <f t="shared" si="0"/>
        <v>0.23430000000000004</v>
      </c>
    </row>
    <row r="53" spans="2:4" s="975" customFormat="1" ht="22.8">
      <c r="B53" s="974"/>
      <c r="C53" s="976" t="s">
        <v>1079</v>
      </c>
      <c r="D53" s="977">
        <f t="shared" si="0"/>
        <v>0.24493721062645929</v>
      </c>
    </row>
    <row r="54" spans="2:4" s="975" customFormat="1" ht="22.8">
      <c r="B54" s="974"/>
      <c r="C54" s="976" t="s">
        <v>1080</v>
      </c>
      <c r="D54" s="977">
        <f t="shared" ref="D54:D61" si="1">+D23</f>
        <v>0.15487097651775486</v>
      </c>
    </row>
    <row r="55" spans="2:4" s="975" customFormat="1" ht="22.8">
      <c r="B55" s="974"/>
      <c r="C55" s="976" t="s">
        <v>1081</v>
      </c>
      <c r="D55" s="977">
        <f t="shared" si="1"/>
        <v>0.14313455736971017</v>
      </c>
    </row>
    <row r="56" spans="2:4" s="975" customFormat="1" ht="22.8">
      <c r="B56" s="974"/>
      <c r="C56" s="976" t="s">
        <v>1082</v>
      </c>
      <c r="D56" s="977">
        <f t="shared" si="1"/>
        <v>0.19811904761904764</v>
      </c>
    </row>
    <row r="57" spans="2:4" s="975" customFormat="1" ht="22.8">
      <c r="B57" s="974"/>
      <c r="C57" s="976" t="s">
        <v>1083</v>
      </c>
      <c r="D57" s="977">
        <f t="shared" si="1"/>
        <v>0.125</v>
      </c>
    </row>
    <row r="58" spans="2:4" s="975" customFormat="1" ht="22.8">
      <c r="B58" s="974"/>
      <c r="C58" s="976" t="s">
        <v>1084</v>
      </c>
      <c r="D58" s="977">
        <f t="shared" si="1"/>
        <v>0</v>
      </c>
    </row>
    <row r="59" spans="2:4" s="975" customFormat="1" ht="22.8">
      <c r="B59" s="974"/>
      <c r="C59" s="976" t="s">
        <v>1085</v>
      </c>
      <c r="D59" s="977">
        <f t="shared" si="1"/>
        <v>0</v>
      </c>
    </row>
    <row r="60" spans="2:4" s="975" customFormat="1" ht="22.8">
      <c r="B60" s="974"/>
      <c r="C60" s="976" t="s">
        <v>1086</v>
      </c>
      <c r="D60" s="977">
        <f t="shared" si="1"/>
        <v>0.125</v>
      </c>
    </row>
    <row r="61" spans="2:4" s="975" customFormat="1" ht="22.8">
      <c r="B61" s="974"/>
      <c r="C61" s="976" t="s">
        <v>1087</v>
      </c>
      <c r="D61" s="977">
        <f t="shared" si="1"/>
        <v>0.3</v>
      </c>
    </row>
    <row r="62" spans="2:4" s="975" customFormat="1">
      <c r="B62" s="974"/>
      <c r="C62" s="974"/>
    </row>
    <row r="63" spans="2:4" s="975" customFormat="1">
      <c r="B63" s="974"/>
      <c r="C63" s="974"/>
    </row>
    <row r="64" spans="2:4" s="975" customFormat="1" ht="15" customHeight="1">
      <c r="B64" s="974"/>
      <c r="C64" s="1136" t="s">
        <v>0</v>
      </c>
      <c r="D64" s="1137" t="s">
        <v>1066</v>
      </c>
    </row>
    <row r="65" spans="2:4" s="975" customFormat="1" ht="15" customHeight="1">
      <c r="B65" s="974"/>
      <c r="C65" s="1136"/>
      <c r="D65" s="1137"/>
    </row>
    <row r="66" spans="2:4" s="975" customFormat="1" ht="20.399999999999999">
      <c r="B66" s="974"/>
      <c r="C66" s="974" t="s">
        <v>1088</v>
      </c>
      <c r="D66" s="978">
        <f>+E11</f>
        <v>0.23212946833855638</v>
      </c>
    </row>
    <row r="67" spans="2:4" s="975" customFormat="1" ht="20.399999999999999">
      <c r="B67" s="974"/>
      <c r="C67" s="974" t="s">
        <v>1089</v>
      </c>
      <c r="D67" s="978">
        <f>+E14</f>
        <v>0.16345916795069337</v>
      </c>
    </row>
    <row r="68" spans="2:4" s="975" customFormat="1" ht="20.399999999999999">
      <c r="B68" s="974"/>
      <c r="C68" s="974" t="s">
        <v>1090</v>
      </c>
      <c r="D68" s="978">
        <f>+E17</f>
        <v>0.19064152777777776</v>
      </c>
    </row>
    <row r="69" spans="2:4" s="975" customFormat="1" ht="20.399999999999999">
      <c r="B69" s="974"/>
      <c r="C69" s="974" t="s">
        <v>1091</v>
      </c>
      <c r="D69" s="978">
        <f>+E21</f>
        <v>0.15884302300488068</v>
      </c>
    </row>
    <row r="70" spans="2:4" s="975" customFormat="1" ht="20.399999999999999">
      <c r="B70" s="974"/>
      <c r="C70" s="974" t="s">
        <v>1092</v>
      </c>
      <c r="D70" s="978">
        <f>+E28</f>
        <v>0.1275</v>
      </c>
    </row>
    <row r="71" spans="2:4" s="973" customFormat="1">
      <c r="B71" s="972"/>
      <c r="C71" s="972"/>
      <c r="D71" s="979"/>
    </row>
    <row r="72" spans="2:4" s="973" customFormat="1">
      <c r="B72" s="972"/>
      <c r="C72" s="972"/>
    </row>
    <row r="73" spans="2:4" s="973" customFormat="1">
      <c r="B73" s="972"/>
      <c r="C73" s="972"/>
    </row>
  </sheetData>
  <sheetProtection algorithmName="SHA-512" hashValue="uuu/CpNhwu/xQhlOnN2SFZamSGWH2/7WDTYhXZkx448Uc8bNG3a4sphvNmUjWDfYlKZ/Z4A0SUZo+aqSxupSgw==" saltValue="2RHQ8xjFxcf+UZoQqGfGaQ==" spinCount="100000" sheet="1" objects="1" scenarios="1"/>
  <mergeCells count="21">
    <mergeCell ref="E11:E13"/>
    <mergeCell ref="D9:D10"/>
    <mergeCell ref="E9:E10"/>
    <mergeCell ref="B11:B13"/>
    <mergeCell ref="B2:B3"/>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s>
  <phoneticPr fontId="7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L52"/>
  <sheetViews>
    <sheetView showGridLines="0" zoomScale="52" zoomScaleNormal="52" workbookViewId="0">
      <selection activeCell="B5" sqref="B5"/>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8" width="36.44140625" style="3" customWidth="1"/>
    <col min="9" max="12" width="38.6640625" style="1" customWidth="1"/>
    <col min="13" max="16384" width="17.33203125" style="1"/>
  </cols>
  <sheetData>
    <row r="1" spans="2:12" ht="15" customHeight="1" thickBot="1"/>
    <row r="2" spans="2:12" ht="90" customHeight="1" thickBot="1">
      <c r="B2" s="1000" t="s">
        <v>736</v>
      </c>
      <c r="C2" s="1199" t="s">
        <v>1109</v>
      </c>
      <c r="D2" s="1200"/>
      <c r="E2" s="1200"/>
      <c r="F2" s="1200"/>
      <c r="G2" s="1200"/>
      <c r="H2" s="1200"/>
      <c r="I2" s="1200"/>
      <c r="J2" s="1201"/>
      <c r="K2" s="903"/>
      <c r="L2" s="903"/>
    </row>
    <row r="3" spans="2:12" ht="14.25" customHeight="1">
      <c r="B3" s="2"/>
      <c r="C3" s="2"/>
      <c r="D3" s="2"/>
      <c r="E3" s="2"/>
      <c r="F3" s="2"/>
      <c r="G3" s="2"/>
      <c r="H3" s="2"/>
    </row>
    <row r="4" spans="2:12" ht="32.4" customHeight="1">
      <c r="B4" s="944" t="s">
        <v>764</v>
      </c>
      <c r="C4" s="1062" t="str">
        <f>+'1-Infor Det Sgto PEI 2021-2024 '!C4</f>
        <v xml:space="preserve">TRIMESTRE 3 </v>
      </c>
      <c r="D4" s="953"/>
      <c r="E4" s="953"/>
      <c r="F4" s="953"/>
      <c r="G4" s="953"/>
      <c r="H4" s="953"/>
      <c r="J4" s="953"/>
      <c r="K4" s="779"/>
      <c r="L4" s="779"/>
    </row>
    <row r="5" spans="2:12" ht="14.25" customHeight="1">
      <c r="B5" s="2"/>
      <c r="C5" s="2"/>
      <c r="D5" s="2"/>
      <c r="E5" s="2"/>
      <c r="F5" s="2"/>
      <c r="G5" s="2"/>
      <c r="H5" s="2"/>
      <c r="I5" s="12"/>
      <c r="J5" s="12"/>
      <c r="K5" s="12"/>
      <c r="L5" s="12"/>
    </row>
    <row r="6" spans="2:12" ht="34.200000000000003" customHeight="1">
      <c r="B6" s="947" t="s">
        <v>1205</v>
      </c>
      <c r="C6" s="2"/>
      <c r="D6" s="2"/>
      <c r="E6" s="2"/>
      <c r="F6" s="2"/>
      <c r="G6" s="2"/>
      <c r="H6" s="2"/>
      <c r="I6" s="12"/>
      <c r="J6" s="12"/>
      <c r="K6" s="12"/>
      <c r="L6" s="12"/>
    </row>
    <row r="7" spans="2:12" ht="52.2" customHeight="1">
      <c r="B7" s="1150" t="s">
        <v>759</v>
      </c>
      <c r="C7" s="1151"/>
      <c r="D7" s="1151"/>
      <c r="E7" s="1202"/>
      <c r="F7" s="1202"/>
      <c r="G7" s="1202"/>
      <c r="H7" s="1202"/>
      <c r="I7" s="1151"/>
      <c r="J7" s="1152"/>
      <c r="K7" s="928"/>
      <c r="L7" s="928"/>
    </row>
    <row r="8" spans="2:12" ht="51.6" customHeight="1">
      <c r="B8" s="1153" t="s">
        <v>0</v>
      </c>
      <c r="C8" s="1153" t="s">
        <v>52</v>
      </c>
      <c r="D8" s="1205" t="s">
        <v>1002</v>
      </c>
      <c r="E8" s="1206" t="s">
        <v>1097</v>
      </c>
      <c r="F8" s="1206"/>
      <c r="G8" s="1206"/>
      <c r="H8" s="1206"/>
      <c r="I8" s="1203" t="s">
        <v>1095</v>
      </c>
      <c r="J8" s="1204" t="s">
        <v>1096</v>
      </c>
      <c r="K8" s="929"/>
      <c r="L8" s="929"/>
    </row>
    <row r="9" spans="2:12" ht="70.2" customHeight="1">
      <c r="B9" s="1154"/>
      <c r="C9" s="1154"/>
      <c r="D9" s="1154"/>
      <c r="E9" s="946" t="s">
        <v>1041</v>
      </c>
      <c r="F9" s="946" t="s">
        <v>754</v>
      </c>
      <c r="G9" s="946" t="s">
        <v>755</v>
      </c>
      <c r="H9" s="946" t="s">
        <v>1204</v>
      </c>
      <c r="I9" s="1171"/>
      <c r="J9" s="1204"/>
      <c r="K9" s="929"/>
      <c r="L9" s="929"/>
    </row>
    <row r="10" spans="2:12" ht="103.5" customHeight="1">
      <c r="B10" s="113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195" t="str">
        <f>+'Matriz PEI 2021-2024'!C10</f>
        <v>1.1. Realizar 879.578 acciones que promuevan la defensa, garantía y restablecimiento de los derechos de las personas en el Distrito Capital.</v>
      </c>
      <c r="D10" s="1193">
        <f>+'Matriz PEI 2021-2024'!E10</f>
        <v>879578</v>
      </c>
      <c r="E10" s="955" t="str">
        <f>+'1-Infor Det Sgto PEI 2021-2024 '!F9</f>
        <v>Acciones realizadas que promueven la defensa, garantía y restablecimiento de los derechos</v>
      </c>
      <c r="F10" s="956">
        <f>SUM('1-Infor Det Sgto PEI 2021-2024 '!Y9:Y18)</f>
        <v>240232</v>
      </c>
      <c r="G10" s="956">
        <f>SUM('1-Infor Det Sgto PEI 2021-2024 '!Z9:Z18)</f>
        <v>205525</v>
      </c>
      <c r="H10" s="986">
        <f>AVERAGE('1-Infor Det Sgto PEI 2021-2024 '!AA9:AA18)</f>
        <v>0.87015556904736446</v>
      </c>
      <c r="I10" s="1160">
        <f>+'1-Infor Det Sgto PEI 2021-2024 '!BN9</f>
        <v>0.23017778546810425</v>
      </c>
      <c r="J10" s="1191">
        <f>+'1-Infor Det Sgto PEI 2021-2024 '!BO9</f>
        <v>0.23212946833855638</v>
      </c>
      <c r="K10" s="930"/>
      <c r="L10" s="930"/>
    </row>
    <row r="11" spans="2:12" ht="103.5" customHeight="1">
      <c r="B11" s="1139"/>
      <c r="C11" s="1196"/>
      <c r="D11" s="1194"/>
      <c r="E11" s="955" t="str">
        <f>+'1-Infor Det Sgto PEI 2021-2024 '!F19</f>
        <v>Porcentaje de Acciones de Tutela, Desacatos e Impugnaciones entregadas en un Termino Menor a Cinco (5) Días Hábiles</v>
      </c>
      <c r="F11" s="958">
        <f>+'1-Infor Det Sgto PEI 2021-2024 '!Y19</f>
        <v>0.94999999999999984</v>
      </c>
      <c r="G11" s="980">
        <f>+'1-Infor Det Sgto PEI 2021-2024 '!Z19</f>
        <v>0.995</v>
      </c>
      <c r="H11" s="982">
        <f>+'1-Infor Det Sgto PEI 2021-2024 '!AA19</f>
        <v>0.78552631578947385</v>
      </c>
      <c r="I11" s="1162"/>
      <c r="J11" s="1191"/>
      <c r="K11" s="930"/>
      <c r="L11" s="930"/>
    </row>
    <row r="12" spans="2:12" ht="135.75" customHeight="1">
      <c r="B12" s="1139"/>
      <c r="C12" s="901" t="str">
        <f>+'Matriz PEI 2021-2024'!C11</f>
        <v>1.2. Realizar 242.714 acciones que propendan por la efectiva defensa y garantía de los derechos de los sujetos de especial protección constitucional, con énfasis en las personas mayores, mujeres y la población migrante en el Distrito Capital.</v>
      </c>
      <c r="D12" s="956">
        <f>+'Matriz PEI 2021-2024'!E11</f>
        <v>242714</v>
      </c>
      <c r="E12" s="955" t="str">
        <f>+'1-Infor Det Sgto PEI 2021-2024 '!F20</f>
        <v>Acciones realizadas que propendan por la efectiva defensa y garantía de los derechos de los sujetos de especial protección constitucional</v>
      </c>
      <c r="F12" s="956">
        <f>SUM('1-Infor Det Sgto PEI 2021-2024 '!Y20:Y25)</f>
        <v>73800</v>
      </c>
      <c r="G12" s="956">
        <f>SUM('1-Infor Det Sgto PEI 2021-2024 '!Z20:Z25)</f>
        <v>81613</v>
      </c>
      <c r="H12" s="980">
        <f>AVERAGE('1-Infor Det Sgto PEI 2021-2024 '!AA20:AA25)</f>
        <v>1.1149971634043647</v>
      </c>
      <c r="I12" s="1066">
        <f>+'1-Infor Det Sgto PEI 2021-2024 '!BN20</f>
        <v>0.33113418346350798</v>
      </c>
      <c r="J12" s="1191"/>
      <c r="K12" s="931"/>
      <c r="L12" s="931"/>
    </row>
    <row r="13" spans="2:12" ht="90" customHeight="1">
      <c r="B13" s="1139"/>
      <c r="C13" s="901" t="str">
        <f>+'Matriz PEI 2021-2024'!C12</f>
        <v>1.3. Construir e Implementar 36 estrategias que permitan incrementar la oferta y cobertura de los servicios prestados por la Entidad.</v>
      </c>
      <c r="D13" s="956">
        <f>+'Matriz PEI 2021-2024'!E12</f>
        <v>36</v>
      </c>
      <c r="E13" s="955" t="str">
        <f>+'1-Infor Det Sgto PEI 2021-2024 '!F26</f>
        <v>Estrategias construidas e implementadas</v>
      </c>
      <c r="F13" s="956">
        <f>SUM('1-Infor Det Sgto PEI 2021-2024 '!Y26:Y29)</f>
        <v>6</v>
      </c>
      <c r="G13" s="981">
        <f>SUM('1-Infor Det Sgto PEI 2021-2024 '!Z26:Z29)</f>
        <v>1.7</v>
      </c>
      <c r="H13" s="980">
        <f>AVERAGE('1-Infor Det Sgto PEI 2021-2024 '!AA26:AA29)</f>
        <v>0.22777777777777777</v>
      </c>
      <c r="I13" s="1066">
        <f>+'1-Infor Det Sgto PEI 2021-2024 '!BN26</f>
        <v>4.7781818181818182E-2</v>
      </c>
      <c r="J13" s="1191"/>
      <c r="K13" s="931"/>
      <c r="L13" s="931"/>
    </row>
    <row r="14" spans="2:12" ht="102" customHeight="1">
      <c r="B14" s="1166" t="str">
        <f>+'Matriz PEI 2021-2024'!B13</f>
        <v>2. Realizar acciones de prevención y control a la Función Pública, en el marco del cumplimiento del Plan de Desarrollo, con énfasis en los Derechos e intereses colectivos.</v>
      </c>
      <c r="C14" s="902" t="str">
        <f>+'Matriz PEI 2021-2024'!C13</f>
        <v>2.1. Realizar 22 acciones de prevención y control a la función pública en medio ambiente, agua, protección y bienestar animal y desarrollo urbano.</v>
      </c>
      <c r="D14" s="957">
        <f>+'Matriz PEI 2021-2024'!E13</f>
        <v>22</v>
      </c>
      <c r="E14" s="960" t="str">
        <f>+'1-Infor Det Sgto PEI 2021-2024 '!F30</f>
        <v>Acciones realizadas de prevención y control a la función pública en temas priorizados</v>
      </c>
      <c r="F14" s="957">
        <f>SUM('1-Infor Det Sgto PEI 2021-2024 '!Y30:Y31)</f>
        <v>4</v>
      </c>
      <c r="G14" s="957">
        <f>SUM('1-Infor Det Sgto PEI 2021-2024 '!Z30:Z31)</f>
        <v>1</v>
      </c>
      <c r="H14" s="959">
        <f>AVERAGE('1-Infor Det Sgto PEI 2021-2024 '!AA30:AA31)</f>
        <v>0.5</v>
      </c>
      <c r="I14" s="1070">
        <f>+'1-Infor Det Sgto PEI 2021-2024 '!BN30</f>
        <v>4.5454545454545497E-2</v>
      </c>
      <c r="J14" s="1163">
        <f>+'1-Infor Det Sgto PEI 2021-2024 '!BO30</f>
        <v>0.16345916795069337</v>
      </c>
      <c r="K14" s="931"/>
      <c r="L14" s="931"/>
    </row>
    <row r="15" spans="2:12" ht="100.5" customHeight="1">
      <c r="B15" s="1158"/>
      <c r="C15" s="902" t="str">
        <f>+'Matriz PEI 2021-2024'!C14</f>
        <v>2.2. Fortalecer la moralidad publica realizando  880 acciones de prevención y control a la función pública.</v>
      </c>
      <c r="D15" s="957">
        <f>+'Matriz PEI 2021-2024'!E14</f>
        <v>880</v>
      </c>
      <c r="E15" s="960" t="str">
        <f>+'1-Infor Det Sgto PEI 2021-2024 '!F32</f>
        <v>Acciones realizadas de prevención y control a la función pública para fortalecer la moralidad pública</v>
      </c>
      <c r="F15" s="957">
        <f>SUM('1-Infor Det Sgto PEI 2021-2024 '!Y32:Y33)</f>
        <v>220</v>
      </c>
      <c r="G15" s="957">
        <f>SUM('1-Infor Det Sgto PEI 2021-2024 '!Z32:Z33)</f>
        <v>174</v>
      </c>
      <c r="H15" s="987">
        <f>AVERAGE('1-Infor Det Sgto PEI 2021-2024 '!AA32:AA33)</f>
        <v>0.9524999999999999</v>
      </c>
      <c r="I15" s="1070">
        <f>+'1-Infor Det Sgto PEI 2021-2024 '!BN32</f>
        <v>0.1977272727272727</v>
      </c>
      <c r="J15" s="1164"/>
      <c r="K15" s="931"/>
      <c r="L15" s="931"/>
    </row>
    <row r="16" spans="2:12" ht="65.25" customHeight="1">
      <c r="B16" s="1158"/>
      <c r="C16" s="902" t="str">
        <f>+'Matriz PEI 2021-2024'!C15</f>
        <v>2.3. Fortalecer 295 espacios de participación ciudadana en la Personería de Bogotá</v>
      </c>
      <c r="D16" s="957">
        <f>+'Matriz PEI 2021-2024'!E15</f>
        <v>295</v>
      </c>
      <c r="E16" s="960" t="str">
        <f>+'1-Infor Det Sgto PEI 2021-2024 '!F34</f>
        <v>Espacios de participación ciudadana fortalecidos</v>
      </c>
      <c r="F16" s="957">
        <f>SUM('1-Infor Det Sgto PEI 2021-2024 '!Y34:Y36)</f>
        <v>67</v>
      </c>
      <c r="G16" s="957">
        <f>SUM('1-Infor Det Sgto PEI 2021-2024 '!Z34:Z36)</f>
        <v>92</v>
      </c>
      <c r="H16" s="988">
        <f>AVERAGE('1-Infor Det Sgto PEI 2021-2024 '!AA34:AA36)</f>
        <v>1.1976190476190476</v>
      </c>
      <c r="I16" s="1065">
        <f>+'1-Infor Det Sgto PEI 2021-2024 '!BN34</f>
        <v>0.31186440677966099</v>
      </c>
      <c r="J16" s="1164"/>
      <c r="K16" s="931"/>
      <c r="L16" s="931"/>
    </row>
    <row r="17" spans="2:12" ht="93.75" customHeight="1">
      <c r="B17" s="1138" t="str">
        <f>+'Matriz PEI 2021-2024'!B16</f>
        <v>3. Vigilar la conducta oficial de los(as) servidores(as) públicos(as) del Distrito Capital, mediante acciones preventivas y correctivas, que permitan un adecuado cumplimiento de los principios de la Función Pública</v>
      </c>
      <c r="C17" s="1195" t="str">
        <f>+'Matriz PEI 2021-2024'!C16</f>
        <v>3.1. Descongestionar 4500 procesos disciplinarios con criterios de calidad, efectividad y garantía del debido proceso.</v>
      </c>
      <c r="D17" s="1193">
        <f>+'Matriz PEI 2021-2024'!E16</f>
        <v>4500</v>
      </c>
      <c r="E17" s="955" t="str">
        <f>+'1-Infor Det Sgto PEI 2021-2024 '!F37</f>
        <v xml:space="preserve">Procesos disciplinarios descongestionados </v>
      </c>
      <c r="F17" s="956">
        <f>+'1-Infor Det Sgto PEI 2021-2024 '!Y37</f>
        <v>900</v>
      </c>
      <c r="G17" s="956">
        <f>+'1-Infor Det Sgto PEI 2021-2024 '!Z37</f>
        <v>1176</v>
      </c>
      <c r="H17" s="985">
        <f>'1-Infor Det Sgto PEI 2021-2024 '!AA37</f>
        <v>1.3066666666666666</v>
      </c>
      <c r="I17" s="1160">
        <f>+'1-Infor Det Sgto PEI 2021-2024 '!BN37</f>
        <v>0.22986944444444443</v>
      </c>
      <c r="J17" s="1167">
        <f>+'1-Infor Det Sgto PEI 2021-2024 '!BO37</f>
        <v>0.19064152777777776</v>
      </c>
      <c r="K17" s="930"/>
      <c r="L17" s="930"/>
    </row>
    <row r="18" spans="2:12" ht="93.75" customHeight="1">
      <c r="B18" s="1139"/>
      <c r="C18" s="1196"/>
      <c r="D18" s="1194"/>
      <c r="E18" s="955" t="str">
        <f>+'1-Infor Det Sgto PEI 2021-2024 '!F38</f>
        <v>Noticias disciplinarias  evaluadas y con impulso procesal</v>
      </c>
      <c r="F18" s="980">
        <f>+'1-Infor Det Sgto PEI 2021-2024 '!Y38</f>
        <v>1</v>
      </c>
      <c r="G18" s="980">
        <f>+'1-Infor Det Sgto PEI 2021-2024 '!Z38</f>
        <v>0.83199999999999996</v>
      </c>
      <c r="H18" s="985">
        <f>'1-Infor Det Sgto PEI 2021-2024 '!AA38</f>
        <v>0.624</v>
      </c>
      <c r="I18" s="1162"/>
      <c r="J18" s="1168"/>
      <c r="K18" s="930"/>
      <c r="L18" s="930"/>
    </row>
    <row r="19" spans="2:12" ht="95.25" customHeight="1">
      <c r="B19" s="1139"/>
      <c r="C19" s="1195" t="str">
        <f>+'Matriz PEI 2021-2024'!C17</f>
        <v xml:space="preserve">3.2. Identificar el 100% de los hechos constitutivos de faltas disciplinarias para ejercer el poder preferente en las Oficinas de Control Interno Disciplinario, en temas de interés e impacto para el Distrito Capital. </v>
      </c>
      <c r="D19" s="1197">
        <f>+'Matriz PEI 2021-2024'!E17</f>
        <v>1</v>
      </c>
      <c r="E19" s="961" t="str">
        <f>+'1-Infor Det Sgto PEI 2021-2024 '!F39</f>
        <v>Visitas de seguimiento a Oficinas de Control Interno Disciplinario realizadas</v>
      </c>
      <c r="F19" s="956">
        <f>+'1-Infor Det Sgto PEI 2021-2024 '!Y39</f>
        <v>51</v>
      </c>
      <c r="G19" s="956">
        <f>+'1-Infor Det Sgto PEI 2021-2024 '!Z39</f>
        <v>51</v>
      </c>
      <c r="H19" s="985">
        <f>'1-Infor Det Sgto PEI 2021-2024 '!AA39</f>
        <v>1</v>
      </c>
      <c r="I19" s="1160">
        <f>+'1-Infor Det Sgto PEI 2021-2024 '!BN39</f>
        <v>0.140625</v>
      </c>
      <c r="J19" s="1168"/>
      <c r="K19" s="930"/>
      <c r="L19" s="930"/>
    </row>
    <row r="20" spans="2:12" ht="95.25" customHeight="1">
      <c r="B20" s="1139"/>
      <c r="C20" s="1196"/>
      <c r="D20" s="1198"/>
      <c r="E20" s="961" t="str">
        <f>+'1-Infor Det Sgto PEI 2021-2024 '!F40</f>
        <v>Procesos de interés e impacto asumidos por competencia</v>
      </c>
      <c r="F20" s="958">
        <f>+'1-Infor Det Sgto PEI 2021-2024 '!Y40</f>
        <v>1</v>
      </c>
      <c r="G20" s="958">
        <f>+'1-Infor Det Sgto PEI 2021-2024 '!Z40</f>
        <v>1</v>
      </c>
      <c r="H20" s="985">
        <f>'1-Infor Det Sgto PEI 2021-2024 '!AA40</f>
        <v>0.75</v>
      </c>
      <c r="I20" s="1162"/>
      <c r="J20" s="1168"/>
      <c r="K20" s="930"/>
      <c r="L20" s="930"/>
    </row>
    <row r="21" spans="2:12" ht="126.75" customHeight="1">
      <c r="B21" s="1139"/>
      <c r="C21" s="904" t="str">
        <f>+'Matriz PEI 2021-2024'!C18</f>
        <v>3.3. Generar 8 escenarios que fortalezcan el conocimiento y las competencias del operador disciplinario, que apoya el cumplimiento de la labor misional, extendiendo el alcance a los jueces naturales en el Distrito Capital.</v>
      </c>
      <c r="D21" s="956">
        <f>+'Matriz PEI 2021-2024'!E18</f>
        <v>8</v>
      </c>
      <c r="E21" s="955" t="str">
        <f>+'1-Infor Det Sgto PEI 2021-2024 '!F41</f>
        <v>Escenarios generados que fortalezcan el conocimiento</v>
      </c>
      <c r="F21" s="956">
        <f>+'1-Infor Det Sgto PEI 2021-2024 '!Y41</f>
        <v>2</v>
      </c>
      <c r="G21" s="956">
        <f>+'1-Infor Det Sgto PEI 2021-2024 '!Z41</f>
        <v>1</v>
      </c>
      <c r="H21" s="958">
        <f>+'1-Infor Det Sgto PEI 2021-2024 '!AA41</f>
        <v>0.5</v>
      </c>
      <c r="I21" s="1712">
        <f>+'1-Infor Det Sgto PEI 2021-2024 '!BN41</f>
        <v>0.125</v>
      </c>
      <c r="J21" s="1168"/>
      <c r="K21" s="930"/>
      <c r="L21" s="930"/>
    </row>
    <row r="22" spans="2:12" ht="61.5" customHeight="1">
      <c r="B22" s="1192"/>
      <c r="C22" s="901" t="str">
        <f>+'Matriz PEI 2021-2024'!C19</f>
        <v>3.4. Implementar al 100% tres soluciones informáticas propias para la ejecución y gestión de la Potestad Disciplinaria.</v>
      </c>
      <c r="D22" s="958">
        <f>+'Matriz PEI 2021-2024'!E19</f>
        <v>1</v>
      </c>
      <c r="E22" s="955" t="str">
        <f>+'1-Infor Det Sgto PEI 2021-2024 '!F42</f>
        <v>Soluciones informáticas implementadas</v>
      </c>
      <c r="F22" s="981">
        <f>SUM('1-Infor Det Sgto PEI 2021-2024 '!Y42:Y44)</f>
        <v>0.79999999999999993</v>
      </c>
      <c r="G22" s="981">
        <f>SUM('1-Infor Det Sgto PEI 2021-2024 '!Z42:Z44)</f>
        <v>0.62</v>
      </c>
      <c r="H22" s="983">
        <f>AVERAGE('1-Infor Det Sgto PEI 2021-2024 '!AA42:AA44)</f>
        <v>0.76666666666666661</v>
      </c>
      <c r="I22" s="1713">
        <f>+'1-Infor Det Sgto PEI 2021-2024 '!BN42</f>
        <v>0.186</v>
      </c>
      <c r="J22" s="1168"/>
      <c r="K22" s="930"/>
      <c r="L22" s="930"/>
    </row>
    <row r="23" spans="2:12" ht="75" customHeight="1">
      <c r="B23" s="1158"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910" t="str">
        <f>+'Matriz PEI 2021-2024'!C20</f>
        <v>4.1. Implementar el 100% de las acciones que impulsen el crecimiento del Modelo de Madurez de Transformación Digital de la Entidad, aplicando los principios , lineamientos y normas que lo enmarcan.</v>
      </c>
      <c r="D23" s="959">
        <f>+'Matriz PEI 2021-2024'!E20</f>
        <v>1</v>
      </c>
      <c r="E23" s="962" t="str">
        <f>+'1-Infor Det Sgto PEI 2021-2024 '!F45</f>
        <v>Acciones implementadas que impulsan el crecimiento del modelo de la Entidad</v>
      </c>
      <c r="F23" s="959">
        <f>AVERAGE('1-Infor Det Sgto PEI 2021-2024 '!Y45:Y51)</f>
        <v>0.3</v>
      </c>
      <c r="G23" s="989">
        <f>AVERAGE('1-Infor Det Sgto PEI 2021-2024 '!Z45:Z51)</f>
        <v>0.23428571428571426</v>
      </c>
      <c r="H23" s="984">
        <f>AVERAGE('1-Infor Det Sgto PEI 2021-2024 '!AA45:AA51)</f>
        <v>0.78095238095238084</v>
      </c>
      <c r="I23" s="1069">
        <f>+'1-Infor Det Sgto PEI 2021-2024 '!BN45</f>
        <v>0.23430000000000004</v>
      </c>
      <c r="J23" s="1155">
        <f>+'1-Infor Det Sgto PEI 2021-2024 '!BO45</f>
        <v>0.15884302300488068</v>
      </c>
      <c r="K23" s="932"/>
      <c r="L23" s="932"/>
    </row>
    <row r="24" spans="2:12" ht="105" customHeight="1">
      <c r="B24" s="1158"/>
      <c r="C24" s="1179" t="str">
        <f>+'Matriz PEI 2021-2024'!C21</f>
        <v>4.2. Consolidar el 90% del Modelo Integrado de Planeación y Gestión –MIPG- y sus sistemas de gestión articulados, como compromiso con la Calidad, la Excelencia, la Responsabilidad Ambiental y la Mejora en la prestación del Servicio.</v>
      </c>
      <c r="D24" s="1182">
        <f>+'Matriz PEI 2021-2024'!E21</f>
        <v>0.9</v>
      </c>
      <c r="E24" s="962" t="str">
        <f>+'1-Infor Det Sgto PEI 2021-2024 '!F52</f>
        <v xml:space="preserve">Porcentaje de acciones implementadas para la sostenibilidad y mejora del SGC </v>
      </c>
      <c r="F24" s="959">
        <f>+'1-Infor Det Sgto PEI 2021-2024 '!Y52</f>
        <v>1</v>
      </c>
      <c r="G24" s="959">
        <f>+'1-Infor Det Sgto PEI 2021-2024 '!Z52</f>
        <v>0.70049024427521756</v>
      </c>
      <c r="H24" s="959">
        <f>+'1-Infor Det Sgto PEI 2021-2024 '!AA52</f>
        <v>0.70049024427521756</v>
      </c>
      <c r="I24" s="1163">
        <f>+'1-Infor Det Sgto PEI 2021-2024 '!BN52</f>
        <v>0.24493721062645929</v>
      </c>
      <c r="J24" s="1156"/>
      <c r="K24" s="931"/>
      <c r="L24" s="931"/>
    </row>
    <row r="25" spans="2:12" ht="69.599999999999994" customHeight="1">
      <c r="B25" s="1158"/>
      <c r="C25" s="1180"/>
      <c r="D25" s="1183"/>
      <c r="E25" s="962" t="str">
        <f>+'1-Infor Det Sgto PEI 2021-2024 '!F53</f>
        <v>Porcentaje de actividades implementadas para la sostenibilidad  y mejora del MIPG</v>
      </c>
      <c r="F25" s="959">
        <f>+'1-Infor Det Sgto PEI 2021-2024 '!Y53</f>
        <v>0.22000000000000003</v>
      </c>
      <c r="G25" s="959">
        <f>+'1-Infor Det Sgto PEI 2021-2024 '!Z53</f>
        <v>0.11000000000000001</v>
      </c>
      <c r="H25" s="959">
        <f>+'1-Infor Det Sgto PEI 2021-2024 '!AA53</f>
        <v>0.5</v>
      </c>
      <c r="I25" s="1164"/>
      <c r="J25" s="1156"/>
      <c r="K25" s="931"/>
      <c r="L25" s="931"/>
    </row>
    <row r="26" spans="2:12" ht="55.95" customHeight="1">
      <c r="B26" s="1158"/>
      <c r="C26" s="1180"/>
      <c r="D26" s="1183"/>
      <c r="E26" s="962" t="str">
        <f>+'1-Infor Det Sgto PEI 2021-2024 '!F54</f>
        <v xml:space="preserve">Porcentaje de requisitos del  SGA implementados bajo los estándares de la norma ISO 14001 </v>
      </c>
      <c r="F26" s="959">
        <f>+'1-Infor Det Sgto PEI 2021-2024 '!Y54</f>
        <v>0.38</v>
      </c>
      <c r="G26" s="959">
        <f>+'1-Infor Det Sgto PEI 2021-2024 '!Z54</f>
        <v>0.28999999999999998</v>
      </c>
      <c r="H26" s="959">
        <f>+'1-Infor Det Sgto PEI 2021-2024 '!AA54</f>
        <v>0.76315789473684204</v>
      </c>
      <c r="I26" s="1164"/>
      <c r="J26" s="1156"/>
      <c r="K26" s="931"/>
      <c r="L26" s="931"/>
    </row>
    <row r="27" spans="2:12" ht="52.2" customHeight="1">
      <c r="B27" s="1158"/>
      <c r="C27" s="1180"/>
      <c r="D27" s="1183"/>
      <c r="E27" s="962" t="str">
        <f>+'1-Infor Det Sgto PEI 2021-2024 '!F55</f>
        <v>Acciones de monitoreo y revisión realizadas al PAAC</v>
      </c>
      <c r="F27" s="957">
        <f>+'1-Infor Det Sgto PEI 2021-2024 '!Y55</f>
        <v>3</v>
      </c>
      <c r="G27" s="957">
        <f>+'1-Infor Det Sgto PEI 2021-2024 '!Z55</f>
        <v>2</v>
      </c>
      <c r="H27" s="959">
        <f>+'1-Infor Det Sgto PEI 2021-2024 '!AA55</f>
        <v>0.66666666666666663</v>
      </c>
      <c r="I27" s="1164"/>
      <c r="J27" s="1156"/>
      <c r="K27" s="931"/>
      <c r="L27" s="931"/>
    </row>
    <row r="28" spans="2:12" ht="64.95" customHeight="1">
      <c r="B28" s="1158"/>
      <c r="C28" s="1180"/>
      <c r="D28" s="1183"/>
      <c r="E28" s="962" t="str">
        <f>+'1-Infor Det Sgto PEI 2021-2024 '!F56</f>
        <v>Porcentaje de Percepción de los usuarios en calificación excelente y bueno incrementado</v>
      </c>
      <c r="F28" s="959">
        <f>+'1-Infor Det Sgto PEI 2021-2024 '!Y56</f>
        <v>0.9</v>
      </c>
      <c r="G28" s="959">
        <f>+'1-Infor Det Sgto PEI 2021-2024 '!Z56</f>
        <v>0.93400000000000005</v>
      </c>
      <c r="H28" s="959">
        <f>+'1-Infor Det Sgto PEI 2021-2024 '!AA56</f>
        <v>1.0377777777777779</v>
      </c>
      <c r="I28" s="1164"/>
      <c r="J28" s="1156"/>
      <c r="K28" s="931"/>
      <c r="L28" s="931"/>
    </row>
    <row r="29" spans="2:12" ht="42" customHeight="1">
      <c r="B29" s="1158"/>
      <c r="C29" s="1181"/>
      <c r="D29" s="1184"/>
      <c r="E29" s="962" t="str">
        <f>+'1-Infor Det Sgto PEI 2021-2024 '!F57</f>
        <v>Acuerdos interinstitucionales gestionados</v>
      </c>
      <c r="F29" s="957">
        <f>+'1-Infor Det Sgto PEI 2021-2024 '!Y57</f>
        <v>2</v>
      </c>
      <c r="G29" s="957">
        <f>+'1-Infor Det Sgto PEI 2021-2024 '!Z57</f>
        <v>2</v>
      </c>
      <c r="H29" s="959">
        <f>+'1-Infor Det Sgto PEI 2021-2024 '!AA57</f>
        <v>1</v>
      </c>
      <c r="I29" s="1165"/>
      <c r="J29" s="1156"/>
      <c r="K29" s="931"/>
      <c r="L29" s="931"/>
    </row>
    <row r="30" spans="2:12" ht="60" customHeight="1">
      <c r="B30" s="1158"/>
      <c r="C30" s="1185" t="str">
        <f>+'Matriz PEI 2021-2024'!C22</f>
        <v xml:space="preserve">4.3. Realizar el 100% de las actividades relacionadas con la Gestión del Talento Humano, que permita su fortalecimiento y el desarrollo de sus conocimientos, su competencia y bienestar. </v>
      </c>
      <c r="D30" s="1182">
        <f>+'Matriz PEI 2021-2024'!E22</f>
        <v>1</v>
      </c>
      <c r="E30" s="962" t="str">
        <f>+'1-Infor Det Sgto PEI 2021-2024 '!F58</f>
        <v>Porcentaje de novedades y situaciones administrativas gestionadas</v>
      </c>
      <c r="F30" s="959">
        <f>+'1-Infor Det Sgto PEI 2021-2024 '!Y58</f>
        <v>1</v>
      </c>
      <c r="G30" s="959">
        <f>+'1-Infor Det Sgto PEI 2021-2024 '!Z58</f>
        <v>1</v>
      </c>
      <c r="H30" s="959">
        <f>+'1-Infor Det Sgto PEI 2021-2024 '!AA58</f>
        <v>0.75</v>
      </c>
      <c r="I30" s="1188">
        <f>+'1-Infor Det Sgto PEI 2021-2024 '!BN58</f>
        <v>0.15487097651775486</v>
      </c>
      <c r="J30" s="1156"/>
      <c r="K30" s="924"/>
      <c r="L30" s="924"/>
    </row>
    <row r="31" spans="2:12" ht="60" customHeight="1">
      <c r="B31" s="1158"/>
      <c r="C31" s="1186"/>
      <c r="D31" s="1183"/>
      <c r="E31" s="962" t="str">
        <f>+'1-Infor Det Sgto PEI 2021-2024 '!F59</f>
        <v xml:space="preserve">Novedades incluidas en la nómina  oportunamente  </v>
      </c>
      <c r="F31" s="959">
        <f>+'1-Infor Det Sgto PEI 2021-2024 '!Y59</f>
        <v>0.97000000000000008</v>
      </c>
      <c r="G31" s="959">
        <f>+'1-Infor Det Sgto PEI 2021-2024 '!Z59</f>
        <v>0.97699999999999998</v>
      </c>
      <c r="H31" s="959">
        <f>+'1-Infor Det Sgto PEI 2021-2024 '!AA59</f>
        <v>0.7554123711340206</v>
      </c>
      <c r="I31" s="1189"/>
      <c r="J31" s="1156"/>
      <c r="K31" s="924"/>
      <c r="L31" s="924"/>
    </row>
    <row r="32" spans="2:12" ht="119.4" customHeight="1">
      <c r="B32" s="1158"/>
      <c r="C32" s="1186"/>
      <c r="D32" s="1183"/>
      <c r="E32" s="962" t="str">
        <f>+'1-Infor Det Sgto PEI 2021-2024 '!F60</f>
        <v>Porcentaje de Usuarios internos satisfechos con las solicitudes de los servicios atendidas de la SGTH (Certificaciones laborales, bonos pensionales y autorizaciones de retiro de cesantías)</v>
      </c>
      <c r="F32" s="959">
        <f>+'1-Infor Det Sgto PEI 2021-2024 '!Y60</f>
        <v>0.90000000000000013</v>
      </c>
      <c r="G32" s="959">
        <f>+'1-Infor Det Sgto PEI 2021-2024 '!Z60</f>
        <v>0.95899999999999996</v>
      </c>
      <c r="H32" s="959">
        <f>+'1-Infor Det Sgto PEI 2021-2024 '!AA60</f>
        <v>0.79916666666666658</v>
      </c>
      <c r="I32" s="1189"/>
      <c r="J32" s="1156"/>
      <c r="K32" s="924"/>
      <c r="L32" s="924"/>
    </row>
    <row r="33" spans="2:12" ht="60" customHeight="1">
      <c r="B33" s="1158"/>
      <c r="C33" s="1186"/>
      <c r="D33" s="1183"/>
      <c r="E33" s="962" t="str">
        <f>+'1-Infor Det Sgto PEI 2021-2024 '!F61</f>
        <v>Avance en la ejecución de los planes que desarrollan la gestión del talento humano</v>
      </c>
      <c r="F33" s="959">
        <f>AVERAGE('1-Infor Det Sgto PEI 2021-2024 '!Y61:Y64)</f>
        <v>1</v>
      </c>
      <c r="G33" s="959">
        <f>AVERAGE('1-Infor Det Sgto PEI 2021-2024 '!Z61:Z64)</f>
        <v>0.66525000000000001</v>
      </c>
      <c r="H33" s="991">
        <f>AVERAGE('1-Infor Det Sgto PEI 2021-2024 '!AA61:AA64)</f>
        <v>0.66525000000000001</v>
      </c>
      <c r="I33" s="1189"/>
      <c r="J33" s="1156"/>
      <c r="K33" s="924"/>
      <c r="L33" s="924"/>
    </row>
    <row r="34" spans="2:12" ht="106.95" customHeight="1">
      <c r="B34" s="1158"/>
      <c r="C34" s="1187"/>
      <c r="D34" s="1184"/>
      <c r="E34" s="962" t="str">
        <f>+'1-Infor Det Sgto PEI 2021-2024 '!F65</f>
        <v>Capacitaciones realizadas sobre los Sistemas de Gestión y Evaluación del Desempeño Laboral de la Personería de Bogotá, D.C.</v>
      </c>
      <c r="F34" s="957">
        <f>+'1-Infor Det Sgto PEI 2021-2024 '!Y65</f>
        <v>9</v>
      </c>
      <c r="G34" s="957">
        <f>+'1-Infor Det Sgto PEI 2021-2024 '!Z65</f>
        <v>6</v>
      </c>
      <c r="H34" s="989">
        <f>+'1-Infor Det Sgto PEI 2021-2024 '!AA65</f>
        <v>0.66666666666666663</v>
      </c>
      <c r="I34" s="1190"/>
      <c r="J34" s="1156"/>
      <c r="K34" s="924"/>
      <c r="L34" s="924"/>
    </row>
    <row r="35" spans="2:12" ht="76.5" customHeight="1">
      <c r="B35" s="1158"/>
      <c r="C35" s="1179" t="str">
        <f>+'Matriz PEI 2021-2024'!C23</f>
        <v>4.4. Implementar el 100% de las acciones necesarias para la modernización de la gestión institucional a través de los procesos de apoyo, que permita una mejor prestación del servicio.</v>
      </c>
      <c r="D35" s="1182">
        <f>+'Matriz PEI 2021-2024'!E23</f>
        <v>1</v>
      </c>
      <c r="E35" s="962" t="str">
        <f>+'1-Infor Det Sgto PEI 2021-2024 '!F66</f>
        <v>Acciones implementadas para la modernización de la gestión institucional en el proceso Gestión Administrativa</v>
      </c>
      <c r="F35" s="989">
        <f>AVERAGE('1-Infor Det Sgto PEI 2021-2024 '!Y66:Y67)</f>
        <v>0.9850000000000001</v>
      </c>
      <c r="G35" s="989">
        <f>AVERAGE('1-Infor Det Sgto PEI 2021-2024 '!Z66:Z67)</f>
        <v>1.032</v>
      </c>
      <c r="H35" s="984">
        <f>AVERAGE('1-Infor Det Sgto PEI 2021-2024 '!AA66:AA67)</f>
        <v>0.78636340206185562</v>
      </c>
      <c r="I35" s="1163">
        <f>+'1-Infor Det Sgto PEI 2021-2024 '!BN66</f>
        <v>0.14313455736971017</v>
      </c>
      <c r="J35" s="1156"/>
      <c r="K35" s="930"/>
      <c r="L35" s="930"/>
    </row>
    <row r="36" spans="2:12" ht="76.5" customHeight="1">
      <c r="B36" s="1158"/>
      <c r="C36" s="1180"/>
      <c r="D36" s="1183"/>
      <c r="E36" s="962" t="str">
        <f>+'1-Infor Det Sgto PEI 2021-2024 '!F68</f>
        <v>Acciones implementadas para la modernización de la gestión institucional en el proceso Gestión Financiera</v>
      </c>
      <c r="F36" s="991">
        <f>AVERAGE('1-Infor Det Sgto PEI 2021-2024 '!Y68:Y70)</f>
        <v>0.96666666666666667</v>
      </c>
      <c r="G36" s="989">
        <f>AVERAGE('1-Infor Det Sgto PEI 2021-2024 '!Z68:Z70)</f>
        <v>0.656837275413788</v>
      </c>
      <c r="H36" s="984">
        <f>AVERAGE('1-Infor Det Sgto PEI 2021-2024 '!AA68:AA70)</f>
        <v>0.67824976359346101</v>
      </c>
      <c r="I36" s="1164"/>
      <c r="J36" s="1156"/>
      <c r="K36" s="930"/>
      <c r="L36" s="930"/>
    </row>
    <row r="37" spans="2:12" ht="76.5" customHeight="1">
      <c r="B37" s="1158"/>
      <c r="C37" s="1180"/>
      <c r="D37" s="1183"/>
      <c r="E37" s="962" t="str">
        <f>+'1-Infor Det Sgto PEI 2021-2024 '!F71</f>
        <v xml:space="preserve">Porcentaje del Plan Anual de Adquisiciones ejecutado </v>
      </c>
      <c r="F37" s="991">
        <f>+'1-Infor Det Sgto PEI 2021-2024 '!Y71</f>
        <v>0.95</v>
      </c>
      <c r="G37" s="991">
        <f>+'1-Infor Det Sgto PEI 2021-2024 '!Z71</f>
        <v>0.71</v>
      </c>
      <c r="H37" s="991">
        <f>+'1-Infor Det Sgto PEI 2021-2024 '!AA71</f>
        <v>0.74736842105263157</v>
      </c>
      <c r="I37" s="1164"/>
      <c r="J37" s="1156"/>
      <c r="K37" s="930"/>
      <c r="L37" s="930"/>
    </row>
    <row r="38" spans="2:12" ht="76.5" customHeight="1">
      <c r="B38" s="1158"/>
      <c r="C38" s="1180"/>
      <c r="D38" s="1183"/>
      <c r="E38" s="962" t="str">
        <f>+'1-Infor Det Sgto PEI 2021-2024 '!F72</f>
        <v>Porcentaje de Comunicaciones oficiales con reparto realizado dentro de los 3 días hábiles desde su radicación</v>
      </c>
      <c r="F38" s="991">
        <f>+'1-Infor Det Sgto PEI 2021-2024 '!Y72</f>
        <v>0.94999999999999984</v>
      </c>
      <c r="G38" s="991">
        <f>+'1-Infor Det Sgto PEI 2021-2024 '!Z72</f>
        <v>0.97399999999999998</v>
      </c>
      <c r="H38" s="991">
        <f>+'1-Infor Det Sgto PEI 2021-2024 '!AA72</f>
        <v>0.7689473684210526</v>
      </c>
      <c r="I38" s="1164"/>
      <c r="J38" s="1156"/>
      <c r="K38" s="930"/>
      <c r="L38" s="930"/>
    </row>
    <row r="39" spans="2:12" ht="76.5" customHeight="1">
      <c r="B39" s="1158"/>
      <c r="C39" s="1180"/>
      <c r="D39" s="1183"/>
      <c r="E39" s="962" t="str">
        <f>+'1-Infor Det Sgto PEI 2021-2024 '!F73</f>
        <v>Porcentaje de documentación incorporada en el archivo central durante la vigencia.</v>
      </c>
      <c r="F39" s="991">
        <f>+'1-Infor Det Sgto PEI 2021-2024 '!Y73</f>
        <v>0.79999999999999993</v>
      </c>
      <c r="G39" s="991">
        <f>+'1-Infor Det Sgto PEI 2021-2024 '!Z73</f>
        <v>0.80500000000000005</v>
      </c>
      <c r="H39" s="989">
        <f>+'1-Infor Det Sgto PEI 2021-2024 '!AA73</f>
        <v>0.75468750000000007</v>
      </c>
      <c r="I39" s="1164"/>
      <c r="J39" s="1156"/>
      <c r="K39" s="930"/>
      <c r="L39" s="930"/>
    </row>
    <row r="40" spans="2:12" ht="105.6" customHeight="1">
      <c r="B40" s="1158"/>
      <c r="C40" s="1180"/>
      <c r="D40" s="1183"/>
      <c r="E40" s="962" t="str">
        <f>+'1-Infor Det Sgto PEI 2021-2024 '!F74</f>
        <v xml:space="preserve">Acciones implementadas para la modernización de la gestión institucional en actualización e  implementación de instrumentos archivísticos </v>
      </c>
      <c r="F40" s="957">
        <f>'1-Infor Det Sgto PEI 2021-2024 '!Y74+'1-Infor Det Sgto PEI 2021-2024 '!Y75</f>
        <v>50</v>
      </c>
      <c r="G40" s="957">
        <f>'1-Infor Det Sgto PEI 2021-2024 '!Z74+'1-Infor Det Sgto PEI 2021-2024 '!Z75</f>
        <v>40</v>
      </c>
      <c r="H40" s="984">
        <f>AVERAGE('1-Infor Det Sgto PEI 2021-2024 '!AA74:AA75)</f>
        <v>0.8</v>
      </c>
      <c r="I40" s="1164"/>
      <c r="J40" s="1156"/>
      <c r="K40" s="930"/>
      <c r="L40" s="930"/>
    </row>
    <row r="41" spans="2:12" ht="76.5" customHeight="1">
      <c r="B41" s="1158"/>
      <c r="C41" s="1180"/>
      <c r="D41" s="1183"/>
      <c r="E41" s="962" t="str">
        <f>+'1-Infor Det Sgto PEI 2021-2024 '!F76</f>
        <v>Acciones implementadas para la modernización de la gestión institucional en el proceso Gestión Jurídica</v>
      </c>
      <c r="F41" s="991">
        <f>AVERAGE('1-Infor Det Sgto PEI 2021-2024 '!Y76:Y80)</f>
        <v>1</v>
      </c>
      <c r="G41" s="991">
        <f>AVERAGE('1-Infor Det Sgto PEI 2021-2024 '!Z76:Z80)</f>
        <v>1</v>
      </c>
      <c r="H41" s="991">
        <f>AVERAGE('1-Infor Det Sgto PEI 2021-2024 '!AA76:AA80)</f>
        <v>0.75</v>
      </c>
      <c r="I41" s="1164"/>
      <c r="J41" s="1156"/>
      <c r="K41" s="930"/>
      <c r="L41" s="930"/>
    </row>
    <row r="42" spans="2:12" ht="76.5" customHeight="1">
      <c r="B42" s="1158"/>
      <c r="C42" s="1181"/>
      <c r="D42" s="1184"/>
      <c r="E42" s="962" t="str">
        <f>+'1-Infor Det Sgto PEI 2021-2024 '!F81</f>
        <v xml:space="preserve">Porcentaje de contratos en las diferentes modalidades de contratación elaborados en los tiempos óptimos </v>
      </c>
      <c r="F42" s="991">
        <f>AVERAGE('1-Infor Det Sgto PEI 2021-2024 '!Y81:Y83)</f>
        <v>0.6</v>
      </c>
      <c r="G42" s="991">
        <f>AVERAGE('1-Infor Det Sgto PEI 2021-2024 '!Z81:Z83)</f>
        <v>0.56266666666666676</v>
      </c>
      <c r="H42" s="991">
        <f>AVERAGE('1-Infor Det Sgto PEI 2021-2024 '!AA81:AA83)</f>
        <v>0.70333333333333325</v>
      </c>
      <c r="I42" s="1165"/>
      <c r="J42" s="1156"/>
      <c r="K42" s="930"/>
      <c r="L42" s="930"/>
    </row>
    <row r="43" spans="2:12" ht="83.4" customHeight="1">
      <c r="B43" s="1158"/>
      <c r="C43" s="910" t="str">
        <f>+'Matriz PEI 2021-2024'!C24</f>
        <v>4.5. Desarrollar el 100% de las acciones relacionadas con el fomento de la Cultura del Autocontrol, la Autorregulación y la Autogestión institucional.</v>
      </c>
      <c r="D43" s="959">
        <f>+'Matriz PEI 2021-2024'!E24</f>
        <v>1</v>
      </c>
      <c r="E43" s="962" t="str">
        <f>+'1-Infor Det Sgto PEI 2021-2024 '!F84</f>
        <v>Acciones desarrolladas relacionadas con el fomento de la cultura del autocontrol, autoregulación y autogestión</v>
      </c>
      <c r="F43" s="957">
        <f>SUM('1-Infor Det Sgto PEI 2021-2024 '!Y84:Y89)</f>
        <v>129</v>
      </c>
      <c r="G43" s="957">
        <f>SUM('1-Infor Det Sgto PEI 2021-2024 '!Z84:Z89)</f>
        <v>146.88999999999999</v>
      </c>
      <c r="H43" s="984">
        <f>AVERAGE('1-Infor Det Sgto PEI 2021-2024 '!AA84:AA89)</f>
        <v>0.70277777777777783</v>
      </c>
      <c r="I43" s="1068">
        <f>+'1-Infor Det Sgto PEI 2021-2024 '!BN84</f>
        <v>0.19811904761904764</v>
      </c>
      <c r="J43" s="1156"/>
      <c r="K43" s="922"/>
      <c r="L43" s="922"/>
    </row>
    <row r="44" spans="2:12" ht="60" customHeight="1">
      <c r="B44" s="1158"/>
      <c r="C44" s="910" t="str">
        <f>+'Matriz PEI 2021-2024'!C25</f>
        <v>4.6. Desarrollar el 100% de las estrategias de comunicación organizacional y de medios que contribuyan al logro de los objetivos institucionales y al posicionamiento de la Entidad.</v>
      </c>
      <c r="D44" s="959">
        <f>+'Matriz PEI 2021-2024'!E25</f>
        <v>1</v>
      </c>
      <c r="E44" s="962" t="str">
        <f>'1-Infor Det Sgto PEI 2021-2024 '!F90</f>
        <v>Estrategias desarrolladas para la comunicación en la Entidad</v>
      </c>
      <c r="F44" s="959">
        <f>AVERAGE('1-Infor Det Sgto PEI 2021-2024 '!Y90:Y91)</f>
        <v>1</v>
      </c>
      <c r="G44" s="991">
        <f>AVERAGE('1-Infor Det Sgto PEI 2021-2024 '!Z90:Z91)</f>
        <v>1</v>
      </c>
      <c r="H44" s="991">
        <f>AVERAGE('1-Infor Det Sgto PEI 2021-2024 '!AA90:AA91)</f>
        <v>0.75</v>
      </c>
      <c r="I44" s="1067">
        <f>+'1-Infor Det Sgto PEI 2021-2024 '!BN90</f>
        <v>0.125</v>
      </c>
      <c r="J44" s="1156"/>
      <c r="K44" s="924"/>
      <c r="L44" s="924"/>
    </row>
    <row r="45" spans="2:12" ht="114" customHeight="1">
      <c r="B45" s="1159"/>
      <c r="C45" s="821" t="str">
        <f>+'Matriz PEI 2021-2024'!C26</f>
        <v>4.7. Articular el 100% de las acciones de trabajo interinstitucional y cooperación nacional e internacional que permita aunar esfuerzos para el cumplimiento de la misión institucional.</v>
      </c>
      <c r="D45" s="959">
        <f>+'Matriz PEI 2021-2024'!E26</f>
        <v>1</v>
      </c>
      <c r="E45" s="962" t="str">
        <f>'1-Infor Det Sgto PEI 2021-2024 '!F92</f>
        <v>Acciones articuladas de trabajo interinstitucional y de cooperación</v>
      </c>
      <c r="F45" s="959">
        <f>'1-Infor Det Sgto PEI 2021-2024 '!Y92</f>
        <v>1</v>
      </c>
      <c r="G45" s="991">
        <f>'1-Infor Det Sgto PEI 2021-2024 '!Z92</f>
        <v>0</v>
      </c>
      <c r="H45" s="991">
        <f>'1-Infor Det Sgto PEI 2021-2024 '!AA92</f>
        <v>0</v>
      </c>
      <c r="I45" s="920">
        <f>+'1-Infor Det Sgto PEI 2021-2024 '!BN92</f>
        <v>0</v>
      </c>
      <c r="J45" s="1157"/>
      <c r="K45" s="924"/>
      <c r="L45" s="924"/>
    </row>
    <row r="46" spans="2:12" ht="93.75" customHeight="1">
      <c r="B46" s="1138" t="str">
        <f>+'Matriz PEI 2021-2024'!B27</f>
        <v xml:space="preserve">5. Incorporar una cultura del conocimiento y la innovación a través de actividades que permitan el desarrollo de ideas, lecciones aprendidas e investigaciones para mejorar los resultados de la gestión institucional. </v>
      </c>
      <c r="C46" s="826" t="str">
        <f>+'Matriz PEI 2021-2024'!C27</f>
        <v>5.1 Generar el 100% de productos de nuevo conocimiento o transformar los existentes, alineados con proyectos resultados de la investigación, desarrollo e innovación (I+D+I) en la Entidad.</v>
      </c>
      <c r="D46" s="958">
        <f>+'Matriz PEI 2021-2024'!E27</f>
        <v>1</v>
      </c>
      <c r="E46" s="961" t="str">
        <f>+'1-Infor Det Sgto PEI 2021-2024 '!F93</f>
        <v xml:space="preserve">Productos generados
</v>
      </c>
      <c r="F46" s="1059">
        <f>+'1-Infor Det Sgto PEI 2021-2024 '!Y93</f>
        <v>1</v>
      </c>
      <c r="G46" s="1059">
        <f>+'1-Infor Det Sgto PEI 2021-2024 '!Z93</f>
        <v>0</v>
      </c>
      <c r="H46" s="1060">
        <f>+'1-Infor Det Sgto PEI 2021-2024 '!AA93</f>
        <v>0</v>
      </c>
      <c r="I46" s="1714">
        <f>+'1-Infor Det Sgto PEI 2021-2024 '!BN93</f>
        <v>0</v>
      </c>
      <c r="J46" s="1176">
        <f>+'1-Infor Det Sgto PEI 2021-2024 '!BO93</f>
        <v>0.1275</v>
      </c>
      <c r="K46" s="926"/>
      <c r="L46" s="926"/>
    </row>
    <row r="47" spans="2:12" ht="102" customHeight="1">
      <c r="B47" s="1139"/>
      <c r="C47" s="826" t="str">
        <f>+'Matriz PEI 2021-2024'!C28</f>
        <v>5.2 Formular el 100% de herramientas y acciones que permitan categorizar, preservar y utilizar el conocimiento para la toma de decisiones y compartir fácilmente los datos y la información de la Entidad.</v>
      </c>
      <c r="D47" s="958">
        <f>+'Matriz PEI 2021-2024'!E28</f>
        <v>1</v>
      </c>
      <c r="E47" s="961" t="str">
        <f>+'1-Infor Det Sgto PEI 2021-2024 '!F94</f>
        <v xml:space="preserve">Herramientas y acciones formuladas </v>
      </c>
      <c r="F47" s="1059">
        <f>+'1-Infor Det Sgto PEI 2021-2024 '!Y94</f>
        <v>2</v>
      </c>
      <c r="G47" s="1059">
        <f>+'1-Infor Det Sgto PEI 2021-2024 '!Z94</f>
        <v>1</v>
      </c>
      <c r="H47" s="1060">
        <f>+'1-Infor Det Sgto PEI 2021-2024 '!AA94</f>
        <v>0.5</v>
      </c>
      <c r="I47" s="1714">
        <f>+'1-Infor Det Sgto PEI 2021-2024 '!BN94</f>
        <v>0.125</v>
      </c>
      <c r="J47" s="1177"/>
      <c r="K47" s="926"/>
      <c r="L47" s="926"/>
    </row>
    <row r="48" spans="2:12" ht="124.5" customHeight="1" thickBot="1">
      <c r="B48" s="1140"/>
      <c r="C48" s="827"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958">
        <f>+'Matriz PEI 2021-2024'!E29</f>
        <v>1</v>
      </c>
      <c r="E48" s="961" t="str">
        <f>+'1-Infor Det Sgto PEI 2021-2024 '!F95</f>
        <v>Espacios y mecanismos desarrollados para la difusión de conocimiento</v>
      </c>
      <c r="F48" s="1059">
        <f>+'1-Infor Det Sgto PEI 2021-2024 '!Y95</f>
        <v>3</v>
      </c>
      <c r="G48" s="1059">
        <f>+'1-Infor Det Sgto PEI 2021-2024 '!Z95</f>
        <v>3</v>
      </c>
      <c r="H48" s="1060">
        <f>+'1-Infor Det Sgto PEI 2021-2024 '!AA95</f>
        <v>1</v>
      </c>
      <c r="I48" s="1714">
        <f>+'1-Infor Det Sgto PEI 2021-2024 '!BN95</f>
        <v>0.3</v>
      </c>
      <c r="J48" s="1178"/>
      <c r="K48" s="926"/>
      <c r="L48" s="926"/>
    </row>
    <row r="49" spans="2:12" ht="18" thickBot="1">
      <c r="B49" s="828"/>
      <c r="C49" s="942"/>
      <c r="D49" s="954"/>
      <c r="E49" s="954"/>
      <c r="F49" s="954"/>
      <c r="G49" s="954"/>
      <c r="H49" s="954"/>
      <c r="I49" s="943">
        <f>AVERAGE(I10:I48)</f>
        <v>0.1685498124326163</v>
      </c>
      <c r="J49" s="934">
        <f>AVERAGE(J10:J48)</f>
        <v>0.17451463741438164</v>
      </c>
      <c r="K49" s="927"/>
      <c r="L49" s="927"/>
    </row>
    <row r="50" spans="2:12" ht="13.5" customHeight="1">
      <c r="B50" s="43"/>
      <c r="C50" s="43"/>
      <c r="D50" s="43"/>
      <c r="E50" s="43"/>
      <c r="F50" s="43"/>
      <c r="G50" s="43"/>
      <c r="H50" s="43"/>
    </row>
    <row r="51" spans="2:12" ht="15" customHeight="1">
      <c r="B51" s="43" t="s">
        <v>1106</v>
      </c>
      <c r="C51" s="43"/>
      <c r="D51" s="43"/>
      <c r="E51" s="43"/>
      <c r="F51" s="43"/>
      <c r="G51" s="43"/>
      <c r="H51" s="43"/>
    </row>
    <row r="52" spans="2:12" ht="15" customHeight="1">
      <c r="B52" s="43"/>
      <c r="C52" s="43"/>
      <c r="D52" s="43"/>
      <c r="E52" s="43"/>
      <c r="F52" s="43"/>
      <c r="G52" s="43"/>
      <c r="H52" s="43"/>
    </row>
  </sheetData>
  <sheetProtection algorithmName="SHA-512" hashValue="RJ0EymX6BZVLFAOeDsamLkGNWhjiI+o9m82G+//1EMCMrRu+CCYWme4+cGr/KiOxnNpQxz0FeiBLX9jW/XczEw==" saltValue="QPZcg4PfVeGgyDUYyqeWgQ==" spinCount="100000" sheet="1" objects="1" scenarios="1"/>
  <mergeCells count="36">
    <mergeCell ref="C2:J2"/>
    <mergeCell ref="B7:J7"/>
    <mergeCell ref="B8:B9"/>
    <mergeCell ref="C8:C9"/>
    <mergeCell ref="I8:I9"/>
    <mergeCell ref="J8:J9"/>
    <mergeCell ref="D8:D9"/>
    <mergeCell ref="E8:H8"/>
    <mergeCell ref="B10:B13"/>
    <mergeCell ref="J10:J13"/>
    <mergeCell ref="B14:B16"/>
    <mergeCell ref="J14:J16"/>
    <mergeCell ref="B17:B22"/>
    <mergeCell ref="J17:J22"/>
    <mergeCell ref="D10:D11"/>
    <mergeCell ref="C10:C11"/>
    <mergeCell ref="I10:I11"/>
    <mergeCell ref="C17:C18"/>
    <mergeCell ref="D17:D18"/>
    <mergeCell ref="I17:I18"/>
    <mergeCell ref="C19:C20"/>
    <mergeCell ref="D19:D20"/>
    <mergeCell ref="I19:I20"/>
    <mergeCell ref="B23:B45"/>
    <mergeCell ref="J23:J45"/>
    <mergeCell ref="B46:B48"/>
    <mergeCell ref="J46:J48"/>
    <mergeCell ref="C24:C29"/>
    <mergeCell ref="D24:D29"/>
    <mergeCell ref="I24:I29"/>
    <mergeCell ref="C30:C34"/>
    <mergeCell ref="D30:D34"/>
    <mergeCell ref="I30:I34"/>
    <mergeCell ref="C35:C42"/>
    <mergeCell ref="D35:D42"/>
    <mergeCell ref="I35:I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1"/>
  <sheetViews>
    <sheetView showGridLines="0" zoomScale="55" zoomScaleNormal="55" workbookViewId="0">
      <selection activeCell="C4" sqref="C4"/>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bestFit="1" customWidth="1"/>
    <col min="6" max="6" width="37.5546875" style="5" customWidth="1"/>
    <col min="7" max="7" width="60.44140625" style="5" customWidth="1"/>
    <col min="8" max="8" width="52.88671875" style="3" customWidth="1"/>
    <col min="9" max="9" width="25.44140625" style="5"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775" customWidth="1"/>
    <col min="27" max="27" width="23.33203125" style="775" customWidth="1"/>
    <col min="28" max="35" width="23.33203125" style="775" hidden="1" customWidth="1"/>
    <col min="36" max="38" width="23.33203125" style="775" customWidth="1"/>
    <col min="39" max="46" width="23.33203125" style="775" hidden="1" customWidth="1"/>
    <col min="47" max="49" width="23.33203125" style="775" customWidth="1"/>
    <col min="50" max="57" width="23.33203125" style="775" hidden="1" customWidth="1"/>
    <col min="58" max="60" width="23.33203125" style="775" customWidth="1"/>
    <col min="61" max="61" width="30.33203125" style="775" customWidth="1"/>
    <col min="62" max="63" width="34.6640625" style="775" customWidth="1"/>
    <col min="64" max="64" width="36.6640625" style="775" customWidth="1"/>
    <col min="65" max="65" width="38.6640625" style="775" customWidth="1"/>
    <col min="66" max="69" width="38.6640625" style="1" customWidth="1"/>
    <col min="70" max="16384" width="17.33203125" style="1"/>
  </cols>
  <sheetData>
    <row r="1" spans="2:71" ht="15" customHeight="1" thickBot="1"/>
    <row r="2" spans="2:71" ht="95.4" customHeight="1" thickBot="1">
      <c r="B2" s="999" t="s">
        <v>752</v>
      </c>
      <c r="C2" s="1302" t="s">
        <v>1036</v>
      </c>
      <c r="D2" s="1303"/>
      <c r="E2" s="1303"/>
      <c r="F2" s="1303"/>
      <c r="G2" s="1303"/>
      <c r="H2" s="1303"/>
      <c r="I2" s="1303"/>
      <c r="J2" s="1303"/>
      <c r="K2" s="1303"/>
      <c r="L2" s="1304"/>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6"/>
      <c r="BP2" s="996"/>
      <c r="BQ2" s="996"/>
      <c r="BR2" s="12"/>
      <c r="BS2" s="12"/>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776" t="s">
        <v>764</v>
      </c>
      <c r="C4" s="777" t="s">
        <v>1206</v>
      </c>
      <c r="D4" s="778">
        <v>2021</v>
      </c>
      <c r="E4" s="832"/>
      <c r="F4" s="832"/>
      <c r="G4" s="832"/>
      <c r="H4" s="833"/>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row>
    <row r="5" spans="2:71" ht="14.25" customHeight="1">
      <c r="B5" s="2"/>
      <c r="C5" s="2"/>
      <c r="D5" s="2"/>
      <c r="E5" s="4"/>
      <c r="F5" s="4"/>
      <c r="G5" s="4"/>
      <c r="H5" s="2"/>
      <c r="I5" s="4"/>
      <c r="J5" s="4"/>
      <c r="K5" s="2"/>
      <c r="L5" s="2"/>
      <c r="M5" s="2"/>
      <c r="N5" s="2"/>
      <c r="O5" s="2"/>
      <c r="P5" s="2"/>
      <c r="Q5" s="2"/>
      <c r="R5" s="2"/>
      <c r="S5" s="2"/>
      <c r="T5" s="2"/>
      <c r="U5" s="2"/>
      <c r="V5" s="2"/>
      <c r="W5" s="2"/>
      <c r="X5" s="2"/>
      <c r="Y5" s="2"/>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12"/>
      <c r="BO5" s="12"/>
      <c r="BP5" s="12"/>
      <c r="BQ5" s="12"/>
    </row>
    <row r="6" spans="2:71" ht="52.2" customHeight="1">
      <c r="B6" s="1253" t="s">
        <v>0</v>
      </c>
      <c r="C6" s="1253" t="s">
        <v>52</v>
      </c>
      <c r="D6" s="1254" t="s">
        <v>1002</v>
      </c>
      <c r="E6" s="1255" t="s">
        <v>1003</v>
      </c>
      <c r="F6" s="1258" t="s">
        <v>1004</v>
      </c>
      <c r="G6" s="1259" t="s">
        <v>1005</v>
      </c>
      <c r="H6" s="1253" t="s">
        <v>54</v>
      </c>
      <c r="I6" s="1262" t="s">
        <v>55</v>
      </c>
      <c r="J6" s="1253" t="s">
        <v>56</v>
      </c>
      <c r="K6" s="1253" t="s">
        <v>41</v>
      </c>
      <c r="L6" s="1253" t="s">
        <v>42</v>
      </c>
      <c r="M6" s="1240" t="s">
        <v>75</v>
      </c>
      <c r="N6" s="1240"/>
      <c r="O6" s="1240"/>
      <c r="P6" s="1240"/>
      <c r="Q6" s="1241">
        <v>2021</v>
      </c>
      <c r="R6" s="1242"/>
      <c r="S6" s="1242"/>
      <c r="T6" s="1242"/>
      <c r="U6" s="1242"/>
      <c r="V6" s="1242"/>
      <c r="W6" s="1242"/>
      <c r="X6" s="1242"/>
      <c r="Y6" s="1242"/>
      <c r="Z6" s="1242"/>
      <c r="AA6" s="1243"/>
      <c r="AB6" s="1244">
        <v>2022</v>
      </c>
      <c r="AC6" s="1245"/>
      <c r="AD6" s="1245"/>
      <c r="AE6" s="1245"/>
      <c r="AF6" s="1245"/>
      <c r="AG6" s="1245"/>
      <c r="AH6" s="1245"/>
      <c r="AI6" s="1245"/>
      <c r="AJ6" s="1245"/>
      <c r="AK6" s="1245"/>
      <c r="AL6" s="1246"/>
      <c r="AM6" s="1241">
        <v>2023</v>
      </c>
      <c r="AN6" s="1242"/>
      <c r="AO6" s="1242"/>
      <c r="AP6" s="1242"/>
      <c r="AQ6" s="1242"/>
      <c r="AR6" s="1242"/>
      <c r="AS6" s="1242"/>
      <c r="AT6" s="1242"/>
      <c r="AU6" s="1242"/>
      <c r="AV6" s="1242"/>
      <c r="AW6" s="1243"/>
      <c r="AX6" s="1244">
        <v>2024</v>
      </c>
      <c r="AY6" s="1245"/>
      <c r="AZ6" s="1245"/>
      <c r="BA6" s="1245"/>
      <c r="BB6" s="1245"/>
      <c r="BC6" s="1245"/>
      <c r="BD6" s="1245"/>
      <c r="BE6" s="1245"/>
      <c r="BF6" s="1245"/>
      <c r="BG6" s="1245"/>
      <c r="BH6" s="1246"/>
      <c r="BI6" s="1208" t="s">
        <v>759</v>
      </c>
      <c r="BJ6" s="1209"/>
      <c r="BK6" s="1209"/>
      <c r="BL6" s="1209"/>
      <c r="BM6" s="1209"/>
      <c r="BN6" s="1209"/>
      <c r="BO6" s="1210"/>
      <c r="BP6" s="928"/>
      <c r="BQ6" s="928"/>
    </row>
    <row r="7" spans="2:71" ht="59.4" customHeight="1">
      <c r="B7" s="1253"/>
      <c r="C7" s="1253"/>
      <c r="D7" s="1254"/>
      <c r="E7" s="1256"/>
      <c r="F7" s="1258"/>
      <c r="G7" s="1260"/>
      <c r="H7" s="1253"/>
      <c r="I7" s="1263"/>
      <c r="J7" s="1253"/>
      <c r="K7" s="1253"/>
      <c r="L7" s="1253"/>
      <c r="M7" s="757" t="s">
        <v>59</v>
      </c>
      <c r="N7" s="757" t="s">
        <v>59</v>
      </c>
      <c r="O7" s="757" t="s">
        <v>59</v>
      </c>
      <c r="P7" s="757" t="s">
        <v>59</v>
      </c>
      <c r="Q7" s="1251" t="s">
        <v>21</v>
      </c>
      <c r="R7" s="1252"/>
      <c r="S7" s="1251" t="s">
        <v>22</v>
      </c>
      <c r="T7" s="1252"/>
      <c r="U7" s="1251" t="s">
        <v>23</v>
      </c>
      <c r="V7" s="1252"/>
      <c r="W7" s="1251" t="s">
        <v>24</v>
      </c>
      <c r="X7" s="1252"/>
      <c r="Y7" s="1265" t="s">
        <v>762</v>
      </c>
      <c r="Z7" s="1265" t="s">
        <v>757</v>
      </c>
      <c r="AA7" s="1267" t="s">
        <v>999</v>
      </c>
      <c r="AB7" s="1247" t="s">
        <v>21</v>
      </c>
      <c r="AC7" s="1248"/>
      <c r="AD7" s="1247" t="s">
        <v>22</v>
      </c>
      <c r="AE7" s="1248"/>
      <c r="AF7" s="1247" t="s">
        <v>23</v>
      </c>
      <c r="AG7" s="1248"/>
      <c r="AH7" s="1247" t="s">
        <v>24</v>
      </c>
      <c r="AI7" s="1248"/>
      <c r="AJ7" s="1249" t="s">
        <v>762</v>
      </c>
      <c r="AK7" s="1249" t="s">
        <v>757</v>
      </c>
      <c r="AL7" s="1249" t="s">
        <v>1006</v>
      </c>
      <c r="AM7" s="1251" t="s">
        <v>21</v>
      </c>
      <c r="AN7" s="1252"/>
      <c r="AO7" s="1251" t="s">
        <v>22</v>
      </c>
      <c r="AP7" s="1252"/>
      <c r="AQ7" s="1251" t="s">
        <v>23</v>
      </c>
      <c r="AR7" s="1252"/>
      <c r="AS7" s="1251" t="s">
        <v>24</v>
      </c>
      <c r="AT7" s="1252"/>
      <c r="AU7" s="1265" t="s">
        <v>762</v>
      </c>
      <c r="AV7" s="1265" t="s">
        <v>757</v>
      </c>
      <c r="AW7" s="1265" t="s">
        <v>1006</v>
      </c>
      <c r="AX7" s="1247" t="s">
        <v>21</v>
      </c>
      <c r="AY7" s="1248"/>
      <c r="AZ7" s="1247" t="s">
        <v>22</v>
      </c>
      <c r="BA7" s="1248"/>
      <c r="BB7" s="1247" t="s">
        <v>23</v>
      </c>
      <c r="BC7" s="1248"/>
      <c r="BD7" s="1247" t="s">
        <v>24</v>
      </c>
      <c r="BE7" s="1248"/>
      <c r="BF7" s="1249" t="s">
        <v>762</v>
      </c>
      <c r="BG7" s="1249" t="s">
        <v>757</v>
      </c>
      <c r="BH7" s="1249" t="s">
        <v>1006</v>
      </c>
      <c r="BI7" s="1214" t="s">
        <v>1051</v>
      </c>
      <c r="BJ7" s="1215"/>
      <c r="BK7" s="914">
        <v>44469</v>
      </c>
      <c r="BL7" s="1212" t="s">
        <v>1065</v>
      </c>
      <c r="BM7" s="1212" t="s">
        <v>758</v>
      </c>
      <c r="BN7" s="1212" t="s">
        <v>1007</v>
      </c>
      <c r="BO7" s="1207" t="s">
        <v>1066</v>
      </c>
      <c r="BP7" s="929"/>
      <c r="BQ7" s="929"/>
    </row>
    <row r="8" spans="2:71" ht="38.4" customHeight="1">
      <c r="B8" s="1253"/>
      <c r="C8" s="1253"/>
      <c r="D8" s="1254"/>
      <c r="E8" s="1257"/>
      <c r="F8" s="1258"/>
      <c r="G8" s="1261"/>
      <c r="H8" s="1253"/>
      <c r="I8" s="1264"/>
      <c r="J8" s="1253"/>
      <c r="K8" s="1253"/>
      <c r="L8" s="1253"/>
      <c r="M8" s="756">
        <v>2021</v>
      </c>
      <c r="N8" s="756">
        <v>2022</v>
      </c>
      <c r="O8" s="756">
        <v>2023</v>
      </c>
      <c r="P8" s="756">
        <v>2024</v>
      </c>
      <c r="Q8" s="754" t="s">
        <v>754</v>
      </c>
      <c r="R8" s="754" t="s">
        <v>755</v>
      </c>
      <c r="S8" s="754" t="s">
        <v>754</v>
      </c>
      <c r="T8" s="754" t="s">
        <v>755</v>
      </c>
      <c r="U8" s="754" t="s">
        <v>754</v>
      </c>
      <c r="V8" s="754" t="s">
        <v>755</v>
      </c>
      <c r="W8" s="754" t="s">
        <v>754</v>
      </c>
      <c r="X8" s="754" t="s">
        <v>755</v>
      </c>
      <c r="Y8" s="1266"/>
      <c r="Z8" s="1266"/>
      <c r="AA8" s="1268"/>
      <c r="AB8" s="781" t="s">
        <v>754</v>
      </c>
      <c r="AC8" s="781" t="s">
        <v>755</v>
      </c>
      <c r="AD8" s="781" t="s">
        <v>754</v>
      </c>
      <c r="AE8" s="781" t="s">
        <v>755</v>
      </c>
      <c r="AF8" s="781" t="s">
        <v>754</v>
      </c>
      <c r="AG8" s="781" t="s">
        <v>755</v>
      </c>
      <c r="AH8" s="781" t="s">
        <v>754</v>
      </c>
      <c r="AI8" s="781" t="s">
        <v>755</v>
      </c>
      <c r="AJ8" s="1250"/>
      <c r="AK8" s="1250"/>
      <c r="AL8" s="1250"/>
      <c r="AM8" s="754" t="s">
        <v>754</v>
      </c>
      <c r="AN8" s="754" t="s">
        <v>755</v>
      </c>
      <c r="AO8" s="754" t="s">
        <v>754</v>
      </c>
      <c r="AP8" s="754" t="s">
        <v>755</v>
      </c>
      <c r="AQ8" s="754" t="s">
        <v>754</v>
      </c>
      <c r="AR8" s="754" t="s">
        <v>755</v>
      </c>
      <c r="AS8" s="754" t="s">
        <v>754</v>
      </c>
      <c r="AT8" s="754" t="s">
        <v>755</v>
      </c>
      <c r="AU8" s="1266"/>
      <c r="AV8" s="1266"/>
      <c r="AW8" s="1266"/>
      <c r="AX8" s="781" t="s">
        <v>754</v>
      </c>
      <c r="AY8" s="781" t="s">
        <v>755</v>
      </c>
      <c r="AZ8" s="781" t="s">
        <v>754</v>
      </c>
      <c r="BA8" s="781" t="s">
        <v>755</v>
      </c>
      <c r="BB8" s="781" t="s">
        <v>754</v>
      </c>
      <c r="BC8" s="781" t="s">
        <v>755</v>
      </c>
      <c r="BD8" s="781" t="s">
        <v>754</v>
      </c>
      <c r="BE8" s="781" t="s">
        <v>755</v>
      </c>
      <c r="BF8" s="1250"/>
      <c r="BG8" s="1250"/>
      <c r="BH8" s="1250"/>
      <c r="BI8" s="951" t="s">
        <v>17</v>
      </c>
      <c r="BJ8" s="951" t="s">
        <v>18</v>
      </c>
      <c r="BK8" s="952" t="s">
        <v>1052</v>
      </c>
      <c r="BL8" s="1213"/>
      <c r="BM8" s="1213"/>
      <c r="BN8" s="1213"/>
      <c r="BO8" s="1207"/>
      <c r="BP8" s="929"/>
      <c r="BQ8" s="929"/>
    </row>
    <row r="9" spans="2:71" ht="103.5" customHeight="1">
      <c r="B9" s="113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29" t="str">
        <f>+'Matriz PEI 2021-2024'!C10</f>
        <v>1.1. Realizar 879.578 acciones que promuevan la defensa, garantía y restablecimiento de los derechos de las personas en el Distrito Capital.</v>
      </c>
      <c r="D9" s="1311">
        <f>+'Matriz PEI 2021-2024'!E10</f>
        <v>879578</v>
      </c>
      <c r="E9" s="1226">
        <f>+'Matriz PEI 2021-2024'!D10</f>
        <v>0.7</v>
      </c>
      <c r="F9" s="1238" t="s">
        <v>1061</v>
      </c>
      <c r="G9" s="1238" t="s">
        <v>1063</v>
      </c>
      <c r="H9" s="51" t="str">
        <f>+'1.Informe Seguimiento POA 2021'!D13</f>
        <v>1.1.1 Realizar 347.900 intervenciones dentro del ejercicio del Ministerio Público para prevenir la vulneración de derechos y/o lograr el  restablecimiento de los mismos.</v>
      </c>
      <c r="I9" s="880">
        <f>+'1.Informe Seguimiento POA 2021'!E13</f>
        <v>0.38</v>
      </c>
      <c r="J9" s="799">
        <f>+'1.Informe Seguimiento POA 2021'!F13</f>
        <v>347900</v>
      </c>
      <c r="K9" s="885" t="str">
        <f>+'1.Informe Seguimiento POA 2021'!I13</f>
        <v>Promoción y Defensa de Derechos</v>
      </c>
      <c r="L9" s="885" t="str">
        <f>+'1.Informe Seguimiento POA 2021'!J13</f>
        <v>P.D. para Asuntos Penales I, Penales II, Derechos Humanos y Policivos y Civiles
P.D. para los Sectores Planeación y Movilidad y la P.D. para los Sectores Educación y Cultura, Recreación y Deporte</v>
      </c>
      <c r="M9" s="783">
        <f>+'1.Informe Seguimiento POA 2021'!K13</f>
        <v>102150</v>
      </c>
      <c r="N9" s="783">
        <f>+'1.Informe Seguimiento POA 2021'!L13</f>
        <v>98250</v>
      </c>
      <c r="O9" s="783">
        <f>+'1.Informe Seguimiento POA 2021'!M13</f>
        <v>98250</v>
      </c>
      <c r="P9" s="783">
        <f>+'1.Informe Seguimiento POA 2021'!N13</f>
        <v>49250</v>
      </c>
      <c r="Q9" s="784">
        <f>+'1.Informe Seguimiento POA 2021'!O13</f>
        <v>22050</v>
      </c>
      <c r="R9" s="784">
        <f>+'1.Informe Seguimiento POA 2021'!P13</f>
        <v>29988</v>
      </c>
      <c r="S9" s="784">
        <f>+'1.Informe Seguimiento POA 2021'!Q13</f>
        <v>27075</v>
      </c>
      <c r="T9" s="784">
        <f>+'1.Informe Seguimiento POA 2021'!R13</f>
        <v>30354</v>
      </c>
      <c r="U9" s="784">
        <f>+'1.Informe Seguimiento POA 2021'!S13</f>
        <v>28635</v>
      </c>
      <c r="V9" s="784">
        <f>+'1.Informe Seguimiento POA 2021'!T13</f>
        <v>36860</v>
      </c>
      <c r="W9" s="784">
        <f>+'1.Informe Seguimiento POA 2021'!U13</f>
        <v>24390</v>
      </c>
      <c r="X9" s="784">
        <f>+'1.Informe Seguimiento POA 2021'!V13</f>
        <v>0</v>
      </c>
      <c r="Y9" s="784">
        <f>+'1.Informe Seguimiento POA 2021'!W13</f>
        <v>102150</v>
      </c>
      <c r="Z9" s="784">
        <f>+'1.Informe Seguimiento POA 2021'!X13</f>
        <v>97202</v>
      </c>
      <c r="AA9" s="888">
        <f>+'1.Informe Seguimiento POA 2021'!Y13</f>
        <v>0.95156142927068033</v>
      </c>
      <c r="AB9" s="785"/>
      <c r="AC9" s="785"/>
      <c r="AD9" s="785"/>
      <c r="AE9" s="785"/>
      <c r="AF9" s="785"/>
      <c r="AG9" s="785"/>
      <c r="AH9" s="785"/>
      <c r="AI9" s="785"/>
      <c r="AJ9" s="784">
        <f>+N9</f>
        <v>98250</v>
      </c>
      <c r="AK9" s="784"/>
      <c r="AL9" s="785"/>
      <c r="AM9" s="785"/>
      <c r="AN9" s="785"/>
      <c r="AO9" s="785"/>
      <c r="AP9" s="785"/>
      <c r="AQ9" s="785"/>
      <c r="AR9" s="785"/>
      <c r="AS9" s="785"/>
      <c r="AT9" s="785"/>
      <c r="AU9" s="784">
        <f>+O9</f>
        <v>98250</v>
      </c>
      <c r="AV9" s="784"/>
      <c r="AW9" s="785"/>
      <c r="AX9" s="785"/>
      <c r="AY9" s="785"/>
      <c r="AZ9" s="785"/>
      <c r="BA9" s="785"/>
      <c r="BB9" s="785"/>
      <c r="BC9" s="785"/>
      <c r="BD9" s="785"/>
      <c r="BE9" s="785"/>
      <c r="BF9" s="784">
        <f>+P9</f>
        <v>49250</v>
      </c>
      <c r="BG9" s="784"/>
      <c r="BH9" s="785"/>
      <c r="BI9" s="899">
        <f t="shared" ref="BI9:BJ15" si="0">+Q9+S9+U9</f>
        <v>77760</v>
      </c>
      <c r="BJ9" s="899">
        <f t="shared" si="0"/>
        <v>97202</v>
      </c>
      <c r="BK9" s="785">
        <f>IF(AND(BI9&gt;0),BJ9/BI9,"No programado")</f>
        <v>1.250025720164609</v>
      </c>
      <c r="BL9" s="785">
        <f>IF(AND(BJ9&gt;0,$J9&gt;0),BJ9/$J9,0)</f>
        <v>0.27939637826961772</v>
      </c>
      <c r="BM9" s="786">
        <f t="shared" ref="BM9:BM39" si="1">IF(AND(BL9&gt;0,I9&gt;0),BL9*I9,0)</f>
        <v>0.10617062374245473</v>
      </c>
      <c r="BN9" s="1270">
        <f>SUM(BM9:BM19)</f>
        <v>0.23017778546810425</v>
      </c>
      <c r="BO9" s="1191">
        <f>(IF(AND(BN9&gt;0,E9&gt;0),BN9*E9))+(IF(AND(BN20&gt;0,E20&gt;0),BN20*E20))+(IF(AND(BN26&gt;0,E26&gt;0),BN26*E26))</f>
        <v>0.23212946833855638</v>
      </c>
      <c r="BP9" s="930"/>
      <c r="BQ9" s="930"/>
    </row>
    <row r="10" spans="2:71" ht="133.19999999999999" customHeight="1">
      <c r="B10" s="1139"/>
      <c r="C10" s="1239"/>
      <c r="D10" s="1317"/>
      <c r="E10" s="1227"/>
      <c r="F10" s="1238"/>
      <c r="G10" s="1238"/>
      <c r="H10" s="51" t="str">
        <f>+'1.Informe Seguimiento POA 2021'!D14</f>
        <v>1.1.2 Orientar 269.700 personas en garantía de derechos.</v>
      </c>
      <c r="I10" s="880">
        <f>+'1.Informe Seguimiento POA 2021'!E14</f>
        <v>0.3</v>
      </c>
      <c r="J10" s="799">
        <f>+'1.Informe Seguimiento POA 2021'!F14</f>
        <v>269700</v>
      </c>
      <c r="K10" s="885" t="str">
        <f>+'1.Informe Seguimiento POA 2021'!I14</f>
        <v>Promoción y Defensa de Derechos</v>
      </c>
      <c r="L10" s="885" t="str">
        <f>+'1.Informe Seguimiento POA 2021'!J14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783">
        <f>+'1.Informe Seguimiento POA 2021'!K14</f>
        <v>76200</v>
      </c>
      <c r="N10" s="783">
        <f>+'1.Informe Seguimiento POA 2021'!L14</f>
        <v>76600</v>
      </c>
      <c r="O10" s="783">
        <f>+'1.Informe Seguimiento POA 2021'!M14</f>
        <v>76600</v>
      </c>
      <c r="P10" s="783">
        <f>+'1.Informe Seguimiento POA 2021'!N14</f>
        <v>40300</v>
      </c>
      <c r="Q10" s="784">
        <f>+'1.Informe Seguimiento POA 2021'!O14</f>
        <v>17420</v>
      </c>
      <c r="R10" s="784">
        <f>+'1.Informe Seguimiento POA 2021'!P14</f>
        <v>17308</v>
      </c>
      <c r="S10" s="784">
        <f>+'1.Informe Seguimiento POA 2021'!Q14</f>
        <v>19380</v>
      </c>
      <c r="T10" s="784">
        <f>+'1.Informe Seguimiento POA 2021'!R14</f>
        <v>18431</v>
      </c>
      <c r="U10" s="784">
        <f>+'1.Informe Seguimiento POA 2021'!S14</f>
        <v>20444</v>
      </c>
      <c r="V10" s="784">
        <f>+'1.Informe Seguimiento POA 2021'!T14</f>
        <v>28295</v>
      </c>
      <c r="W10" s="784">
        <f>+'1.Informe Seguimiento POA 2021'!U14</f>
        <v>18956</v>
      </c>
      <c r="X10" s="784">
        <f>+'1.Informe Seguimiento POA 2021'!V14</f>
        <v>0</v>
      </c>
      <c r="Y10" s="784">
        <f>+'1.Informe Seguimiento POA 2021'!W14</f>
        <v>76200</v>
      </c>
      <c r="Z10" s="784">
        <f>+'1.Informe Seguimiento POA 2021'!X14</f>
        <v>64034</v>
      </c>
      <c r="AA10" s="888">
        <f>+'1.Informe Seguimiento POA 2021'!Y14</f>
        <v>0.84034120734908135</v>
      </c>
      <c r="AB10" s="785"/>
      <c r="AC10" s="785"/>
      <c r="AD10" s="785"/>
      <c r="AE10" s="785"/>
      <c r="AF10" s="785"/>
      <c r="AG10" s="785"/>
      <c r="AH10" s="785"/>
      <c r="AI10" s="785"/>
      <c r="AJ10" s="784">
        <f t="shared" ref="AJ10:AJ29" si="2">+N10</f>
        <v>76600</v>
      </c>
      <c r="AK10" s="784"/>
      <c r="AL10" s="785"/>
      <c r="AM10" s="785"/>
      <c r="AN10" s="785"/>
      <c r="AO10" s="785"/>
      <c r="AP10" s="785"/>
      <c r="AQ10" s="785"/>
      <c r="AR10" s="785"/>
      <c r="AS10" s="785"/>
      <c r="AT10" s="785"/>
      <c r="AU10" s="784">
        <f t="shared" ref="AU10:AU29" si="3">+O10</f>
        <v>76600</v>
      </c>
      <c r="AV10" s="784"/>
      <c r="AW10" s="785"/>
      <c r="AX10" s="785"/>
      <c r="AY10" s="785"/>
      <c r="AZ10" s="785"/>
      <c r="BA10" s="785"/>
      <c r="BB10" s="785"/>
      <c r="BC10" s="785"/>
      <c r="BD10" s="785"/>
      <c r="BE10" s="785"/>
      <c r="BF10" s="784">
        <f t="shared" ref="BF10:BF29" si="4">+P10</f>
        <v>40300</v>
      </c>
      <c r="BG10" s="784"/>
      <c r="BH10" s="785"/>
      <c r="BI10" s="899">
        <f t="shared" si="0"/>
        <v>57244</v>
      </c>
      <c r="BJ10" s="899">
        <f t="shared" si="0"/>
        <v>64034</v>
      </c>
      <c r="BK10" s="785">
        <f t="shared" ref="BK10:BK26" si="5">IF(AND(BI10&gt;0),BJ10/BI10,"No programado")</f>
        <v>1.1186150513590944</v>
      </c>
      <c r="BL10" s="785">
        <f t="shared" ref="BL10:BL57" si="6">IF(AND(BJ10&gt;0,$J10&gt;0),BJ10/$J10,0)</f>
        <v>0.23742677048572489</v>
      </c>
      <c r="BM10" s="786">
        <f t="shared" si="1"/>
        <v>7.1228031145717463E-2</v>
      </c>
      <c r="BN10" s="1168"/>
      <c r="BO10" s="1191"/>
      <c r="BP10" s="930"/>
      <c r="BQ10" s="930"/>
    </row>
    <row r="11" spans="2:71" ht="185.25" customHeight="1">
      <c r="B11" s="1139"/>
      <c r="C11" s="1239"/>
      <c r="D11" s="1317"/>
      <c r="E11" s="1227"/>
      <c r="F11" s="1238"/>
      <c r="G11" s="1238"/>
      <c r="H11" s="51" t="str">
        <f>+'1.Informe Seguimiento POA 2021'!D15</f>
        <v>1.1.3 Asistir 130.545 personas en garantía de derechos.</v>
      </c>
      <c r="I11" s="880">
        <f>+'1.Informe Seguimiento POA 2021'!E15</f>
        <v>0.15</v>
      </c>
      <c r="J11" s="799">
        <f>+'1.Informe Seguimiento POA 2021'!F15</f>
        <v>130545</v>
      </c>
      <c r="K11" s="885" t="str">
        <f>+'1.Informe Seguimiento POA 2021'!I15</f>
        <v>Promoción y Defensa de Derechos</v>
      </c>
      <c r="L11" s="885" t="str">
        <f>+'1.Informe Seguimiento POA 2021'!J15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783">
        <f>+'1.Informe Seguimiento POA 2021'!K15</f>
        <v>28545</v>
      </c>
      <c r="N11" s="783">
        <f>+'1.Informe Seguimiento POA 2021'!L15</f>
        <v>39200</v>
      </c>
      <c r="O11" s="783">
        <f>+'1.Informe Seguimiento POA 2021'!M15</f>
        <v>39200</v>
      </c>
      <c r="P11" s="783">
        <f>+'1.Informe Seguimiento POA 2021'!N15</f>
        <v>23600</v>
      </c>
      <c r="Q11" s="784">
        <f>+'1.Informe Seguimiento POA 2021'!O15</f>
        <v>8750</v>
      </c>
      <c r="R11" s="784">
        <f>+'1.Informe Seguimiento POA 2021'!P15</f>
        <v>4414</v>
      </c>
      <c r="S11" s="784">
        <f>+'1.Informe Seguimiento POA 2021'!Q15</f>
        <v>10350</v>
      </c>
      <c r="T11" s="784">
        <f>+'1.Informe Seguimiento POA 2021'!R15</f>
        <v>6018</v>
      </c>
      <c r="U11" s="784">
        <f>+'1.Informe Seguimiento POA 2021'!S15</f>
        <v>6260</v>
      </c>
      <c r="V11" s="784">
        <f>+'1.Informe Seguimiento POA 2021'!T15</f>
        <v>8637</v>
      </c>
      <c r="W11" s="784">
        <f>+'1.Informe Seguimiento POA 2021'!U15</f>
        <v>3185</v>
      </c>
      <c r="X11" s="784">
        <f>+'1.Informe Seguimiento POA 2021'!V15</f>
        <v>0</v>
      </c>
      <c r="Y11" s="784">
        <f>+'1.Informe Seguimiento POA 2021'!W15</f>
        <v>28545</v>
      </c>
      <c r="Z11" s="784">
        <f>+'1.Informe Seguimiento POA 2021'!X15</f>
        <v>19069</v>
      </c>
      <c r="AA11" s="888">
        <f>+'1.Informe Seguimiento POA 2021'!Y15</f>
        <v>0.66803293046067613</v>
      </c>
      <c r="AB11" s="785"/>
      <c r="AC11" s="785"/>
      <c r="AD11" s="785"/>
      <c r="AE11" s="785"/>
      <c r="AF11" s="785"/>
      <c r="AG11" s="785"/>
      <c r="AH11" s="785"/>
      <c r="AI11" s="785"/>
      <c r="AJ11" s="784">
        <f t="shared" si="2"/>
        <v>39200</v>
      </c>
      <c r="AK11" s="784"/>
      <c r="AL11" s="785"/>
      <c r="AM11" s="785"/>
      <c r="AN11" s="785"/>
      <c r="AO11" s="785"/>
      <c r="AP11" s="785"/>
      <c r="AQ11" s="785"/>
      <c r="AR11" s="785"/>
      <c r="AS11" s="785"/>
      <c r="AT11" s="785"/>
      <c r="AU11" s="784">
        <f t="shared" si="3"/>
        <v>39200</v>
      </c>
      <c r="AV11" s="784"/>
      <c r="AW11" s="785"/>
      <c r="AX11" s="785"/>
      <c r="AY11" s="785"/>
      <c r="AZ11" s="785"/>
      <c r="BA11" s="785"/>
      <c r="BB11" s="785"/>
      <c r="BC11" s="785"/>
      <c r="BD11" s="785"/>
      <c r="BE11" s="785"/>
      <c r="BF11" s="784">
        <f t="shared" si="4"/>
        <v>23600</v>
      </c>
      <c r="BG11" s="784"/>
      <c r="BH11" s="785"/>
      <c r="BI11" s="899">
        <f t="shared" si="0"/>
        <v>25360</v>
      </c>
      <c r="BJ11" s="899">
        <f t="shared" si="0"/>
        <v>19069</v>
      </c>
      <c r="BK11" s="785">
        <f t="shared" si="5"/>
        <v>0.75193217665615142</v>
      </c>
      <c r="BL11" s="785">
        <f t="shared" si="6"/>
        <v>0.14607223562756139</v>
      </c>
      <c r="BM11" s="786">
        <f t="shared" si="1"/>
        <v>2.1910835344134207E-2</v>
      </c>
      <c r="BN11" s="1168"/>
      <c r="BO11" s="1191"/>
      <c r="BP11" s="930"/>
      <c r="BQ11" s="930"/>
    </row>
    <row r="12" spans="2:71" ht="94.95" customHeight="1">
      <c r="B12" s="1139"/>
      <c r="C12" s="1239"/>
      <c r="D12" s="1317"/>
      <c r="E12" s="1227"/>
      <c r="F12" s="1238"/>
      <c r="G12" s="1238"/>
      <c r="H12" s="51" t="str">
        <f>+'1.Informe Seguimiento POA 2021'!D16</f>
        <v>1.1.4 Asistir a 32.186 personas en mecanismos alternativos de solución de conflictos.</v>
      </c>
      <c r="I12" s="880">
        <f>+'1.Informe Seguimiento POA 2021'!E16</f>
        <v>0.04</v>
      </c>
      <c r="J12" s="799">
        <f>+'1.Informe Seguimiento POA 2021'!F16</f>
        <v>32186</v>
      </c>
      <c r="K12" s="885" t="str">
        <f>+'1.Informe Seguimiento POA 2021'!I16</f>
        <v>Promoción y Defensa de Derechos</v>
      </c>
      <c r="L12" s="885" t="str">
        <f>+'1.Informe Seguimiento POA 2021'!J16</f>
        <v>Dirección de Conciliación y M.A.S.C.</v>
      </c>
      <c r="M12" s="783">
        <f>+'1.Informe Seguimiento POA 2021'!K16</f>
        <v>6810</v>
      </c>
      <c r="N12" s="783">
        <f>+'1.Informe Seguimiento POA 2021'!L16</f>
        <v>10500</v>
      </c>
      <c r="O12" s="783">
        <f>+'1.Informe Seguimiento POA 2021'!M16</f>
        <v>10500</v>
      </c>
      <c r="P12" s="783">
        <f>+'1.Informe Seguimiento POA 2021'!N16</f>
        <v>4376</v>
      </c>
      <c r="Q12" s="784">
        <f>+'1.Informe Seguimiento POA 2021'!O16</f>
        <v>2420</v>
      </c>
      <c r="R12" s="784">
        <f>+'1.Informe Seguimiento POA 2021'!P16</f>
        <v>1338</v>
      </c>
      <c r="S12" s="784">
        <f>+'1.Informe Seguimiento POA 2021'!Q16</f>
        <v>2730</v>
      </c>
      <c r="T12" s="784">
        <f>+'1.Informe Seguimiento POA 2021'!R16</f>
        <v>1814</v>
      </c>
      <c r="U12" s="784">
        <f>+'1.Informe Seguimiento POA 2021'!S16</f>
        <v>1210</v>
      </c>
      <c r="V12" s="784">
        <f>+'1.Informe Seguimiento POA 2021'!T16</f>
        <v>2484</v>
      </c>
      <c r="W12" s="784">
        <f>+'1.Informe Seguimiento POA 2021'!U16</f>
        <v>450</v>
      </c>
      <c r="X12" s="784">
        <f>+'1.Informe Seguimiento POA 2021'!V16</f>
        <v>0</v>
      </c>
      <c r="Y12" s="784">
        <f>+'1.Informe Seguimiento POA 2021'!W16</f>
        <v>6810</v>
      </c>
      <c r="Z12" s="784">
        <f>+'1.Informe Seguimiento POA 2021'!X16</f>
        <v>5636</v>
      </c>
      <c r="AA12" s="888">
        <f>+'1.Informe Seguimiento POA 2021'!Y16</f>
        <v>0.82760646108663727</v>
      </c>
      <c r="AB12" s="785"/>
      <c r="AC12" s="785"/>
      <c r="AD12" s="785"/>
      <c r="AE12" s="785"/>
      <c r="AF12" s="785"/>
      <c r="AG12" s="785"/>
      <c r="AH12" s="785"/>
      <c r="AI12" s="785"/>
      <c r="AJ12" s="784">
        <f t="shared" si="2"/>
        <v>10500</v>
      </c>
      <c r="AK12" s="784"/>
      <c r="AL12" s="785"/>
      <c r="AM12" s="785"/>
      <c r="AN12" s="785"/>
      <c r="AO12" s="785"/>
      <c r="AP12" s="785"/>
      <c r="AQ12" s="785"/>
      <c r="AR12" s="785"/>
      <c r="AS12" s="785"/>
      <c r="AT12" s="785"/>
      <c r="AU12" s="784">
        <f t="shared" si="3"/>
        <v>10500</v>
      </c>
      <c r="AV12" s="784"/>
      <c r="AW12" s="785"/>
      <c r="AX12" s="785"/>
      <c r="AY12" s="785"/>
      <c r="AZ12" s="785"/>
      <c r="BA12" s="785"/>
      <c r="BB12" s="785"/>
      <c r="BC12" s="785"/>
      <c r="BD12" s="785"/>
      <c r="BE12" s="785"/>
      <c r="BF12" s="784">
        <f t="shared" si="4"/>
        <v>4376</v>
      </c>
      <c r="BG12" s="784"/>
      <c r="BH12" s="785"/>
      <c r="BI12" s="899">
        <f t="shared" si="0"/>
        <v>6360</v>
      </c>
      <c r="BJ12" s="899">
        <f t="shared" si="0"/>
        <v>5636</v>
      </c>
      <c r="BK12" s="785">
        <f t="shared" si="5"/>
        <v>0.88616352201257864</v>
      </c>
      <c r="BL12" s="785">
        <f t="shared" si="6"/>
        <v>0.17510718946125645</v>
      </c>
      <c r="BM12" s="786">
        <f t="shared" si="1"/>
        <v>7.0042875784502578E-3</v>
      </c>
      <c r="BN12" s="1168"/>
      <c r="BO12" s="1191"/>
      <c r="BP12" s="930"/>
      <c r="BQ12" s="930"/>
    </row>
    <row r="13" spans="2:71" ht="136.5" customHeight="1">
      <c r="B13" s="1139"/>
      <c r="C13" s="1239"/>
      <c r="D13" s="1317"/>
      <c r="E13" s="1227"/>
      <c r="F13" s="1238"/>
      <c r="G13" s="1238"/>
      <c r="H13" s="51" t="str">
        <f>+'1.Informe Seguimiento POA 2021'!D17</f>
        <v>1.1.5 Atender y gestionar 64.307 peticiones y/o requerimientos presentados por la comunidad en garantía de derechos.</v>
      </c>
      <c r="I13" s="880">
        <f>+'1.Informe Seguimiento POA 2021'!E17</f>
        <v>0.06</v>
      </c>
      <c r="J13" s="799">
        <f>+'1.Informe Seguimiento POA 2021'!F17</f>
        <v>64307</v>
      </c>
      <c r="K13" s="885" t="str">
        <f>+'1.Informe Seguimiento POA 2021'!I17</f>
        <v>Promoción y Defensa de Derechos</v>
      </c>
      <c r="L13" s="885" t="str">
        <f>+'1.Informe Seguimiento POA 2021'!J17</f>
        <v>P.D. para la Coordinación del MP y DDHH, P.D. para Asuntos Penales I, Penales II, Policivos y Civiles, Derechos Humanos, Familia y Orientación y Asistencia.
P.D. para la Coordinación de la Gestión de Personerías Locales y sus Personerías Locales adscritas</v>
      </c>
      <c r="M13" s="783">
        <f>+'1.Informe Seguimiento POA 2021'!K17</f>
        <v>17807</v>
      </c>
      <c r="N13" s="783">
        <f>+'1.Informe Seguimiento POA 2021'!L17</f>
        <v>21200</v>
      </c>
      <c r="O13" s="783">
        <f>+'1.Informe Seguimiento POA 2021'!M17</f>
        <v>21200</v>
      </c>
      <c r="P13" s="783">
        <f>+'1.Informe Seguimiento POA 2021'!N17</f>
        <v>4100</v>
      </c>
      <c r="Q13" s="784">
        <f>+'1.Informe Seguimiento POA 2021'!O17</f>
        <v>3520</v>
      </c>
      <c r="R13" s="784">
        <f>+'1.Informe Seguimiento POA 2021'!P17</f>
        <v>2602</v>
      </c>
      <c r="S13" s="784">
        <f>+'1.Informe Seguimiento POA 2021'!Q17</f>
        <v>4530</v>
      </c>
      <c r="T13" s="784">
        <f>+'1.Informe Seguimiento POA 2021'!R17</f>
        <v>4847</v>
      </c>
      <c r="U13" s="784">
        <f>+'1.Informe Seguimiento POA 2021'!S17</f>
        <v>5182</v>
      </c>
      <c r="V13" s="784">
        <f>+'1.Informe Seguimiento POA 2021'!T17</f>
        <v>3793</v>
      </c>
      <c r="W13" s="784">
        <f>+'1.Informe Seguimiento POA 2021'!U17</f>
        <v>4575</v>
      </c>
      <c r="X13" s="784">
        <f>+'1.Informe Seguimiento POA 2021'!V17</f>
        <v>0</v>
      </c>
      <c r="Y13" s="784">
        <f>+'1.Informe Seguimiento POA 2021'!W17</f>
        <v>17807</v>
      </c>
      <c r="Z13" s="784">
        <f>+'1.Informe Seguimiento POA 2021'!X17</f>
        <v>11242</v>
      </c>
      <c r="AA13" s="888">
        <f>+'1.Informe Seguimiento POA 2021'!Y17</f>
        <v>0.63132475992587189</v>
      </c>
      <c r="AB13" s="785"/>
      <c r="AC13" s="785"/>
      <c r="AD13" s="785"/>
      <c r="AE13" s="785"/>
      <c r="AF13" s="785"/>
      <c r="AG13" s="785"/>
      <c r="AH13" s="785"/>
      <c r="AI13" s="785"/>
      <c r="AJ13" s="784">
        <f t="shared" si="2"/>
        <v>21200</v>
      </c>
      <c r="AK13" s="784"/>
      <c r="AL13" s="785"/>
      <c r="AM13" s="785"/>
      <c r="AN13" s="785"/>
      <c r="AO13" s="785"/>
      <c r="AP13" s="785"/>
      <c r="AQ13" s="785"/>
      <c r="AR13" s="785"/>
      <c r="AS13" s="785"/>
      <c r="AT13" s="785"/>
      <c r="AU13" s="784">
        <f t="shared" si="3"/>
        <v>21200</v>
      </c>
      <c r="AV13" s="784"/>
      <c r="AW13" s="785"/>
      <c r="AX13" s="785"/>
      <c r="AY13" s="785"/>
      <c r="AZ13" s="785"/>
      <c r="BA13" s="785"/>
      <c r="BB13" s="785"/>
      <c r="BC13" s="785"/>
      <c r="BD13" s="785"/>
      <c r="BE13" s="785"/>
      <c r="BF13" s="784">
        <f t="shared" si="4"/>
        <v>4100</v>
      </c>
      <c r="BG13" s="784"/>
      <c r="BH13" s="785"/>
      <c r="BI13" s="899">
        <f t="shared" si="0"/>
        <v>13232</v>
      </c>
      <c r="BJ13" s="899">
        <f t="shared" si="0"/>
        <v>11242</v>
      </c>
      <c r="BK13" s="785">
        <f t="shared" si="5"/>
        <v>0.84960701330108823</v>
      </c>
      <c r="BL13" s="785">
        <f t="shared" si="6"/>
        <v>0.17481767148210925</v>
      </c>
      <c r="BM13" s="786">
        <f t="shared" si="1"/>
        <v>1.0489060288926554E-2</v>
      </c>
      <c r="BN13" s="1168"/>
      <c r="BO13" s="1191"/>
      <c r="BP13" s="930"/>
      <c r="BQ13" s="930"/>
    </row>
    <row r="14" spans="2:71" ht="96" customHeight="1">
      <c r="B14" s="1139"/>
      <c r="C14" s="1239"/>
      <c r="D14" s="1317"/>
      <c r="E14" s="1227"/>
      <c r="F14" s="1238"/>
      <c r="G14" s="1238"/>
      <c r="H14" s="51" t="str">
        <f>+'1.Informe Seguimiento POA 2021'!D18</f>
        <v>1.1.6 Generar 80 espacios de mejora, de transferencia de conocimientos y buenas prácticas que permitan brindar una atención idónea a las personas que acuden a la Personería de Bogotá, D. C</v>
      </c>
      <c r="I14" s="880">
        <f>+'1.Informe Seguimiento POA 2021'!E18</f>
        <v>0.01</v>
      </c>
      <c r="J14" s="799">
        <f>+'1.Informe Seguimiento POA 2021'!F18</f>
        <v>80</v>
      </c>
      <c r="K14" s="885" t="str">
        <f>+'1.Informe Seguimiento POA 2021'!I18</f>
        <v>Promoción y Defensa de Derechos</v>
      </c>
      <c r="L14" s="885" t="str">
        <f>+'1.Informe Seguimiento POA 2021'!J18</f>
        <v>P.D. para la Coordinación del MP y DDHH y sus dependencias adscritas.</v>
      </c>
      <c r="M14" s="783">
        <f>+'1.Informe Seguimiento POA 2021'!K18</f>
        <v>20</v>
      </c>
      <c r="N14" s="783">
        <f>+'1.Informe Seguimiento POA 2021'!L18</f>
        <v>20</v>
      </c>
      <c r="O14" s="783">
        <f>+'1.Informe Seguimiento POA 2021'!M18</f>
        <v>20</v>
      </c>
      <c r="P14" s="783">
        <f>+'1.Informe Seguimiento POA 2021'!N18</f>
        <v>20</v>
      </c>
      <c r="Q14" s="784">
        <f>+'1.Informe Seguimiento POA 2021'!O18</f>
        <v>5</v>
      </c>
      <c r="R14" s="784">
        <f>+'1.Informe Seguimiento POA 2021'!P18</f>
        <v>1</v>
      </c>
      <c r="S14" s="784">
        <f>+'1.Informe Seguimiento POA 2021'!Q18</f>
        <v>15</v>
      </c>
      <c r="T14" s="784">
        <f>+'1.Informe Seguimiento POA 2021'!R18</f>
        <v>10</v>
      </c>
      <c r="U14" s="784">
        <f>+'1.Informe Seguimiento POA 2021'!S18</f>
        <v>0</v>
      </c>
      <c r="V14" s="784">
        <f>+'1.Informe Seguimiento POA 2021'!T18</f>
        <v>6</v>
      </c>
      <c r="W14" s="784">
        <f>+'1.Informe Seguimiento POA 2021'!U18</f>
        <v>0</v>
      </c>
      <c r="X14" s="784">
        <f>+'1.Informe Seguimiento POA 2021'!V18</f>
        <v>0</v>
      </c>
      <c r="Y14" s="784">
        <f>+'1.Informe Seguimiento POA 2021'!W18</f>
        <v>20</v>
      </c>
      <c r="Z14" s="784">
        <f>+'1.Informe Seguimiento POA 2021'!X18</f>
        <v>17</v>
      </c>
      <c r="AA14" s="888">
        <f>+'1.Informe Seguimiento POA 2021'!Y18</f>
        <v>0.85</v>
      </c>
      <c r="AB14" s="785"/>
      <c r="AC14" s="785"/>
      <c r="AD14" s="785"/>
      <c r="AE14" s="785"/>
      <c r="AF14" s="785"/>
      <c r="AG14" s="785"/>
      <c r="AH14" s="785"/>
      <c r="AI14" s="785"/>
      <c r="AJ14" s="784">
        <f t="shared" si="2"/>
        <v>20</v>
      </c>
      <c r="AK14" s="784"/>
      <c r="AL14" s="785"/>
      <c r="AM14" s="785"/>
      <c r="AN14" s="785"/>
      <c r="AO14" s="785"/>
      <c r="AP14" s="785"/>
      <c r="AQ14" s="785"/>
      <c r="AR14" s="785"/>
      <c r="AS14" s="785"/>
      <c r="AT14" s="785"/>
      <c r="AU14" s="784">
        <f t="shared" si="3"/>
        <v>20</v>
      </c>
      <c r="AV14" s="784"/>
      <c r="AW14" s="785"/>
      <c r="AX14" s="785"/>
      <c r="AY14" s="785"/>
      <c r="AZ14" s="785"/>
      <c r="BA14" s="785"/>
      <c r="BB14" s="785"/>
      <c r="BC14" s="785"/>
      <c r="BD14" s="785"/>
      <c r="BE14" s="785"/>
      <c r="BF14" s="784">
        <f t="shared" si="4"/>
        <v>20</v>
      </c>
      <c r="BG14" s="784"/>
      <c r="BH14" s="785"/>
      <c r="BI14" s="899">
        <f t="shared" si="0"/>
        <v>20</v>
      </c>
      <c r="BJ14" s="899">
        <f t="shared" si="0"/>
        <v>17</v>
      </c>
      <c r="BK14" s="785">
        <f t="shared" si="5"/>
        <v>0.85</v>
      </c>
      <c r="BL14" s="785">
        <f t="shared" si="6"/>
        <v>0.21249999999999999</v>
      </c>
      <c r="BM14" s="786">
        <f t="shared" si="1"/>
        <v>2.1250000000000002E-3</v>
      </c>
      <c r="BN14" s="1168"/>
      <c r="BO14" s="1191"/>
      <c r="BP14" s="930"/>
      <c r="BQ14" s="930"/>
    </row>
    <row r="15" spans="2:71" ht="115.2" customHeight="1">
      <c r="B15" s="1139"/>
      <c r="C15" s="1239"/>
      <c r="D15" s="1317"/>
      <c r="E15" s="1227"/>
      <c r="F15" s="1238"/>
      <c r="G15" s="1238"/>
      <c r="H15" s="51" t="str">
        <f>+'1.Informe Seguimiento POA 2021'!D20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I15" s="880">
        <f>+'1.Informe Seguimiento POA 2021'!E20</f>
        <v>0.02</v>
      </c>
      <c r="J15" s="782">
        <f>+'1.Informe Seguimiento POA 2021'!F20</f>
        <v>20000</v>
      </c>
      <c r="K15" s="885" t="str">
        <f>+'1.Informe Seguimiento POA 2021'!I20</f>
        <v>Promoción y Defensa de Derechos</v>
      </c>
      <c r="L15" s="885" t="str">
        <f>+'1.Informe Seguimiento POA 2021'!J20</f>
        <v>P.D. para la Coordinación de la Gestión de Personerías Locales y sus Personerías Locales adscritas</v>
      </c>
      <c r="M15" s="783">
        <f>+'1.Informe Seguimiento POA 2021'!K20</f>
        <v>5000</v>
      </c>
      <c r="N15" s="783">
        <f>+'1.Informe Seguimiento POA 2021'!L20</f>
        <v>6500</v>
      </c>
      <c r="O15" s="783">
        <f>+'1.Informe Seguimiento POA 2021'!M20</f>
        <v>6500</v>
      </c>
      <c r="P15" s="783">
        <f>+'1.Informe Seguimiento POA 2021'!N20</f>
        <v>2000</v>
      </c>
      <c r="Q15" s="784">
        <f>+'1.Informe Seguimiento POA 2021'!O20</f>
        <v>1020</v>
      </c>
      <c r="R15" s="784">
        <f>+'1.Informe Seguimiento POA 2021'!P20</f>
        <v>977</v>
      </c>
      <c r="S15" s="784">
        <f>+'1.Informe Seguimiento POA 2021'!Q20</f>
        <v>1380</v>
      </c>
      <c r="T15" s="784">
        <f>+'1.Informe Seguimiento POA 2021'!R20</f>
        <v>1846</v>
      </c>
      <c r="U15" s="784">
        <f>+'1.Informe Seguimiento POA 2021'!S20</f>
        <v>1380</v>
      </c>
      <c r="V15" s="784">
        <f>+'1.Informe Seguimiento POA 2021'!T20</f>
        <v>1748</v>
      </c>
      <c r="W15" s="784">
        <f>+'1.Informe Seguimiento POA 2021'!U20</f>
        <v>1220</v>
      </c>
      <c r="X15" s="784">
        <f>+'1.Informe Seguimiento POA 2021'!V20</f>
        <v>0</v>
      </c>
      <c r="Y15" s="784">
        <f>+'1.Informe Seguimiento POA 2021'!W20</f>
        <v>5000</v>
      </c>
      <c r="Z15" s="784">
        <f>+'1.Informe Seguimiento POA 2021'!X20</f>
        <v>4571</v>
      </c>
      <c r="AA15" s="888">
        <f>+'1.Informe Seguimiento POA 2021'!Y20</f>
        <v>0.91420000000000001</v>
      </c>
      <c r="AB15" s="785"/>
      <c r="AC15" s="785"/>
      <c r="AD15" s="785"/>
      <c r="AE15" s="785"/>
      <c r="AF15" s="785"/>
      <c r="AG15" s="785"/>
      <c r="AH15" s="785"/>
      <c r="AI15" s="785"/>
      <c r="AJ15" s="784">
        <f t="shared" si="2"/>
        <v>6500</v>
      </c>
      <c r="AK15" s="784"/>
      <c r="AL15" s="785"/>
      <c r="AM15" s="785"/>
      <c r="AN15" s="785"/>
      <c r="AO15" s="785"/>
      <c r="AP15" s="785"/>
      <c r="AQ15" s="785"/>
      <c r="AR15" s="785"/>
      <c r="AS15" s="785"/>
      <c r="AT15" s="785"/>
      <c r="AU15" s="784">
        <f t="shared" si="3"/>
        <v>6500</v>
      </c>
      <c r="AV15" s="784"/>
      <c r="AW15" s="785"/>
      <c r="AX15" s="785"/>
      <c r="AY15" s="785"/>
      <c r="AZ15" s="785"/>
      <c r="BA15" s="785"/>
      <c r="BB15" s="785"/>
      <c r="BC15" s="785"/>
      <c r="BD15" s="785"/>
      <c r="BE15" s="785"/>
      <c r="BF15" s="784">
        <f t="shared" si="4"/>
        <v>2000</v>
      </c>
      <c r="BG15" s="784"/>
      <c r="BH15" s="785"/>
      <c r="BI15" s="899">
        <f t="shared" si="0"/>
        <v>3780</v>
      </c>
      <c r="BJ15" s="899">
        <f t="shared" si="0"/>
        <v>4571</v>
      </c>
      <c r="BK15" s="785">
        <f>IF(AND(BI15&gt;0),BJ15/BI15,"No programado")</f>
        <v>1.2092592592592593</v>
      </c>
      <c r="BL15" s="785">
        <f t="shared" si="6"/>
        <v>0.22855</v>
      </c>
      <c r="BM15" s="786">
        <f t="shared" si="1"/>
        <v>4.5710000000000004E-3</v>
      </c>
      <c r="BN15" s="1168"/>
      <c r="BO15" s="1191"/>
      <c r="BP15" s="930"/>
      <c r="BQ15" s="930"/>
    </row>
    <row r="16" spans="2:71" ht="121.5" customHeight="1">
      <c r="B16" s="1139"/>
      <c r="C16" s="1239"/>
      <c r="D16" s="1317"/>
      <c r="E16" s="1227"/>
      <c r="F16" s="1238"/>
      <c r="G16" s="1238"/>
      <c r="H16" s="51" t="str">
        <f>+'1.Informe Seguimiento POA 2021'!D21</f>
        <v>1.1.9 Realizar 12.000 intervenciones de manera oportuna para evitar situaciones de caducidad y perdida de fuerza ejecutoria en las actuaciones administrativas y policivas</v>
      </c>
      <c r="I16" s="147">
        <f>+'1.Informe Seguimiento POA 2021'!E21</f>
        <v>0.01</v>
      </c>
      <c r="J16" s="782">
        <f>+'1.Informe Seguimiento POA 2021'!F21</f>
        <v>12000</v>
      </c>
      <c r="K16" s="885" t="str">
        <f>+'1.Informe Seguimiento POA 2021'!I21</f>
        <v>Promoción y Defensa de Derechos</v>
      </c>
      <c r="L16" s="885" t="str">
        <f>+'1.Informe Seguimiento POA 2021'!J21</f>
        <v>P.D. para la Coordinación de la Gestión de Personerías Locales y sus Personerías Locales adscritas</v>
      </c>
      <c r="M16" s="783">
        <f>+'1.Informe Seguimiento POA 2021'!K21</f>
        <v>3000</v>
      </c>
      <c r="N16" s="783">
        <f>+'1.Informe Seguimiento POA 2021'!L21</f>
        <v>4000</v>
      </c>
      <c r="O16" s="783">
        <f>+'1.Informe Seguimiento POA 2021'!M21</f>
        <v>4000</v>
      </c>
      <c r="P16" s="783">
        <f>+'1.Informe Seguimiento POA 2021'!N21</f>
        <v>1000</v>
      </c>
      <c r="Q16" s="784">
        <f>+'1.Informe Seguimiento POA 2021'!O21</f>
        <v>640</v>
      </c>
      <c r="R16" s="784">
        <f>+'1.Informe Seguimiento POA 2021'!P21</f>
        <v>488</v>
      </c>
      <c r="S16" s="784">
        <f>+'1.Informe Seguimiento POA 2021'!Q21</f>
        <v>810</v>
      </c>
      <c r="T16" s="784">
        <f>+'1.Informe Seguimiento POA 2021'!R21</f>
        <v>1360</v>
      </c>
      <c r="U16" s="784">
        <f>+'1.Informe Seguimiento POA 2021'!S21</f>
        <v>810</v>
      </c>
      <c r="V16" s="784">
        <f>+'1.Informe Seguimiento POA 2021'!T21</f>
        <v>1087</v>
      </c>
      <c r="W16" s="784">
        <f>+'1.Informe Seguimiento POA 2021'!U21</f>
        <v>740</v>
      </c>
      <c r="X16" s="784">
        <f>+'1.Informe Seguimiento POA 2021'!V21</f>
        <v>0</v>
      </c>
      <c r="Y16" s="784">
        <f>+'1.Informe Seguimiento POA 2021'!W21</f>
        <v>3000</v>
      </c>
      <c r="Z16" s="784">
        <f>+'1.Informe Seguimiento POA 2021'!X21</f>
        <v>2935</v>
      </c>
      <c r="AA16" s="888">
        <f>+'1.Informe Seguimiento POA 2021'!Y21</f>
        <v>0.97833333333333339</v>
      </c>
      <c r="AB16" s="785"/>
      <c r="AC16" s="785"/>
      <c r="AD16" s="785"/>
      <c r="AE16" s="785"/>
      <c r="AF16" s="785"/>
      <c r="AG16" s="785"/>
      <c r="AH16" s="785"/>
      <c r="AI16" s="785"/>
      <c r="AJ16" s="784">
        <f t="shared" si="2"/>
        <v>4000</v>
      </c>
      <c r="AK16" s="784"/>
      <c r="AL16" s="785"/>
      <c r="AM16" s="785"/>
      <c r="AN16" s="785"/>
      <c r="AO16" s="785"/>
      <c r="AP16" s="785"/>
      <c r="AQ16" s="785"/>
      <c r="AR16" s="785"/>
      <c r="AS16" s="785"/>
      <c r="AT16" s="785"/>
      <c r="AU16" s="784">
        <f t="shared" si="3"/>
        <v>4000</v>
      </c>
      <c r="AV16" s="784"/>
      <c r="AW16" s="785"/>
      <c r="AX16" s="785"/>
      <c r="AY16" s="785"/>
      <c r="AZ16" s="785"/>
      <c r="BA16" s="785"/>
      <c r="BB16" s="785"/>
      <c r="BC16" s="785"/>
      <c r="BD16" s="785"/>
      <c r="BE16" s="785"/>
      <c r="BF16" s="784">
        <f t="shared" si="4"/>
        <v>1000</v>
      </c>
      <c r="BG16" s="784"/>
      <c r="BH16" s="785"/>
      <c r="BI16" s="899">
        <f t="shared" ref="BI16:BI17" si="7">+Q16+S16+U16</f>
        <v>2260</v>
      </c>
      <c r="BJ16" s="899">
        <f t="shared" ref="BJ16:BJ17" si="8">+R16+T16+V16</f>
        <v>2935</v>
      </c>
      <c r="BK16" s="785">
        <f t="shared" si="5"/>
        <v>1.2986725663716814</v>
      </c>
      <c r="BL16" s="785">
        <f t="shared" si="6"/>
        <v>0.24458333333333335</v>
      </c>
      <c r="BM16" s="786">
        <f t="shared" si="1"/>
        <v>2.4458333333333337E-3</v>
      </c>
      <c r="BN16" s="1168"/>
      <c r="BO16" s="1191"/>
      <c r="BP16" s="930"/>
      <c r="BQ16" s="930"/>
    </row>
    <row r="17" spans="2:69" ht="84.75" customHeight="1">
      <c r="B17" s="1139"/>
      <c r="C17" s="1239"/>
      <c r="D17" s="1317"/>
      <c r="E17" s="1227"/>
      <c r="F17" s="1238"/>
      <c r="G17" s="1238"/>
      <c r="H17" s="51" t="str">
        <f>+'1.Informe Seguimiento POA 2021'!D22</f>
        <v>1.1.10 Impulsar 2.800 expedientes que contengan orden de policía (MULTA) en firme y ejecutoriada, para que se efectúen cobros persuasivos y/o se de traslado para el cobro coactivo.</v>
      </c>
      <c r="I17" s="147">
        <f>+'1.Informe Seguimiento POA 2021'!E22</f>
        <v>0.01</v>
      </c>
      <c r="J17" s="782">
        <f>+'1.Informe Seguimiento POA 2021'!F22</f>
        <v>2800</v>
      </c>
      <c r="K17" s="885" t="str">
        <f>+'1.Informe Seguimiento POA 2021'!I22</f>
        <v>Promoción y Defensa de Derechos</v>
      </c>
      <c r="L17" s="885" t="str">
        <f>+'1.Informe Seguimiento POA 2021'!J22</f>
        <v>P.D. para la Coordinación de la Gestión de Personerías Locales y sus Personerías Locales adscritas</v>
      </c>
      <c r="M17" s="783">
        <f>+'1.Informe Seguimiento POA 2021'!K22</f>
        <v>700</v>
      </c>
      <c r="N17" s="783">
        <f>+'1.Informe Seguimiento POA 2021'!L22</f>
        <v>1000</v>
      </c>
      <c r="O17" s="783">
        <f>+'1.Informe Seguimiento POA 2021'!M22</f>
        <v>800</v>
      </c>
      <c r="P17" s="783">
        <f>+'1.Informe Seguimiento POA 2021'!N22</f>
        <v>300</v>
      </c>
      <c r="Q17" s="784">
        <f>+'1.Informe Seguimiento POA 2021'!O22</f>
        <v>145</v>
      </c>
      <c r="R17" s="784">
        <f>+'1.Informe Seguimiento POA 2021'!P22</f>
        <v>74</v>
      </c>
      <c r="S17" s="784">
        <f>+'1.Informe Seguimiento POA 2021'!Q22</f>
        <v>190</v>
      </c>
      <c r="T17" s="784">
        <f>+'1.Informe Seguimiento POA 2021'!R22</f>
        <v>635</v>
      </c>
      <c r="U17" s="784">
        <f>+'1.Informe Seguimiento POA 2021'!S22</f>
        <v>195</v>
      </c>
      <c r="V17" s="784">
        <f>+'1.Informe Seguimiento POA 2021'!T22</f>
        <v>110</v>
      </c>
      <c r="W17" s="784">
        <f>+'1.Informe Seguimiento POA 2021'!U22</f>
        <v>170</v>
      </c>
      <c r="X17" s="784">
        <f>+'1.Informe Seguimiento POA 2021'!V22</f>
        <v>0</v>
      </c>
      <c r="Y17" s="784">
        <f>+'1.Informe Seguimiento POA 2021'!W22</f>
        <v>700</v>
      </c>
      <c r="Z17" s="784">
        <f>+'1.Informe Seguimiento POA 2021'!X22</f>
        <v>819</v>
      </c>
      <c r="AA17" s="888">
        <f>+'1.Informe Seguimiento POA 2021'!Y22</f>
        <v>1.17</v>
      </c>
      <c r="AB17" s="785"/>
      <c r="AC17" s="785"/>
      <c r="AD17" s="785"/>
      <c r="AE17" s="785"/>
      <c r="AF17" s="785"/>
      <c r="AG17" s="785"/>
      <c r="AH17" s="785"/>
      <c r="AI17" s="785"/>
      <c r="AJ17" s="784">
        <f t="shared" si="2"/>
        <v>1000</v>
      </c>
      <c r="AK17" s="784"/>
      <c r="AL17" s="785"/>
      <c r="AM17" s="785"/>
      <c r="AN17" s="785"/>
      <c r="AO17" s="785"/>
      <c r="AP17" s="785"/>
      <c r="AQ17" s="785"/>
      <c r="AR17" s="785"/>
      <c r="AS17" s="785"/>
      <c r="AT17" s="785"/>
      <c r="AU17" s="784">
        <f t="shared" si="3"/>
        <v>800</v>
      </c>
      <c r="AV17" s="784"/>
      <c r="AW17" s="785"/>
      <c r="AX17" s="785"/>
      <c r="AY17" s="785"/>
      <c r="AZ17" s="785"/>
      <c r="BA17" s="785"/>
      <c r="BB17" s="785"/>
      <c r="BC17" s="785"/>
      <c r="BD17" s="785"/>
      <c r="BE17" s="785"/>
      <c r="BF17" s="784">
        <f t="shared" si="4"/>
        <v>300</v>
      </c>
      <c r="BG17" s="784"/>
      <c r="BH17" s="785"/>
      <c r="BI17" s="899">
        <f t="shared" si="7"/>
        <v>530</v>
      </c>
      <c r="BJ17" s="899">
        <f t="shared" si="8"/>
        <v>819</v>
      </c>
      <c r="BK17" s="785">
        <f t="shared" si="5"/>
        <v>1.5452830188679245</v>
      </c>
      <c r="BL17" s="785">
        <f t="shared" si="6"/>
        <v>0.29249999999999998</v>
      </c>
      <c r="BM17" s="786">
        <f t="shared" si="1"/>
        <v>2.9250000000000001E-3</v>
      </c>
      <c r="BN17" s="1168"/>
      <c r="BO17" s="1191"/>
      <c r="BP17" s="930"/>
      <c r="BQ17" s="930"/>
    </row>
    <row r="18" spans="2:69" ht="83.25" customHeight="1">
      <c r="B18" s="1139"/>
      <c r="C18" s="1239"/>
      <c r="D18" s="1317"/>
      <c r="E18" s="1227"/>
      <c r="F18" s="1238"/>
      <c r="G18" s="1238"/>
      <c r="H18" s="51" t="str">
        <f>+'1.Informe Seguimiento POA 2021'!D23</f>
        <v>1.1.11 Establecer de forma periódica, 60 estados de la vulneración de  los derechos humanos en las localidades, dando a conocer a las Entidades correspondientes los hechos observados que requieren su intervención.</v>
      </c>
      <c r="I18" s="147">
        <f>+'1.Informe Seguimiento POA 2021'!E23</f>
        <v>0.01</v>
      </c>
      <c r="J18" s="782">
        <f>+'1.Informe Seguimiento POA 2021'!F23</f>
        <v>60</v>
      </c>
      <c r="K18" s="885" t="str">
        <f>+'1.Informe Seguimiento POA 2021'!I23</f>
        <v>Promoción y Defensa de Derechos</v>
      </c>
      <c r="L18" s="885" t="str">
        <f>+'1.Informe Seguimiento POA 2021'!J23</f>
        <v>P.D. para la Coordinación de la Gestión de Personerías Locales y sus Personerías Locales adscritas</v>
      </c>
      <c r="M18" s="783">
        <f>+'1.Informe Seguimiento POA 2021'!K23</f>
        <v>0</v>
      </c>
      <c r="N18" s="783">
        <f>+'1.Informe Seguimiento POA 2021'!L23</f>
        <v>20</v>
      </c>
      <c r="O18" s="783">
        <f>+'1.Informe Seguimiento POA 2021'!M23</f>
        <v>20</v>
      </c>
      <c r="P18" s="783">
        <f>+'1.Informe Seguimiento POA 2021'!N23</f>
        <v>20</v>
      </c>
      <c r="Q18" s="784">
        <f>+'1.Informe Seguimiento POA 2021'!O23</f>
        <v>0</v>
      </c>
      <c r="R18" s="784">
        <f>+'1.Informe Seguimiento POA 2021'!P23</f>
        <v>0</v>
      </c>
      <c r="S18" s="784">
        <f>+'1.Informe Seguimiento POA 2021'!Q23</f>
        <v>0</v>
      </c>
      <c r="T18" s="784">
        <f>+'1.Informe Seguimiento POA 2021'!R23</f>
        <v>0</v>
      </c>
      <c r="U18" s="784">
        <f>+'1.Informe Seguimiento POA 2021'!S23</f>
        <v>0</v>
      </c>
      <c r="V18" s="784">
        <f>+'1.Informe Seguimiento POA 2021'!T23</f>
        <v>0</v>
      </c>
      <c r="W18" s="784">
        <f>+'1.Informe Seguimiento POA 2021'!U23</f>
        <v>0</v>
      </c>
      <c r="X18" s="784">
        <f>+'1.Informe Seguimiento POA 2021'!V23</f>
        <v>0</v>
      </c>
      <c r="Y18" s="784">
        <f>+'1.Informe Seguimiento POA 2021'!W23</f>
        <v>0</v>
      </c>
      <c r="Z18" s="784">
        <f>+'1.Informe Seguimiento POA 2021'!X23</f>
        <v>0</v>
      </c>
      <c r="AA18" s="888" t="str">
        <f>+'1.Informe Seguimiento POA 2021'!Y23</f>
        <v>No programado</v>
      </c>
      <c r="AB18" s="787"/>
      <c r="AC18" s="787"/>
      <c r="AD18" s="787"/>
      <c r="AE18" s="787"/>
      <c r="AF18" s="787"/>
      <c r="AG18" s="787"/>
      <c r="AH18" s="787"/>
      <c r="AI18" s="787"/>
      <c r="AJ18" s="784">
        <f t="shared" si="2"/>
        <v>20</v>
      </c>
      <c r="AK18" s="784"/>
      <c r="AL18" s="785"/>
      <c r="AM18" s="785"/>
      <c r="AN18" s="785"/>
      <c r="AO18" s="785"/>
      <c r="AP18" s="785"/>
      <c r="AQ18" s="785"/>
      <c r="AR18" s="785"/>
      <c r="AS18" s="785"/>
      <c r="AT18" s="785"/>
      <c r="AU18" s="784">
        <f t="shared" si="3"/>
        <v>20</v>
      </c>
      <c r="AV18" s="784"/>
      <c r="AW18" s="785"/>
      <c r="AX18" s="785"/>
      <c r="AY18" s="785"/>
      <c r="AZ18" s="785"/>
      <c r="BA18" s="785"/>
      <c r="BB18" s="785"/>
      <c r="BC18" s="785"/>
      <c r="BD18" s="785"/>
      <c r="BE18" s="785"/>
      <c r="BF18" s="784">
        <f t="shared" si="4"/>
        <v>20</v>
      </c>
      <c r="BG18" s="784"/>
      <c r="BH18" s="787"/>
      <c r="BI18" s="899">
        <f t="shared" ref="BI18" si="9">+Q18+S18+U18</f>
        <v>0</v>
      </c>
      <c r="BJ18" s="899">
        <f t="shared" ref="BJ18" si="10">+R18+T18+V18</f>
        <v>0</v>
      </c>
      <c r="BK18" s="785" t="str">
        <f t="shared" si="5"/>
        <v>No programado</v>
      </c>
      <c r="BL18" s="785">
        <f t="shared" si="6"/>
        <v>0</v>
      </c>
      <c r="BM18" s="786">
        <f t="shared" si="1"/>
        <v>0</v>
      </c>
      <c r="BN18" s="1168"/>
      <c r="BO18" s="1191"/>
      <c r="BP18" s="930"/>
      <c r="BQ18" s="930"/>
    </row>
    <row r="19" spans="2:69" ht="153.6" customHeight="1">
      <c r="B19" s="1139"/>
      <c r="C19" s="1272"/>
      <c r="D19" s="1318"/>
      <c r="E19" s="1269"/>
      <c r="F19" s="881" t="s">
        <v>1111</v>
      </c>
      <c r="G19" s="881" t="s">
        <v>253</v>
      </c>
      <c r="H19" s="51" t="str">
        <f>+'1.Informe Seguimiento POA 2021'!D19</f>
        <v>1.1.7 Entregar en un termino menor a los cinco (5) días hábiles, mas del 95% de las solicitudes de elaboración de tutelas, desacatos e impugnaciones que realicen las personas en el Distrito Capital.</v>
      </c>
      <c r="I19" s="147">
        <f>+'1.Informe Seguimiento POA 2021'!E19</f>
        <v>0.01</v>
      </c>
      <c r="J19" s="782" t="str">
        <f>+'1.Informe Seguimiento POA 2021'!F19</f>
        <v>&gt;=95%</v>
      </c>
      <c r="K19" s="885" t="str">
        <f>+'1.Informe Seguimiento POA 2021'!I19</f>
        <v>Promoción y Defensa de Derechos</v>
      </c>
      <c r="L19" s="885" t="str">
        <f>+'1.Informe Seguimiento POA 2021'!J19</f>
        <v>P.D. para Asuntos Jurisdiccionales, Víctimas y Penal II.
P.D. para la Coordinación de la Gestión de Personerías Locales y sus Personerías Locales adscritas</v>
      </c>
      <c r="M19" s="783" t="str">
        <f>+'1.Informe Seguimiento POA 2021'!K19</f>
        <v>&gt;=95%</v>
      </c>
      <c r="N19" s="783" t="str">
        <f>+'1.Informe Seguimiento POA 2021'!L19</f>
        <v>&gt;=95%</v>
      </c>
      <c r="O19" s="783" t="str">
        <f>+'1.Informe Seguimiento POA 2021'!M19</f>
        <v>&gt;=95%</v>
      </c>
      <c r="P19" s="783" t="str">
        <f>+'1.Informe Seguimiento POA 2021'!N19</f>
        <v>&gt;=95%</v>
      </c>
      <c r="Q19" s="880">
        <f>+'1.Informe Seguimiento POA 2021'!O19</f>
        <v>0.94999999999999984</v>
      </c>
      <c r="R19" s="880">
        <f>+'1.Informe Seguimiento POA 2021'!P19</f>
        <v>0.99199999999999999</v>
      </c>
      <c r="S19" s="880">
        <f>+'1.Informe Seguimiento POA 2021'!Q19</f>
        <v>0.94999999999999984</v>
      </c>
      <c r="T19" s="880">
        <f>+'1.Informe Seguimiento POA 2021'!R19</f>
        <v>0.99633333333333329</v>
      </c>
      <c r="U19" s="880">
        <f>+'1.Informe Seguimiento POA 2021'!S19</f>
        <v>0.94999999999999984</v>
      </c>
      <c r="V19" s="887">
        <f>+'1.Informe Seguimiento POA 2021'!T19</f>
        <v>0.999</v>
      </c>
      <c r="W19" s="880">
        <f>+'1.Informe Seguimiento POA 2021'!U19</f>
        <v>0.94999999999999984</v>
      </c>
      <c r="X19" s="880">
        <f>+'1.Informe Seguimiento POA 2021'!V19</f>
        <v>0</v>
      </c>
      <c r="Y19" s="880">
        <f>+'1.Informe Seguimiento POA 2021'!W19</f>
        <v>0.94999999999999984</v>
      </c>
      <c r="Z19" s="887">
        <f>+'1.Informe Seguimiento POA 2021'!X19</f>
        <v>0.995</v>
      </c>
      <c r="AA19" s="888">
        <f>+'1.Informe Seguimiento POA 2021'!Y19</f>
        <v>0.78552631578947385</v>
      </c>
      <c r="AB19" s="785"/>
      <c r="AC19" s="785"/>
      <c r="AD19" s="785"/>
      <c r="AE19" s="785"/>
      <c r="AF19" s="785"/>
      <c r="AG19" s="785"/>
      <c r="AH19" s="785"/>
      <c r="AI19" s="785"/>
      <c r="AJ19" s="784" t="str">
        <f t="shared" si="2"/>
        <v>&gt;=95%</v>
      </c>
      <c r="AK19" s="784"/>
      <c r="AL19" s="785"/>
      <c r="AM19" s="785"/>
      <c r="AN19" s="785"/>
      <c r="AO19" s="785"/>
      <c r="AP19" s="785"/>
      <c r="AQ19" s="785"/>
      <c r="AR19" s="785"/>
      <c r="AS19" s="785"/>
      <c r="AT19" s="785"/>
      <c r="AU19" s="784" t="str">
        <f t="shared" si="3"/>
        <v>&gt;=95%</v>
      </c>
      <c r="AV19" s="784"/>
      <c r="AW19" s="785"/>
      <c r="AX19" s="785"/>
      <c r="AY19" s="785"/>
      <c r="AZ19" s="785"/>
      <c r="BA19" s="785"/>
      <c r="BB19" s="785"/>
      <c r="BC19" s="785"/>
      <c r="BD19" s="785"/>
      <c r="BE19" s="785"/>
      <c r="BF19" s="784" t="str">
        <f t="shared" si="4"/>
        <v>&gt;=95%</v>
      </c>
      <c r="BG19" s="784"/>
      <c r="BH19" s="785"/>
      <c r="BI19" s="785">
        <f>IFERROR(AVERAGE(Q19,S19,U19),0)</f>
        <v>0.94999999999999984</v>
      </c>
      <c r="BJ19" s="785">
        <f>IFERROR(AVERAGE(R19,T19),0)</f>
        <v>0.99416666666666664</v>
      </c>
      <c r="BK19" s="785">
        <f>IF(AND(BI19&gt;0),BJ19/BI19,"No programado")</f>
        <v>1.0464912280701757</v>
      </c>
      <c r="BL19" s="785">
        <f>((IF(AND(BJ19&gt;0,95%&gt;0),BJ19/95%,0)/4)*0.5)</f>
        <v>0.13081140350877193</v>
      </c>
      <c r="BM19" s="786">
        <f t="shared" si="1"/>
        <v>1.3081140350877194E-3</v>
      </c>
      <c r="BN19" s="1271"/>
      <c r="BO19" s="1191"/>
      <c r="BP19" s="930"/>
      <c r="BQ19" s="930"/>
    </row>
    <row r="20" spans="2:69" ht="135.75" customHeight="1">
      <c r="B20" s="1139"/>
      <c r="C20" s="1229" t="str">
        <f>+'Matriz PEI 2021-2024'!C11</f>
        <v>1.2. Realizar 242.714 acciones que propendan por la efectiva defensa y garantía de los derechos de los sujetos de especial protección constitucional, con énfasis en las personas mayores, mujeres y la población migrante en el Distrito Capital.</v>
      </c>
      <c r="D20" s="1311">
        <f>+'Matriz PEI 2021-2024'!E11</f>
        <v>242714</v>
      </c>
      <c r="E20" s="1226">
        <f>+'Matriz PEI 2021-2024'!D11</f>
        <v>0.2</v>
      </c>
      <c r="F20" s="1229" t="s">
        <v>1008</v>
      </c>
      <c r="G20" s="1229" t="s">
        <v>1009</v>
      </c>
      <c r="H20" s="51" t="str">
        <f>+'1.Informe Seguimiento POA 2021'!D24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884">
        <f>+'1.Informe Seguimiento POA 2021'!E24</f>
        <v>0.75</v>
      </c>
      <c r="J20" s="782">
        <f>+'1.Informe Seguimiento POA 2021'!F24</f>
        <v>187360</v>
      </c>
      <c r="K20" s="885" t="str">
        <f>+'1.Informe Seguimiento POA 2021'!I24</f>
        <v>Promoción y Defensa de Derechos</v>
      </c>
      <c r="L20" s="885" t="str">
        <f>+'1.Informe Seguimiento POA 2021'!J24</f>
        <v>P.D. para la Coordinación del MP y DDHH y sus dependencias adscritas
P.D. para la Coordinación de la Gestión de Personerías Locales y sus Personerías Locales adscritas</v>
      </c>
      <c r="M20" s="783">
        <f>+'1.Informe Seguimiento POA 2021'!K24</f>
        <v>62360</v>
      </c>
      <c r="N20" s="783">
        <f>+'1.Informe Seguimiento POA 2021'!L24</f>
        <v>53000</v>
      </c>
      <c r="O20" s="783">
        <f>+'1.Informe Seguimiento POA 2021'!M24</f>
        <v>53000</v>
      </c>
      <c r="P20" s="783">
        <f>+'1.Informe Seguimiento POA 2021'!N24</f>
        <v>19000</v>
      </c>
      <c r="Q20" s="784">
        <f>+'1.Informe Seguimiento POA 2021'!O24</f>
        <v>5300</v>
      </c>
      <c r="R20" s="784">
        <f>+'1.Informe Seguimiento POA 2021'!P24</f>
        <v>25347</v>
      </c>
      <c r="S20" s="784">
        <f>+'1.Informe Seguimiento POA 2021'!Q24</f>
        <v>15930</v>
      </c>
      <c r="T20" s="784">
        <f>+'1.Informe Seguimiento POA 2021'!R24</f>
        <v>25884</v>
      </c>
      <c r="U20" s="784">
        <f>+'1.Informe Seguimiento POA 2021'!S24</f>
        <v>21720</v>
      </c>
      <c r="V20" s="784">
        <f>+'1.Informe Seguimiento POA 2021'!T24</f>
        <v>17775</v>
      </c>
      <c r="W20" s="784">
        <f>+'1.Informe Seguimiento POA 2021'!U24</f>
        <v>19410</v>
      </c>
      <c r="X20" s="784">
        <f>+'1.Informe Seguimiento POA 2021'!V24</f>
        <v>0</v>
      </c>
      <c r="Y20" s="784">
        <f>+'1.Informe Seguimiento POA 2021'!W24</f>
        <v>62360</v>
      </c>
      <c r="Z20" s="784">
        <f>+'1.Informe Seguimiento POA 2021'!X24</f>
        <v>69006</v>
      </c>
      <c r="AA20" s="888">
        <f>+'1.Informe Seguimiento POA 2021'!Y24</f>
        <v>1.1065747273893523</v>
      </c>
      <c r="AB20" s="785"/>
      <c r="AC20" s="785"/>
      <c r="AD20" s="785"/>
      <c r="AE20" s="785"/>
      <c r="AF20" s="785"/>
      <c r="AG20" s="785"/>
      <c r="AH20" s="785"/>
      <c r="AI20" s="785"/>
      <c r="AJ20" s="784">
        <f t="shared" si="2"/>
        <v>53000</v>
      </c>
      <c r="AK20" s="784"/>
      <c r="AL20" s="785"/>
      <c r="AM20" s="785"/>
      <c r="AN20" s="785"/>
      <c r="AO20" s="785"/>
      <c r="AP20" s="785"/>
      <c r="AQ20" s="785"/>
      <c r="AR20" s="785"/>
      <c r="AS20" s="785"/>
      <c r="AT20" s="785"/>
      <c r="AU20" s="784">
        <f t="shared" si="3"/>
        <v>53000</v>
      </c>
      <c r="AV20" s="784"/>
      <c r="AW20" s="785"/>
      <c r="AX20" s="785"/>
      <c r="AY20" s="785"/>
      <c r="AZ20" s="785"/>
      <c r="BA20" s="785"/>
      <c r="BB20" s="785"/>
      <c r="BC20" s="785"/>
      <c r="BD20" s="785"/>
      <c r="BE20" s="785"/>
      <c r="BF20" s="784">
        <f t="shared" si="4"/>
        <v>19000</v>
      </c>
      <c r="BG20" s="784"/>
      <c r="BH20" s="785"/>
      <c r="BI20" s="899">
        <f t="shared" ref="BI20:BJ44" si="11">+Q20+S20+U20</f>
        <v>42950</v>
      </c>
      <c r="BJ20" s="899">
        <f t="shared" si="11"/>
        <v>69006</v>
      </c>
      <c r="BK20" s="785">
        <f t="shared" si="5"/>
        <v>1.6066589057043072</v>
      </c>
      <c r="BL20" s="785">
        <f t="shared" si="6"/>
        <v>0.3683070025619129</v>
      </c>
      <c r="BM20" s="786">
        <f t="shared" si="1"/>
        <v>0.27623025192143469</v>
      </c>
      <c r="BN20" s="1216">
        <f>+BM20+BM21+BM22+BM23+BM24+BM25</f>
        <v>0.33113418346350798</v>
      </c>
      <c r="BO20" s="1191"/>
      <c r="BP20" s="931"/>
      <c r="BQ20" s="931"/>
    </row>
    <row r="21" spans="2:69" ht="106.2" customHeight="1">
      <c r="B21" s="1139"/>
      <c r="C21" s="1239"/>
      <c r="D21" s="1312"/>
      <c r="E21" s="1227"/>
      <c r="F21" s="1239"/>
      <c r="G21" s="1239"/>
      <c r="H21" s="51" t="str">
        <f>+'1.Informe Seguimiento POA 2021'!D25</f>
        <v>1.2.2 Adelantar 25.680 acciones necesarias en favor de la población víctima del conflicto armado interno mediante el apoyo jurídico, la atención psicosocial, la gestión para acceso a derechos, la toma de declaraciones y la elaboración de derechos de petición.</v>
      </c>
      <c r="I21" s="884">
        <f>+'1.Informe Seguimiento POA 2021'!E25</f>
        <v>0.12</v>
      </c>
      <c r="J21" s="782">
        <f>+'1.Informe Seguimiento POA 2021'!F25</f>
        <v>25680</v>
      </c>
      <c r="K21" s="885" t="str">
        <f>+'1.Informe Seguimiento POA 2021'!I25</f>
        <v>Promoción y Defensa de Derechos</v>
      </c>
      <c r="L21" s="885" t="str">
        <f>+'1.Informe Seguimiento POA 2021'!J25</f>
        <v>P.D. para la Protección de las Víctimas del Conflicto Armado Interno
P.D. para la Coordinación de la Gestión de Personerías Locales y sus Personerías Locales adscritas</v>
      </c>
      <c r="M21" s="783">
        <f>+'1.Informe Seguimiento POA 2021'!K25</f>
        <v>4080</v>
      </c>
      <c r="N21" s="783">
        <f>+'1.Informe Seguimiento POA 2021'!L25</f>
        <v>8650</v>
      </c>
      <c r="O21" s="783">
        <f>+'1.Informe Seguimiento POA 2021'!M25</f>
        <v>8650</v>
      </c>
      <c r="P21" s="783">
        <f>+'1.Informe Seguimiento POA 2021'!N25</f>
        <v>4300</v>
      </c>
      <c r="Q21" s="784">
        <f>+'1.Informe Seguimiento POA 2021'!O25</f>
        <v>1404</v>
      </c>
      <c r="R21" s="784">
        <f>+'1.Informe Seguimiento POA 2021'!P25</f>
        <v>1308</v>
      </c>
      <c r="S21" s="784">
        <f>+'1.Informe Seguimiento POA 2021'!Q25</f>
        <v>1944</v>
      </c>
      <c r="T21" s="784">
        <f>+'1.Informe Seguimiento POA 2021'!R25</f>
        <v>1590</v>
      </c>
      <c r="U21" s="784">
        <f>+'1.Informe Seguimiento POA 2021'!S25</f>
        <v>684</v>
      </c>
      <c r="V21" s="784">
        <f>+'1.Informe Seguimiento POA 2021'!T25</f>
        <v>2806</v>
      </c>
      <c r="W21" s="784">
        <f>+'1.Informe Seguimiento POA 2021'!U25</f>
        <v>48</v>
      </c>
      <c r="X21" s="784">
        <f>+'1.Informe Seguimiento POA 2021'!V25</f>
        <v>0</v>
      </c>
      <c r="Y21" s="784">
        <f>+'1.Informe Seguimiento POA 2021'!W25</f>
        <v>4080</v>
      </c>
      <c r="Z21" s="784">
        <f>+'1.Informe Seguimiento POA 2021'!X25</f>
        <v>5704</v>
      </c>
      <c r="AA21" s="888">
        <f>+'1.Informe Seguimiento POA 2021'!Y25</f>
        <v>1.3980392156862744</v>
      </c>
      <c r="AB21" s="785"/>
      <c r="AC21" s="785"/>
      <c r="AD21" s="785"/>
      <c r="AE21" s="785"/>
      <c r="AF21" s="785"/>
      <c r="AG21" s="785"/>
      <c r="AH21" s="785"/>
      <c r="AI21" s="785"/>
      <c r="AJ21" s="784">
        <f t="shared" si="2"/>
        <v>8650</v>
      </c>
      <c r="AK21" s="784"/>
      <c r="AL21" s="785"/>
      <c r="AM21" s="785"/>
      <c r="AN21" s="785"/>
      <c r="AO21" s="785"/>
      <c r="AP21" s="785"/>
      <c r="AQ21" s="785"/>
      <c r="AR21" s="785"/>
      <c r="AS21" s="785"/>
      <c r="AT21" s="785"/>
      <c r="AU21" s="784">
        <f t="shared" si="3"/>
        <v>8650</v>
      </c>
      <c r="AV21" s="784"/>
      <c r="AW21" s="785"/>
      <c r="AX21" s="785"/>
      <c r="AY21" s="785"/>
      <c r="AZ21" s="785"/>
      <c r="BA21" s="785"/>
      <c r="BB21" s="785"/>
      <c r="BC21" s="785"/>
      <c r="BD21" s="785"/>
      <c r="BE21" s="785"/>
      <c r="BF21" s="784">
        <f t="shared" si="4"/>
        <v>4300</v>
      </c>
      <c r="BG21" s="784"/>
      <c r="BH21" s="785"/>
      <c r="BI21" s="899">
        <f t="shared" si="11"/>
        <v>4032</v>
      </c>
      <c r="BJ21" s="899">
        <f t="shared" si="11"/>
        <v>5704</v>
      </c>
      <c r="BK21" s="785">
        <f t="shared" si="5"/>
        <v>1.4146825396825398</v>
      </c>
      <c r="BL21" s="785">
        <f t="shared" si="6"/>
        <v>0.2221183800623053</v>
      </c>
      <c r="BM21" s="786">
        <f t="shared" si="1"/>
        <v>2.6654205607476635E-2</v>
      </c>
      <c r="BN21" s="1161"/>
      <c r="BO21" s="1191"/>
      <c r="BP21" s="931"/>
      <c r="BQ21" s="931"/>
    </row>
    <row r="22" spans="2:69" ht="75">
      <c r="B22" s="1139"/>
      <c r="C22" s="1239"/>
      <c r="D22" s="1312"/>
      <c r="E22" s="1227"/>
      <c r="F22" s="1239"/>
      <c r="G22" s="1239"/>
      <c r="H22" s="51" t="str">
        <f>+'1.Informe Seguimiento POA 2021'!D26</f>
        <v>1.2.3 Prevenir mediante la elaboración de 20.390 acciones constitucionales, la vulneración de derechos  con énfasis en sujetos de especial protección constitucional.</v>
      </c>
      <c r="I22" s="884">
        <f>+'1.Informe Seguimiento POA 2021'!E26</f>
        <v>0.09</v>
      </c>
      <c r="J22" s="782">
        <f>+'1.Informe Seguimiento POA 2021'!F26</f>
        <v>20390</v>
      </c>
      <c r="K22" s="885" t="str">
        <f>+'1.Informe Seguimiento POA 2021'!I26</f>
        <v>Promoción y Defensa de Derechos</v>
      </c>
      <c r="L22" s="885" t="str">
        <f>+'1.Informe Seguimiento POA 2021'!J26</f>
        <v>P.D. para Asuntos Jurisdiccionales, Víctimas, Penal II y Consumidor.
P.D. para la Coordinación de la Gestión de Personerías Locales y sus Personerías Locales adscritas</v>
      </c>
      <c r="M22" s="783">
        <f>+'1.Informe Seguimiento POA 2021'!K26</f>
        <v>4790</v>
      </c>
      <c r="N22" s="783">
        <f>+'1.Informe Seguimiento POA 2021'!L26</f>
        <v>6300</v>
      </c>
      <c r="O22" s="783">
        <f>+'1.Informe Seguimiento POA 2021'!M26</f>
        <v>6300</v>
      </c>
      <c r="P22" s="783">
        <f>+'1.Informe Seguimiento POA 2021'!N26</f>
        <v>3000</v>
      </c>
      <c r="Q22" s="784">
        <f>+'1.Informe Seguimiento POA 2021'!O26</f>
        <v>1350</v>
      </c>
      <c r="R22" s="784">
        <f>+'1.Informe Seguimiento POA 2021'!P26</f>
        <v>1189</v>
      </c>
      <c r="S22" s="784">
        <f>+'1.Informe Seguimiento POA 2021'!Q26</f>
        <v>1650</v>
      </c>
      <c r="T22" s="784">
        <f>+'1.Informe Seguimiento POA 2021'!R26</f>
        <v>1167</v>
      </c>
      <c r="U22" s="784">
        <f>+'1.Informe Seguimiento POA 2021'!S26</f>
        <v>1070</v>
      </c>
      <c r="V22" s="784">
        <f>+'1.Informe Seguimiento POA 2021'!T26</f>
        <v>1356</v>
      </c>
      <c r="W22" s="784">
        <f>+'1.Informe Seguimiento POA 2021'!U26</f>
        <v>720</v>
      </c>
      <c r="X22" s="784">
        <f>+'1.Informe Seguimiento POA 2021'!V26</f>
        <v>0</v>
      </c>
      <c r="Y22" s="784">
        <f>+'1.Informe Seguimiento POA 2021'!W26</f>
        <v>4790</v>
      </c>
      <c r="Z22" s="784">
        <f>+'1.Informe Seguimiento POA 2021'!X26</f>
        <v>3712</v>
      </c>
      <c r="AA22" s="888">
        <f>+'1.Informe Seguimiento POA 2021'!Y26</f>
        <v>0.77494780793319418</v>
      </c>
      <c r="AB22" s="785"/>
      <c r="AC22" s="785"/>
      <c r="AD22" s="785"/>
      <c r="AE22" s="785"/>
      <c r="AF22" s="785"/>
      <c r="AG22" s="785"/>
      <c r="AH22" s="785"/>
      <c r="AI22" s="785"/>
      <c r="AJ22" s="784">
        <f t="shared" si="2"/>
        <v>6300</v>
      </c>
      <c r="AK22" s="784"/>
      <c r="AL22" s="785"/>
      <c r="AM22" s="785"/>
      <c r="AN22" s="785"/>
      <c r="AO22" s="785"/>
      <c r="AP22" s="785"/>
      <c r="AQ22" s="785"/>
      <c r="AR22" s="785"/>
      <c r="AS22" s="785"/>
      <c r="AT22" s="785"/>
      <c r="AU22" s="784">
        <f t="shared" si="3"/>
        <v>6300</v>
      </c>
      <c r="AV22" s="784"/>
      <c r="AW22" s="785"/>
      <c r="AX22" s="785"/>
      <c r="AY22" s="785"/>
      <c r="AZ22" s="785"/>
      <c r="BA22" s="785"/>
      <c r="BB22" s="785"/>
      <c r="BC22" s="785"/>
      <c r="BD22" s="785"/>
      <c r="BE22" s="785"/>
      <c r="BF22" s="784">
        <f t="shared" si="4"/>
        <v>3000</v>
      </c>
      <c r="BG22" s="784"/>
      <c r="BH22" s="785"/>
      <c r="BI22" s="899">
        <f t="shared" si="11"/>
        <v>4070</v>
      </c>
      <c r="BJ22" s="899">
        <f t="shared" si="11"/>
        <v>3712</v>
      </c>
      <c r="BK22" s="785">
        <f>IF(AND(BI22&gt;0),BJ22/BI22,"No programado")</f>
        <v>0.91203931203931199</v>
      </c>
      <c r="BL22" s="785">
        <f t="shared" si="6"/>
        <v>0.18205002452182442</v>
      </c>
      <c r="BM22" s="786">
        <f t="shared" si="1"/>
        <v>1.6384502206964198E-2</v>
      </c>
      <c r="BN22" s="1161"/>
      <c r="BO22" s="1191"/>
      <c r="BP22" s="931"/>
      <c r="BQ22" s="931"/>
    </row>
    <row r="23" spans="2:69" ht="85.2" customHeight="1">
      <c r="B23" s="1139"/>
      <c r="C23" s="1239"/>
      <c r="D23" s="1312"/>
      <c r="E23" s="1227"/>
      <c r="F23" s="1239"/>
      <c r="G23" s="1239"/>
      <c r="H23" s="51" t="str">
        <f>+'1.Informe Seguimiento POA 2021'!D27</f>
        <v>1.2.4 Fortalecer el ejercicio del ministerio público ante las comisarías de familia, mediante el seguimiento a 3.940 medidas de protección que estas imponen.</v>
      </c>
      <c r="I23" s="884">
        <f>+'1.Informe Seguimiento POA 2021'!E27</f>
        <v>0.02</v>
      </c>
      <c r="J23" s="782">
        <f>+'1.Informe Seguimiento POA 2021'!F27</f>
        <v>3940</v>
      </c>
      <c r="K23" s="885" t="str">
        <f>+'1.Informe Seguimiento POA 2021'!I27</f>
        <v>Promoción y Defensa de Derechos</v>
      </c>
      <c r="L23" s="885" t="str">
        <f>+'1.Informe Seguimiento POA 2021'!J27</f>
        <v>P.D. para la Familia y Sujetos de Especial Protección Constitucional</v>
      </c>
      <c r="M23" s="783">
        <f>+'1.Informe Seguimiento POA 2021'!K27</f>
        <v>940</v>
      </c>
      <c r="N23" s="783">
        <f>+'1.Informe Seguimiento POA 2021'!L27</f>
        <v>1200</v>
      </c>
      <c r="O23" s="783">
        <f>+'1.Informe Seguimiento POA 2021'!M27</f>
        <v>1200</v>
      </c>
      <c r="P23" s="783">
        <f>+'1.Informe Seguimiento POA 2021'!N27</f>
        <v>600</v>
      </c>
      <c r="Q23" s="784">
        <f>+'1.Informe Seguimiento POA 2021'!O27</f>
        <v>100</v>
      </c>
      <c r="R23" s="784">
        <f>+'1.Informe Seguimiento POA 2021'!P27</f>
        <v>264</v>
      </c>
      <c r="S23" s="784">
        <f>+'1.Informe Seguimiento POA 2021'!Q27</f>
        <v>390</v>
      </c>
      <c r="T23" s="784">
        <f>+'1.Informe Seguimiento POA 2021'!R27</f>
        <v>224</v>
      </c>
      <c r="U23" s="784">
        <f>+'1.Informe Seguimiento POA 2021'!S27</f>
        <v>290</v>
      </c>
      <c r="V23" s="784">
        <f>+'1.Informe Seguimiento POA 2021'!T27</f>
        <v>244</v>
      </c>
      <c r="W23" s="784">
        <f>+'1.Informe Seguimiento POA 2021'!U27</f>
        <v>160</v>
      </c>
      <c r="X23" s="784">
        <f>+'1.Informe Seguimiento POA 2021'!V27</f>
        <v>0</v>
      </c>
      <c r="Y23" s="784">
        <f>+'1.Informe Seguimiento POA 2021'!W27</f>
        <v>940</v>
      </c>
      <c r="Z23" s="784">
        <f>+'1.Informe Seguimiento POA 2021'!X27</f>
        <v>732</v>
      </c>
      <c r="AA23" s="888">
        <f>+'1.Informe Seguimiento POA 2021'!Y27</f>
        <v>0.77872340425531916</v>
      </c>
      <c r="AB23" s="785"/>
      <c r="AC23" s="785"/>
      <c r="AD23" s="785"/>
      <c r="AE23" s="785"/>
      <c r="AF23" s="785"/>
      <c r="AG23" s="785"/>
      <c r="AH23" s="785"/>
      <c r="AI23" s="785"/>
      <c r="AJ23" s="784">
        <f t="shared" si="2"/>
        <v>1200</v>
      </c>
      <c r="AK23" s="784"/>
      <c r="AL23" s="785"/>
      <c r="AM23" s="785"/>
      <c r="AN23" s="785"/>
      <c r="AO23" s="785"/>
      <c r="AP23" s="785"/>
      <c r="AQ23" s="785"/>
      <c r="AR23" s="785"/>
      <c r="AS23" s="785"/>
      <c r="AT23" s="785"/>
      <c r="AU23" s="784">
        <f t="shared" si="3"/>
        <v>1200</v>
      </c>
      <c r="AV23" s="784"/>
      <c r="AW23" s="785"/>
      <c r="AX23" s="785"/>
      <c r="AY23" s="785"/>
      <c r="AZ23" s="785"/>
      <c r="BA23" s="785"/>
      <c r="BB23" s="785"/>
      <c r="BC23" s="785"/>
      <c r="BD23" s="785"/>
      <c r="BE23" s="785"/>
      <c r="BF23" s="784">
        <f t="shared" si="4"/>
        <v>600</v>
      </c>
      <c r="BG23" s="784"/>
      <c r="BH23" s="785"/>
      <c r="BI23" s="899">
        <f t="shared" si="11"/>
        <v>780</v>
      </c>
      <c r="BJ23" s="899">
        <f t="shared" si="11"/>
        <v>732</v>
      </c>
      <c r="BK23" s="785">
        <f t="shared" si="5"/>
        <v>0.93846153846153846</v>
      </c>
      <c r="BL23" s="785">
        <f t="shared" si="6"/>
        <v>0.18578680203045686</v>
      </c>
      <c r="BM23" s="786">
        <f t="shared" si="1"/>
        <v>3.7157360406091374E-3</v>
      </c>
      <c r="BN23" s="1161"/>
      <c r="BO23" s="1191"/>
      <c r="BP23" s="931"/>
      <c r="BQ23" s="931"/>
    </row>
    <row r="24" spans="2:69" ht="120" customHeight="1">
      <c r="B24" s="1139"/>
      <c r="C24" s="1239"/>
      <c r="D24" s="1312"/>
      <c r="E24" s="1227"/>
      <c r="F24" s="1239"/>
      <c r="G24" s="1239"/>
      <c r="H24" s="51" t="str">
        <f>+'1.Informe Seguimiento POA 2021'!D28</f>
        <v>1.2.5 Participar en 4.632 comités, mesas y consejos interinstitucionales en garantía de derechos, con énfasis en temas relacionados con sujetos de especial protección constitucional, en particular, persona mayor, mujer y población migrante.</v>
      </c>
      <c r="I24" s="884">
        <f>+'1.Informe Seguimiento POA 2021'!E28</f>
        <v>0.01</v>
      </c>
      <c r="J24" s="782">
        <f>+'1.Informe Seguimiento POA 2021'!F28</f>
        <v>4632</v>
      </c>
      <c r="K24" s="885" t="str">
        <f>+'1.Informe Seguimiento POA 2021'!I28</f>
        <v>Promoción y Defensa de Derechos</v>
      </c>
      <c r="L24" s="885" t="str">
        <f>+'1.Informe Seguimiento POA 2021'!J28</f>
        <v>P.D. para la Coordinación del MP y DDHH, P.D. para Asuntos Penales I, Penales II, Derechos Humanos, Familia, Víctimas, Asuntos Jurisdiccionales y Consumidor.
 P.D. para la Coordinación de la Gestión de Personerías Locales y sus Personerías Locales adscritas</v>
      </c>
      <c r="M24" s="783">
        <f>+'1.Informe Seguimiento POA 2021'!K28</f>
        <v>1402</v>
      </c>
      <c r="N24" s="783">
        <f>+'1.Informe Seguimiento POA 2021'!L28</f>
        <v>1092</v>
      </c>
      <c r="O24" s="783">
        <f>+'1.Informe Seguimiento POA 2021'!M28</f>
        <v>1092</v>
      </c>
      <c r="P24" s="783">
        <f>+'1.Informe Seguimiento POA 2021'!N28</f>
        <v>1046</v>
      </c>
      <c r="Q24" s="784">
        <f>+'1.Informe Seguimiento POA 2021'!O28</f>
        <v>196</v>
      </c>
      <c r="R24" s="784">
        <f>+'1.Informe Seguimiento POA 2021'!P28</f>
        <v>642</v>
      </c>
      <c r="S24" s="784">
        <f>+'1.Informe Seguimiento POA 2021'!Q28</f>
        <v>327</v>
      </c>
      <c r="T24" s="784">
        <f>+'1.Informe Seguimiento POA 2021'!R28</f>
        <v>722</v>
      </c>
      <c r="U24" s="784">
        <f>+'1.Informe Seguimiento POA 2021'!S28</f>
        <v>451</v>
      </c>
      <c r="V24" s="784">
        <f>+'1.Informe Seguimiento POA 2021'!T28</f>
        <v>856</v>
      </c>
      <c r="W24" s="784">
        <f>+'1.Informe Seguimiento POA 2021'!U28</f>
        <v>428</v>
      </c>
      <c r="X24" s="784">
        <f>+'1.Informe Seguimiento POA 2021'!V28</f>
        <v>0</v>
      </c>
      <c r="Y24" s="784">
        <f>+'1.Informe Seguimiento POA 2021'!W28</f>
        <v>1402</v>
      </c>
      <c r="Z24" s="784">
        <f>+'1.Informe Seguimiento POA 2021'!X28</f>
        <v>2220</v>
      </c>
      <c r="AA24" s="888">
        <f>+'1.Informe Seguimiento POA 2021'!Y28</f>
        <v>1.5834522111269616</v>
      </c>
      <c r="AB24" s="785"/>
      <c r="AC24" s="785"/>
      <c r="AD24" s="785"/>
      <c r="AE24" s="785"/>
      <c r="AF24" s="785"/>
      <c r="AG24" s="785"/>
      <c r="AH24" s="785"/>
      <c r="AI24" s="785"/>
      <c r="AJ24" s="784">
        <f t="shared" si="2"/>
        <v>1092</v>
      </c>
      <c r="AK24" s="784"/>
      <c r="AL24" s="785"/>
      <c r="AM24" s="785"/>
      <c r="AN24" s="785"/>
      <c r="AO24" s="785"/>
      <c r="AP24" s="785"/>
      <c r="AQ24" s="785"/>
      <c r="AR24" s="785"/>
      <c r="AS24" s="785"/>
      <c r="AT24" s="785"/>
      <c r="AU24" s="784">
        <f t="shared" si="3"/>
        <v>1092</v>
      </c>
      <c r="AV24" s="784"/>
      <c r="AW24" s="785"/>
      <c r="AX24" s="785"/>
      <c r="AY24" s="785"/>
      <c r="AZ24" s="785"/>
      <c r="BA24" s="785"/>
      <c r="BB24" s="785"/>
      <c r="BC24" s="785"/>
      <c r="BD24" s="785"/>
      <c r="BE24" s="785"/>
      <c r="BF24" s="784">
        <f t="shared" si="4"/>
        <v>1046</v>
      </c>
      <c r="BG24" s="784"/>
      <c r="BH24" s="785"/>
      <c r="BI24" s="899">
        <f t="shared" si="11"/>
        <v>974</v>
      </c>
      <c r="BJ24" s="899">
        <f t="shared" si="11"/>
        <v>2220</v>
      </c>
      <c r="BK24" s="785">
        <f t="shared" si="5"/>
        <v>2.2792607802874745</v>
      </c>
      <c r="BL24" s="785">
        <f t="shared" si="6"/>
        <v>0.47927461139896371</v>
      </c>
      <c r="BM24" s="786">
        <f t="shared" si="1"/>
        <v>4.7927461139896368E-3</v>
      </c>
      <c r="BN24" s="1161"/>
      <c r="BO24" s="1191"/>
      <c r="BP24" s="931"/>
      <c r="BQ24" s="931"/>
    </row>
    <row r="25" spans="2:69" ht="105">
      <c r="B25" s="1139"/>
      <c r="C25" s="1272"/>
      <c r="D25" s="1313"/>
      <c r="E25" s="1269"/>
      <c r="F25" s="1272"/>
      <c r="G25" s="1272"/>
      <c r="H25" s="51" t="str">
        <f>+'1.Informe Seguimiento POA 2021'!D29</f>
        <v>1.2.6 Realizar 712 seguimientos a la amenaza y vulneración de los derechos, con énfasis en sujetos de especial protección constitucional, en particular, persona mayor, mujer y población migrante</v>
      </c>
      <c r="I25" s="884">
        <f>+'1.Informe Seguimiento POA 2021'!E29</f>
        <v>0.01</v>
      </c>
      <c r="J25" s="782">
        <f>+'1.Informe Seguimiento POA 2021'!F29</f>
        <v>712</v>
      </c>
      <c r="K25" s="885" t="str">
        <f>+'1.Informe Seguimiento POA 2021'!I29</f>
        <v>Promoción y Defensa de Derechos</v>
      </c>
      <c r="L25" s="885" t="str">
        <f>+'1.Informe Seguimiento POA 2021'!J29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783">
        <f>+'1.Informe Seguimiento POA 2021'!K29</f>
        <v>228</v>
      </c>
      <c r="N25" s="783">
        <f>+'1.Informe Seguimiento POA 2021'!L29</f>
        <v>182</v>
      </c>
      <c r="O25" s="783">
        <f>+'1.Informe Seguimiento POA 2021'!M29</f>
        <v>182</v>
      </c>
      <c r="P25" s="783">
        <f>+'1.Informe Seguimiento POA 2021'!N29</f>
        <v>120</v>
      </c>
      <c r="Q25" s="784">
        <f>+'1.Informe Seguimiento POA 2021'!O29</f>
        <v>41</v>
      </c>
      <c r="R25" s="784">
        <f>+'1.Informe Seguimiento POA 2021'!P29</f>
        <v>64</v>
      </c>
      <c r="S25" s="784">
        <f>+'1.Informe Seguimiento POA 2021'!Q29</f>
        <v>51</v>
      </c>
      <c r="T25" s="784">
        <f>+'1.Informe Seguimiento POA 2021'!R29</f>
        <v>88</v>
      </c>
      <c r="U25" s="784">
        <f>+'1.Informe Seguimiento POA 2021'!S29</f>
        <v>72</v>
      </c>
      <c r="V25" s="784">
        <f>+'1.Informe Seguimiento POA 2021'!T29</f>
        <v>87</v>
      </c>
      <c r="W25" s="784">
        <f>+'1.Informe Seguimiento POA 2021'!U29</f>
        <v>64</v>
      </c>
      <c r="X25" s="784">
        <f>+'1.Informe Seguimiento POA 2021'!V29</f>
        <v>0</v>
      </c>
      <c r="Y25" s="784">
        <f>+'1.Informe Seguimiento POA 2021'!W29</f>
        <v>228</v>
      </c>
      <c r="Z25" s="784">
        <f>+'1.Informe Seguimiento POA 2021'!X29</f>
        <v>239</v>
      </c>
      <c r="AA25" s="888">
        <f>+'1.Informe Seguimiento POA 2021'!Y29</f>
        <v>1.0482456140350878</v>
      </c>
      <c r="AB25" s="785"/>
      <c r="AC25" s="785"/>
      <c r="AD25" s="785"/>
      <c r="AE25" s="785"/>
      <c r="AF25" s="785"/>
      <c r="AG25" s="785"/>
      <c r="AH25" s="785"/>
      <c r="AI25" s="785"/>
      <c r="AJ25" s="784">
        <f t="shared" si="2"/>
        <v>182</v>
      </c>
      <c r="AK25" s="784"/>
      <c r="AL25" s="785"/>
      <c r="AM25" s="785"/>
      <c r="AN25" s="785"/>
      <c r="AO25" s="785"/>
      <c r="AP25" s="785"/>
      <c r="AQ25" s="785"/>
      <c r="AR25" s="785"/>
      <c r="AS25" s="785"/>
      <c r="AT25" s="785"/>
      <c r="AU25" s="784">
        <f t="shared" si="3"/>
        <v>182</v>
      </c>
      <c r="AV25" s="784"/>
      <c r="AW25" s="785"/>
      <c r="AX25" s="785"/>
      <c r="AY25" s="785"/>
      <c r="AZ25" s="785"/>
      <c r="BA25" s="785"/>
      <c r="BB25" s="785"/>
      <c r="BC25" s="785"/>
      <c r="BD25" s="785"/>
      <c r="BE25" s="785"/>
      <c r="BF25" s="784">
        <f t="shared" si="4"/>
        <v>120</v>
      </c>
      <c r="BG25" s="784"/>
      <c r="BH25" s="785"/>
      <c r="BI25" s="899">
        <f t="shared" si="11"/>
        <v>164</v>
      </c>
      <c r="BJ25" s="899">
        <f t="shared" si="11"/>
        <v>239</v>
      </c>
      <c r="BK25" s="785">
        <f t="shared" si="5"/>
        <v>1.4573170731707317</v>
      </c>
      <c r="BL25" s="785">
        <f t="shared" si="6"/>
        <v>0.3356741573033708</v>
      </c>
      <c r="BM25" s="786">
        <f t="shared" si="1"/>
        <v>3.356741573033708E-3</v>
      </c>
      <c r="BN25" s="1217"/>
      <c r="BO25" s="1191"/>
      <c r="BP25" s="931"/>
      <c r="BQ25" s="931"/>
    </row>
    <row r="26" spans="2:69" ht="90" customHeight="1">
      <c r="B26" s="1139"/>
      <c r="C26" s="1229" t="str">
        <f>+'Matriz PEI 2021-2024'!C12</f>
        <v>1.3. Construir e Implementar 36 estrategias que permitan incrementar la oferta y cobertura de los servicios prestados por la Entidad.</v>
      </c>
      <c r="D26" s="1314">
        <f>+'Matriz PEI 2021-2024'!E12</f>
        <v>36</v>
      </c>
      <c r="E26" s="1226">
        <f>+'Matriz PEI 2021-2024'!D12</f>
        <v>0.1</v>
      </c>
      <c r="F26" s="1229" t="s">
        <v>1010</v>
      </c>
      <c r="G26" s="1229" t="s">
        <v>1011</v>
      </c>
      <c r="H26" s="51" t="str">
        <f>+'1.Informe Seguimiento POA 2021'!D30</f>
        <v>1.3.1 Realizar 20 actividades que permitan el acercamiento de la Entidad a la Comunidad.</v>
      </c>
      <c r="I26" s="884">
        <f>+'1.Informe Seguimiento POA 2021'!E30</f>
        <v>0.56000000000000005</v>
      </c>
      <c r="J26" s="782">
        <f>+'1.Informe Seguimiento POA 2021'!F30</f>
        <v>20</v>
      </c>
      <c r="K26" s="885" t="str">
        <f>+'1.Informe Seguimiento POA 2021'!I30</f>
        <v>Promoción y Defensa de Derechos</v>
      </c>
      <c r="L26" s="885" t="str">
        <f>+'1.Informe Seguimiento POA 2021'!J30</f>
        <v>P.D. para la Coordinación del MP y DDHH y sus dependencias adscritas
 P.D. para la Coordinación de la Gestión de Personerías Locales y sus Personerías Locales adscritas</v>
      </c>
      <c r="M26" s="783">
        <f>+'1.Informe Seguimiento POA 2021'!K30</f>
        <v>2</v>
      </c>
      <c r="N26" s="783">
        <f>+'1.Informe Seguimiento POA 2021'!L30</f>
        <v>8</v>
      </c>
      <c r="O26" s="783">
        <f>+'1.Informe Seguimiento POA 2021'!M30</f>
        <v>8</v>
      </c>
      <c r="P26" s="783">
        <f>+'1.Informe Seguimiento POA 2021'!N30</f>
        <v>2</v>
      </c>
      <c r="Q26" s="784">
        <f>+'1.Informe Seguimiento POA 2021'!O30</f>
        <v>0</v>
      </c>
      <c r="R26" s="784">
        <f>+'1.Informe Seguimiento POA 2021'!P30</f>
        <v>0</v>
      </c>
      <c r="S26" s="784">
        <f>+'1.Informe Seguimiento POA 2021'!Q30</f>
        <v>0</v>
      </c>
      <c r="T26" s="798">
        <f>+'1.Informe Seguimiento POA 2021'!R30</f>
        <v>0.1</v>
      </c>
      <c r="U26" s="784">
        <f>+'1.Informe Seguimiento POA 2021'!S30</f>
        <v>2</v>
      </c>
      <c r="V26" s="798">
        <f>+'1.Informe Seguimiento POA 2021'!T30</f>
        <v>0.6</v>
      </c>
      <c r="W26" s="784">
        <f>+'1.Informe Seguimiento POA 2021'!U30</f>
        <v>0</v>
      </c>
      <c r="X26" s="798">
        <f>+'1.Informe Seguimiento POA 2021'!V30</f>
        <v>0</v>
      </c>
      <c r="Y26" s="784">
        <f>+'1.Informe Seguimiento POA 2021'!W30</f>
        <v>2</v>
      </c>
      <c r="Z26" s="798">
        <f>+'1.Informe Seguimiento POA 2021'!X30</f>
        <v>0.7</v>
      </c>
      <c r="AA26" s="888">
        <f>+'1.Informe Seguimiento POA 2021'!Y30</f>
        <v>0.35</v>
      </c>
      <c r="AB26" s="785"/>
      <c r="AC26" s="785"/>
      <c r="AD26" s="785"/>
      <c r="AE26" s="785"/>
      <c r="AF26" s="785"/>
      <c r="AG26" s="785"/>
      <c r="AH26" s="785"/>
      <c r="AI26" s="785"/>
      <c r="AJ26" s="784">
        <f t="shared" si="2"/>
        <v>8</v>
      </c>
      <c r="AK26" s="784"/>
      <c r="AL26" s="785"/>
      <c r="AM26" s="785"/>
      <c r="AN26" s="785"/>
      <c r="AO26" s="785"/>
      <c r="AP26" s="785"/>
      <c r="AQ26" s="785"/>
      <c r="AR26" s="785"/>
      <c r="AS26" s="785"/>
      <c r="AT26" s="785"/>
      <c r="AU26" s="784">
        <f t="shared" si="3"/>
        <v>8</v>
      </c>
      <c r="AV26" s="784"/>
      <c r="AW26" s="785"/>
      <c r="AX26" s="785"/>
      <c r="AY26" s="785"/>
      <c r="AZ26" s="785"/>
      <c r="BA26" s="785"/>
      <c r="BB26" s="785"/>
      <c r="BC26" s="785"/>
      <c r="BD26" s="785"/>
      <c r="BE26" s="785"/>
      <c r="BF26" s="784">
        <f t="shared" si="4"/>
        <v>2</v>
      </c>
      <c r="BG26" s="784"/>
      <c r="BH26" s="785"/>
      <c r="BI26" s="899">
        <f t="shared" si="11"/>
        <v>2</v>
      </c>
      <c r="BJ26" s="1064">
        <f t="shared" si="11"/>
        <v>0.7</v>
      </c>
      <c r="BK26" s="785">
        <f t="shared" si="5"/>
        <v>0.35</v>
      </c>
      <c r="BL26" s="785">
        <f t="shared" si="6"/>
        <v>3.4999999999999996E-2</v>
      </c>
      <c r="BM26" s="786">
        <f t="shared" si="1"/>
        <v>1.9599999999999999E-2</v>
      </c>
      <c r="BN26" s="1216">
        <f>+BM26+BM27+BM28+BM29</f>
        <v>4.7781818181818182E-2</v>
      </c>
      <c r="BO26" s="1191"/>
      <c r="BP26" s="931"/>
      <c r="BQ26" s="931"/>
    </row>
    <row r="27" spans="2:69" ht="92.25" customHeight="1">
      <c r="B27" s="1139"/>
      <c r="C27" s="1239"/>
      <c r="D27" s="1315"/>
      <c r="E27" s="1227"/>
      <c r="F27" s="1239"/>
      <c r="G27" s="1239"/>
      <c r="H27" s="51" t="str">
        <f>+'1.Informe Seguimiento POA 2021'!D31</f>
        <v>1.3.2 Incrementar la cobertura de los servicios que presta el proceso de Promoción y Defensa de Derechos, mediante la implementación de 11 acciones que propendan por el mejoramiento de los mismos.</v>
      </c>
      <c r="I27" s="884">
        <f>+'1.Informe Seguimiento POA 2021'!E31</f>
        <v>0.31</v>
      </c>
      <c r="J27" s="782">
        <f>+'1.Informe Seguimiento POA 2021'!F31</f>
        <v>11</v>
      </c>
      <c r="K27" s="885" t="str">
        <f>+'1.Informe Seguimiento POA 2021'!I31</f>
        <v>Promoción y Defensa de Derechos</v>
      </c>
      <c r="L27" s="885" t="str">
        <f>+'1.Informe Seguimiento POA 2021'!J31</f>
        <v>P.D. para la Coordinación del MP y DDHH y sus dependencias adscritas
 P.D. para la Coordinación de la Gestión de Personerías Locales y sus Personerías Locales adscritas</v>
      </c>
      <c r="M27" s="783">
        <f>+'1.Informe Seguimiento POA 2021'!K31</f>
        <v>3</v>
      </c>
      <c r="N27" s="783">
        <f>+'1.Informe Seguimiento POA 2021'!L31</f>
        <v>3</v>
      </c>
      <c r="O27" s="783">
        <f>+'1.Informe Seguimiento POA 2021'!M31</f>
        <v>3</v>
      </c>
      <c r="P27" s="783">
        <f>+'1.Informe Seguimiento POA 2021'!N31</f>
        <v>2</v>
      </c>
      <c r="Q27" s="784">
        <f>+'1.Informe Seguimiento POA 2021'!O31</f>
        <v>0</v>
      </c>
      <c r="R27" s="784">
        <f>+'1.Informe Seguimiento POA 2021'!P31</f>
        <v>0</v>
      </c>
      <c r="S27" s="784">
        <f>+'1.Informe Seguimiento POA 2021'!Q31</f>
        <v>1</v>
      </c>
      <c r="T27" s="798">
        <f>+'1.Informe Seguimiento POA 2021'!R31</f>
        <v>0</v>
      </c>
      <c r="U27" s="784">
        <f>+'1.Informe Seguimiento POA 2021'!S31</f>
        <v>2</v>
      </c>
      <c r="V27" s="798">
        <f>+'1.Informe Seguimiento POA 2021'!T31</f>
        <v>1</v>
      </c>
      <c r="W27" s="784">
        <f>+'1.Informe Seguimiento POA 2021'!U31</f>
        <v>0</v>
      </c>
      <c r="X27" s="798">
        <f>+'1.Informe Seguimiento POA 2021'!V31</f>
        <v>0</v>
      </c>
      <c r="Y27" s="784">
        <f>+'1.Informe Seguimiento POA 2021'!W31</f>
        <v>3</v>
      </c>
      <c r="Z27" s="798">
        <f>+'1.Informe Seguimiento POA 2021'!X31</f>
        <v>1</v>
      </c>
      <c r="AA27" s="888">
        <f>+'1.Informe Seguimiento POA 2021'!Y31</f>
        <v>0.33333333333333331</v>
      </c>
      <c r="AB27" s="785"/>
      <c r="AC27" s="785"/>
      <c r="AD27" s="785"/>
      <c r="AE27" s="785"/>
      <c r="AF27" s="785"/>
      <c r="AG27" s="785"/>
      <c r="AH27" s="785"/>
      <c r="AI27" s="785"/>
      <c r="AJ27" s="784">
        <f t="shared" si="2"/>
        <v>3</v>
      </c>
      <c r="AK27" s="784"/>
      <c r="AL27" s="785"/>
      <c r="AM27" s="785"/>
      <c r="AN27" s="785"/>
      <c r="AO27" s="785"/>
      <c r="AP27" s="785"/>
      <c r="AQ27" s="785"/>
      <c r="AR27" s="785"/>
      <c r="AS27" s="785"/>
      <c r="AT27" s="785"/>
      <c r="AU27" s="784">
        <f t="shared" si="3"/>
        <v>3</v>
      </c>
      <c r="AV27" s="784"/>
      <c r="AW27" s="785"/>
      <c r="AX27" s="785"/>
      <c r="AY27" s="785"/>
      <c r="AZ27" s="785"/>
      <c r="BA27" s="785"/>
      <c r="BB27" s="785"/>
      <c r="BC27" s="785"/>
      <c r="BD27" s="785"/>
      <c r="BE27" s="785"/>
      <c r="BF27" s="784">
        <f t="shared" si="4"/>
        <v>2</v>
      </c>
      <c r="BG27" s="784"/>
      <c r="BH27" s="785"/>
      <c r="BI27" s="899">
        <f t="shared" si="11"/>
        <v>3</v>
      </c>
      <c r="BJ27" s="1064">
        <f t="shared" si="11"/>
        <v>1</v>
      </c>
      <c r="BK27" s="785">
        <f>IF(AND(BI27&gt;0),BJ27/BI27,"No programado")</f>
        <v>0.33333333333333331</v>
      </c>
      <c r="BL27" s="785">
        <f t="shared" si="6"/>
        <v>9.0909090909090912E-2</v>
      </c>
      <c r="BM27" s="786">
        <f t="shared" si="1"/>
        <v>2.8181818181818183E-2</v>
      </c>
      <c r="BN27" s="1161"/>
      <c r="BO27" s="1191"/>
      <c r="BP27" s="931"/>
      <c r="BQ27" s="931"/>
    </row>
    <row r="28" spans="2:69" ht="83.25" customHeight="1">
      <c r="B28" s="1139"/>
      <c r="C28" s="1239"/>
      <c r="D28" s="1315"/>
      <c r="E28" s="1227"/>
      <c r="F28" s="1239"/>
      <c r="G28" s="1239"/>
      <c r="H28" s="51" t="str">
        <f>+'1.Informe Seguimiento POA 2021'!D32</f>
        <v>1.3.3 Implementar 4 herramientas para la promoción y prevención a infracciones del Derecho Internacional Humanitario en el Distrito Capital</v>
      </c>
      <c r="I28" s="884">
        <f>+'1.Informe Seguimiento POA 2021'!E32</f>
        <v>0.11</v>
      </c>
      <c r="J28" s="782">
        <f>+'1.Informe Seguimiento POA 2021'!F32</f>
        <v>4</v>
      </c>
      <c r="K28" s="885" t="str">
        <f>+'1.Informe Seguimiento POA 2021'!I32</f>
        <v>Promoción y Defensa de Derechos</v>
      </c>
      <c r="L28" s="885" t="str">
        <f>+'1.Informe Seguimiento POA 2021'!J32</f>
        <v>P.D. para la Coordinación del MP y DDHH y sus dependencias adscritas
 P.D. para la Coordinación de la Gestión de Personerías Locales y sus Personerías Locales adscritas</v>
      </c>
      <c r="M28" s="783">
        <f>+'1.Informe Seguimiento POA 2021'!K32</f>
        <v>1</v>
      </c>
      <c r="N28" s="783">
        <f>+'1.Informe Seguimiento POA 2021'!L32</f>
        <v>1</v>
      </c>
      <c r="O28" s="783">
        <f>+'1.Informe Seguimiento POA 2021'!M32</f>
        <v>1</v>
      </c>
      <c r="P28" s="783">
        <f>+'1.Informe Seguimiento POA 2021'!N32</f>
        <v>1</v>
      </c>
      <c r="Q28" s="784">
        <f>+'1.Informe Seguimiento POA 2021'!O32</f>
        <v>0</v>
      </c>
      <c r="R28" s="784">
        <f>+'1.Informe Seguimiento POA 2021'!P32</f>
        <v>0</v>
      </c>
      <c r="S28" s="784">
        <f>+'1.Informe Seguimiento POA 2021'!Q32</f>
        <v>0</v>
      </c>
      <c r="T28" s="798">
        <f>+'1.Informe Seguimiento POA 2021'!R32</f>
        <v>0</v>
      </c>
      <c r="U28" s="784">
        <f>+'1.Informe Seguimiento POA 2021'!S32</f>
        <v>1</v>
      </c>
      <c r="V28" s="798">
        <f>+'1.Informe Seguimiento POA 2021'!T32</f>
        <v>0</v>
      </c>
      <c r="W28" s="784">
        <f>+'1.Informe Seguimiento POA 2021'!U32</f>
        <v>0</v>
      </c>
      <c r="X28" s="784">
        <f>+'1.Informe Seguimiento POA 2021'!V32</f>
        <v>0</v>
      </c>
      <c r="Y28" s="784">
        <f>+'1.Informe Seguimiento POA 2021'!W32</f>
        <v>1</v>
      </c>
      <c r="Z28" s="784">
        <f>+'1.Informe Seguimiento POA 2021'!X32</f>
        <v>0</v>
      </c>
      <c r="AA28" s="888">
        <f>+'1.Informe Seguimiento POA 2021'!Y32</f>
        <v>0</v>
      </c>
      <c r="AB28" s="785"/>
      <c r="AC28" s="785"/>
      <c r="AD28" s="785"/>
      <c r="AE28" s="785"/>
      <c r="AF28" s="785"/>
      <c r="AG28" s="785"/>
      <c r="AH28" s="785"/>
      <c r="AI28" s="785"/>
      <c r="AJ28" s="784">
        <f t="shared" si="2"/>
        <v>1</v>
      </c>
      <c r="AK28" s="784"/>
      <c r="AL28" s="785"/>
      <c r="AM28" s="785"/>
      <c r="AN28" s="785"/>
      <c r="AO28" s="785"/>
      <c r="AP28" s="785"/>
      <c r="AQ28" s="785"/>
      <c r="AR28" s="785"/>
      <c r="AS28" s="785"/>
      <c r="AT28" s="785"/>
      <c r="AU28" s="784">
        <f t="shared" si="3"/>
        <v>1</v>
      </c>
      <c r="AV28" s="784"/>
      <c r="AW28" s="785"/>
      <c r="AX28" s="785"/>
      <c r="AY28" s="785"/>
      <c r="AZ28" s="785"/>
      <c r="BA28" s="785"/>
      <c r="BB28" s="785"/>
      <c r="BC28" s="785"/>
      <c r="BD28" s="785"/>
      <c r="BE28" s="785"/>
      <c r="BF28" s="784">
        <f t="shared" si="4"/>
        <v>1</v>
      </c>
      <c r="BG28" s="784"/>
      <c r="BH28" s="785"/>
      <c r="BI28" s="915">
        <f t="shared" si="11"/>
        <v>1</v>
      </c>
      <c r="BJ28" s="915">
        <f t="shared" si="11"/>
        <v>0</v>
      </c>
      <c r="BK28" s="785">
        <f>IF(AND(BI28&gt;0),BJ28/BI28,"No programado")</f>
        <v>0</v>
      </c>
      <c r="BL28" s="785">
        <f t="shared" si="6"/>
        <v>0</v>
      </c>
      <c r="BM28" s="786">
        <f t="shared" si="1"/>
        <v>0</v>
      </c>
      <c r="BN28" s="1161"/>
      <c r="BO28" s="1191"/>
      <c r="BP28" s="931"/>
      <c r="BQ28" s="931"/>
    </row>
    <row r="29" spans="2:69" ht="111.6" customHeight="1">
      <c r="B29" s="1140"/>
      <c r="C29" s="1272"/>
      <c r="D29" s="1316"/>
      <c r="E29" s="1269"/>
      <c r="F29" s="1272"/>
      <c r="G29" s="1272"/>
      <c r="H29" s="51" t="str">
        <f>+'1.Informe Seguimiento POA 2021'!D33</f>
        <v>1.3.4 Realizar 1 coordinación interinstitucional para focalizar los servicios y ayudas efectivas que soliciten las poblaciones vulnerables con énfasis en sujetos de especial protección constitucional, en particular, personas mayores, mujeres y población migrante.</v>
      </c>
      <c r="I29" s="884">
        <f>+'1.Informe Seguimiento POA 2021'!E33</f>
        <v>0.02</v>
      </c>
      <c r="J29" s="782">
        <f>+'1.Informe Seguimiento POA 2021'!F33</f>
        <v>1</v>
      </c>
      <c r="K29" s="885" t="str">
        <f>+'1.Informe Seguimiento POA 2021'!I33</f>
        <v>Promoción y Defensa de Derechos</v>
      </c>
      <c r="L29" s="885" t="str">
        <f>+'1.Informe Seguimiento POA 2021'!J33</f>
        <v>P.D. para la Coordinación del MP y DDHH y sus dependencias adscritas
P.D. para la Coordinación de la Gestión de Personerías Locales y sus Personerías Locales adscritas</v>
      </c>
      <c r="M29" s="783">
        <f>+'1.Informe Seguimiento POA 2021'!K33</f>
        <v>0</v>
      </c>
      <c r="N29" s="783">
        <f>+'1.Informe Seguimiento POA 2021'!L33</f>
        <v>1</v>
      </c>
      <c r="O29" s="783">
        <f>+'1.Informe Seguimiento POA 2021'!M33</f>
        <v>0</v>
      </c>
      <c r="P29" s="783">
        <f>+'1.Informe Seguimiento POA 2021'!N33</f>
        <v>0</v>
      </c>
      <c r="Q29" s="784">
        <f>+'1.Informe Seguimiento POA 2021'!O33</f>
        <v>0</v>
      </c>
      <c r="R29" s="784">
        <f>+'1.Informe Seguimiento POA 2021'!P33</f>
        <v>0</v>
      </c>
      <c r="S29" s="784">
        <f>+'1.Informe Seguimiento POA 2021'!Q33</f>
        <v>0</v>
      </c>
      <c r="T29" s="798">
        <f>+'1.Informe Seguimiento POA 2021'!R33</f>
        <v>0</v>
      </c>
      <c r="U29" s="784">
        <f>+'1.Informe Seguimiento POA 2021'!S33</f>
        <v>0</v>
      </c>
      <c r="V29" s="798">
        <f>+'1.Informe Seguimiento POA 2021'!T33</f>
        <v>0</v>
      </c>
      <c r="W29" s="784">
        <f>+'1.Informe Seguimiento POA 2021'!U33</f>
        <v>0</v>
      </c>
      <c r="X29" s="784">
        <f>+'1.Informe Seguimiento POA 2021'!V33</f>
        <v>0</v>
      </c>
      <c r="Y29" s="784">
        <f>+'1.Informe Seguimiento POA 2021'!W33</f>
        <v>0</v>
      </c>
      <c r="Z29" s="784">
        <f>+'1.Informe Seguimiento POA 2021'!X33</f>
        <v>0</v>
      </c>
      <c r="AA29" s="888" t="str">
        <f>+'1.Informe Seguimiento POA 2021'!Y33</f>
        <v>No programado</v>
      </c>
      <c r="AB29" s="785"/>
      <c r="AC29" s="785"/>
      <c r="AD29" s="785"/>
      <c r="AE29" s="785"/>
      <c r="AF29" s="785"/>
      <c r="AG29" s="785"/>
      <c r="AH29" s="785"/>
      <c r="AI29" s="785"/>
      <c r="AJ29" s="784">
        <f t="shared" si="2"/>
        <v>1</v>
      </c>
      <c r="AK29" s="784"/>
      <c r="AL29" s="785"/>
      <c r="AM29" s="785"/>
      <c r="AN29" s="785"/>
      <c r="AO29" s="785"/>
      <c r="AP29" s="785"/>
      <c r="AQ29" s="785"/>
      <c r="AR29" s="785"/>
      <c r="AS29" s="785"/>
      <c r="AT29" s="785"/>
      <c r="AU29" s="784">
        <f t="shared" si="3"/>
        <v>0</v>
      </c>
      <c r="AV29" s="784"/>
      <c r="AW29" s="785"/>
      <c r="AX29" s="785"/>
      <c r="AY29" s="785"/>
      <c r="AZ29" s="785"/>
      <c r="BA29" s="785"/>
      <c r="BB29" s="785"/>
      <c r="BC29" s="785"/>
      <c r="BD29" s="785"/>
      <c r="BE29" s="785"/>
      <c r="BF29" s="784">
        <f t="shared" si="4"/>
        <v>0</v>
      </c>
      <c r="BG29" s="784"/>
      <c r="BH29" s="785"/>
      <c r="BI29" s="915">
        <f t="shared" si="11"/>
        <v>0</v>
      </c>
      <c r="BJ29" s="915">
        <f t="shared" si="11"/>
        <v>0</v>
      </c>
      <c r="BK29" s="785" t="str">
        <f t="shared" ref="BK29:BK93" si="12">IF(AND(BI29&gt;0),BJ29/BI29,"No programado")</f>
        <v>No programado</v>
      </c>
      <c r="BL29" s="785">
        <f t="shared" si="6"/>
        <v>0</v>
      </c>
      <c r="BM29" s="786">
        <f t="shared" si="1"/>
        <v>0</v>
      </c>
      <c r="BN29" s="1217"/>
      <c r="BO29" s="1191"/>
      <c r="BP29" s="931"/>
      <c r="BQ29" s="931"/>
    </row>
    <row r="30" spans="2:69" ht="102" customHeight="1">
      <c r="B30" s="1166" t="str">
        <f>+'Matriz PEI 2021-2024'!B13</f>
        <v>2. Realizar acciones de prevención y control a la Función Pública, en el marco del cumplimiento del Plan de Desarrollo, con énfasis en los Derechos e intereses colectivos.</v>
      </c>
      <c r="C30" s="1179" t="str">
        <f>+'Matriz PEI 2021-2024'!C13</f>
        <v>2.1. Realizar 22 acciones de prevención y control a la función pública en medio ambiente, agua, protección y bienestar animal y desarrollo urbano.</v>
      </c>
      <c r="D30" s="1275">
        <f>+'Matriz PEI 2021-2024'!E13</f>
        <v>22</v>
      </c>
      <c r="E30" s="1273">
        <f>+'Matriz PEI 2021-2024'!D13</f>
        <v>0.3</v>
      </c>
      <c r="F30" s="1179" t="s">
        <v>1012</v>
      </c>
      <c r="G30" s="1179" t="s">
        <v>1013</v>
      </c>
      <c r="H30" s="790" t="str">
        <f>+'1.Informe Seguimiento POA 2021'!D34</f>
        <v>2.1.1 Realizar 16 informes en los cuales se evalúen las políticas ambientales, el manejo de recursos hídricos, protección y bienestar animal y desarrollo urbano en el Distrito Capital.</v>
      </c>
      <c r="I30" s="152">
        <f>+'1.Informe Seguimiento POA 2021'!E34</f>
        <v>0.72727272727272696</v>
      </c>
      <c r="J30" s="791">
        <f>+'1.Informe Seguimiento POA 2021'!F34</f>
        <v>16</v>
      </c>
      <c r="K30" s="792" t="str">
        <f>+'1.Informe Seguimiento POA 2021'!I34</f>
        <v>Prevención y Control a la Función Pública</v>
      </c>
      <c r="L30" s="793" t="str">
        <f>+'1.Informe Seguimiento POA 2021'!J34</f>
        <v xml:space="preserve">Personería Delegada para la Coordinación de Prevención y Control a la Función Pública y sus Personerías Delegadas.
Personería Delegada para la Coordinación de Gestión de las Personerías Locales y sus Personerías Locales. </v>
      </c>
      <c r="M30" s="794">
        <f>+'1.Informe Seguimiento POA 2021'!K34</f>
        <v>3</v>
      </c>
      <c r="N30" s="794">
        <f>+'1.Informe Seguimiento POA 2021'!L34</f>
        <v>6</v>
      </c>
      <c r="O30" s="794">
        <f>+'1.Informe Seguimiento POA 2021'!M34</f>
        <v>6</v>
      </c>
      <c r="P30" s="794">
        <f>+'1.Informe Seguimiento POA 2021'!N34</f>
        <v>1</v>
      </c>
      <c r="Q30" s="795">
        <f>+'1.Informe Seguimiento POA 2021'!O34</f>
        <v>0</v>
      </c>
      <c r="R30" s="795">
        <f>+'1.Informe Seguimiento POA 2021'!P34</f>
        <v>0</v>
      </c>
      <c r="S30" s="795">
        <f>+'1.Informe Seguimiento POA 2021'!Q34</f>
        <v>0</v>
      </c>
      <c r="T30" s="889">
        <f>+'1.Informe Seguimiento POA 2021'!R34</f>
        <v>0</v>
      </c>
      <c r="U30" s="795">
        <f>+'1.Informe Seguimiento POA 2021'!S34</f>
        <v>2</v>
      </c>
      <c r="V30" s="889">
        <f>+'1.Informe Seguimiento POA 2021'!T34</f>
        <v>0</v>
      </c>
      <c r="W30" s="795">
        <f>+'1.Informe Seguimiento POA 2021'!U34</f>
        <v>1</v>
      </c>
      <c r="X30" s="889">
        <f>+'1.Informe Seguimiento POA 2021'!V34</f>
        <v>0</v>
      </c>
      <c r="Y30" s="795">
        <f>+'1.Informe Seguimiento POA 2021'!W34</f>
        <v>3</v>
      </c>
      <c r="Z30" s="795">
        <f>+'1.Informe Seguimiento POA 2021'!X34</f>
        <v>0</v>
      </c>
      <c r="AA30" s="796">
        <f>+'1.Informe Seguimiento POA 2021'!Y34</f>
        <v>0</v>
      </c>
      <c r="AB30" s="796"/>
      <c r="AC30" s="796"/>
      <c r="AD30" s="796"/>
      <c r="AE30" s="796"/>
      <c r="AF30" s="796"/>
      <c r="AG30" s="796"/>
      <c r="AH30" s="796"/>
      <c r="AI30" s="796"/>
      <c r="AJ30" s="795">
        <f t="shared" ref="AJ30:AJ36" si="13">+N30</f>
        <v>6</v>
      </c>
      <c r="AK30" s="795"/>
      <c r="AL30" s="796"/>
      <c r="AM30" s="796"/>
      <c r="AN30" s="796"/>
      <c r="AO30" s="796"/>
      <c r="AP30" s="796"/>
      <c r="AQ30" s="796"/>
      <c r="AR30" s="796"/>
      <c r="AS30" s="796"/>
      <c r="AT30" s="796"/>
      <c r="AU30" s="795">
        <f t="shared" ref="AU30:AU36" si="14">+O30</f>
        <v>6</v>
      </c>
      <c r="AV30" s="795"/>
      <c r="AW30" s="796"/>
      <c r="AX30" s="796"/>
      <c r="AY30" s="796"/>
      <c r="AZ30" s="796"/>
      <c r="BA30" s="796"/>
      <c r="BB30" s="796"/>
      <c r="BC30" s="796"/>
      <c r="BD30" s="796"/>
      <c r="BE30" s="796"/>
      <c r="BF30" s="795">
        <f t="shared" ref="BF30:BF36" si="15">+P30</f>
        <v>1</v>
      </c>
      <c r="BG30" s="795"/>
      <c r="BH30" s="796"/>
      <c r="BI30" s="795">
        <f t="shared" si="11"/>
        <v>2</v>
      </c>
      <c r="BJ30" s="795">
        <f t="shared" si="11"/>
        <v>0</v>
      </c>
      <c r="BK30" s="912">
        <f t="shared" si="12"/>
        <v>0</v>
      </c>
      <c r="BL30" s="796">
        <f t="shared" si="6"/>
        <v>0</v>
      </c>
      <c r="BM30" s="797">
        <f t="shared" si="1"/>
        <v>0</v>
      </c>
      <c r="BN30" s="1211">
        <f>+BM30+BM31</f>
        <v>4.5454545454545497E-2</v>
      </c>
      <c r="BO30" s="1163">
        <f>(IF(AND(BN30&gt;0,E30&gt;0),BN30*E30))+(IF(AND(BN32&gt;0,E32&gt;0),BN32*E32))+(IF(AND(BN34&gt;0,E34&gt;0),BN34*E34))</f>
        <v>0.16345916795069337</v>
      </c>
      <c r="BP30" s="931"/>
      <c r="BQ30" s="931"/>
    </row>
    <row r="31" spans="2:69" ht="120" customHeight="1">
      <c r="B31" s="1158"/>
      <c r="C31" s="1234"/>
      <c r="D31" s="1276"/>
      <c r="E31" s="1274"/>
      <c r="F31" s="1234"/>
      <c r="G31" s="1234"/>
      <c r="H31" s="790" t="str">
        <f>+'1.Informe Seguimiento POA 2021'!D35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1" s="152">
        <f>+'1.Informe Seguimiento POA 2021'!E35</f>
        <v>0.27272727272727298</v>
      </c>
      <c r="J31" s="791">
        <f>+'1.Informe Seguimiento POA 2021'!F35</f>
        <v>6</v>
      </c>
      <c r="K31" s="792" t="str">
        <f>+'1.Informe Seguimiento POA 2021'!I35</f>
        <v>Prevención y Control a la Función Pública</v>
      </c>
      <c r="L31" s="793" t="str">
        <f>+'1.Informe Seguimiento POA 2021'!J35</f>
        <v xml:space="preserve">Personería Delegada para la Coordinación de Prevención y Control a la Función Pública y sus Personerías Delegadas.
Personería Delegada para la Coordinación de Gestión de las Personerías Locales y sus Personerías Locales. </v>
      </c>
      <c r="M31" s="794">
        <f>+'1.Informe Seguimiento POA 2021'!K35</f>
        <v>1</v>
      </c>
      <c r="N31" s="794">
        <f>+'1.Informe Seguimiento POA 2021'!L35</f>
        <v>1</v>
      </c>
      <c r="O31" s="794">
        <f>+'1.Informe Seguimiento POA 2021'!M35</f>
        <v>3</v>
      </c>
      <c r="P31" s="794">
        <f>+'1.Informe Seguimiento POA 2021'!N35</f>
        <v>1</v>
      </c>
      <c r="Q31" s="795">
        <f>+'1.Informe Seguimiento POA 2021'!O35</f>
        <v>1</v>
      </c>
      <c r="R31" s="795">
        <f>+'1.Informe Seguimiento POA 2021'!P35</f>
        <v>1</v>
      </c>
      <c r="S31" s="795">
        <f>+'1.Informe Seguimiento POA 2021'!Q35</f>
        <v>0</v>
      </c>
      <c r="T31" s="889">
        <f>+'1.Informe Seguimiento POA 2021'!R35</f>
        <v>0</v>
      </c>
      <c r="U31" s="795">
        <f>+'1.Informe Seguimiento POA 2021'!S35</f>
        <v>0</v>
      </c>
      <c r="V31" s="889">
        <f>+'1.Informe Seguimiento POA 2021'!T35</f>
        <v>0</v>
      </c>
      <c r="W31" s="795">
        <f>+'1.Informe Seguimiento POA 2021'!U35</f>
        <v>0</v>
      </c>
      <c r="X31" s="889">
        <f>+'1.Informe Seguimiento POA 2021'!V35</f>
        <v>0</v>
      </c>
      <c r="Y31" s="795">
        <f>+'1.Informe Seguimiento POA 2021'!W35</f>
        <v>1</v>
      </c>
      <c r="Z31" s="795">
        <f>+'1.Informe Seguimiento POA 2021'!X35</f>
        <v>1</v>
      </c>
      <c r="AA31" s="796">
        <f>+'1.Informe Seguimiento POA 2021'!Y35</f>
        <v>1</v>
      </c>
      <c r="AB31" s="796"/>
      <c r="AC31" s="796"/>
      <c r="AD31" s="796"/>
      <c r="AE31" s="796"/>
      <c r="AF31" s="796"/>
      <c r="AG31" s="796"/>
      <c r="AH31" s="796"/>
      <c r="AI31" s="796"/>
      <c r="AJ31" s="795">
        <f t="shared" si="13"/>
        <v>1</v>
      </c>
      <c r="AK31" s="795"/>
      <c r="AL31" s="796"/>
      <c r="AM31" s="796"/>
      <c r="AN31" s="796"/>
      <c r="AO31" s="796"/>
      <c r="AP31" s="796"/>
      <c r="AQ31" s="796"/>
      <c r="AR31" s="796"/>
      <c r="AS31" s="796"/>
      <c r="AT31" s="796"/>
      <c r="AU31" s="795">
        <f t="shared" si="14"/>
        <v>3</v>
      </c>
      <c r="AV31" s="795"/>
      <c r="AW31" s="796"/>
      <c r="AX31" s="796"/>
      <c r="AY31" s="796"/>
      <c r="AZ31" s="796"/>
      <c r="BA31" s="796"/>
      <c r="BB31" s="796"/>
      <c r="BC31" s="796"/>
      <c r="BD31" s="796"/>
      <c r="BE31" s="796"/>
      <c r="BF31" s="795">
        <f t="shared" si="15"/>
        <v>1</v>
      </c>
      <c r="BG31" s="795"/>
      <c r="BH31" s="796"/>
      <c r="BI31" s="795">
        <f t="shared" si="11"/>
        <v>1</v>
      </c>
      <c r="BJ31" s="795">
        <f t="shared" si="11"/>
        <v>1</v>
      </c>
      <c r="BK31" s="912">
        <f t="shared" si="12"/>
        <v>1</v>
      </c>
      <c r="BL31" s="796">
        <f t="shared" si="6"/>
        <v>0.16666666666666666</v>
      </c>
      <c r="BM31" s="797">
        <f t="shared" si="1"/>
        <v>4.5454545454545497E-2</v>
      </c>
      <c r="BN31" s="1211"/>
      <c r="BO31" s="1164"/>
      <c r="BP31" s="931"/>
      <c r="BQ31" s="931"/>
    </row>
    <row r="32" spans="2:69" ht="100.5" customHeight="1">
      <c r="B32" s="1158"/>
      <c r="C32" s="1179" t="str">
        <f>+'Matriz PEI 2021-2024'!C14</f>
        <v>2.2. Fortalecer la moralidad publica realizando  880 acciones de prevención y control a la función pública.</v>
      </c>
      <c r="D32" s="1275">
        <f>+'Matriz PEI 2021-2024'!E14</f>
        <v>880</v>
      </c>
      <c r="E32" s="1273">
        <f>+'Matriz PEI 2021-2024'!D14</f>
        <v>0.6</v>
      </c>
      <c r="F32" s="1179" t="s">
        <v>1014</v>
      </c>
      <c r="G32" s="1179" t="s">
        <v>1015</v>
      </c>
      <c r="H32" s="790" t="str">
        <f>+'1.Informe Seguimiento POA 2021'!D36</f>
        <v>2.2.1 Realizar 790 acciones de prevención y control a la función pública para fortalecer la moralidad pública.</v>
      </c>
      <c r="I32" s="152">
        <f>+'1.Informe Seguimiento POA 2021'!E36</f>
        <v>0.89772727272727271</v>
      </c>
      <c r="J32" s="791">
        <f>+'1.Informe Seguimiento POA 2021'!F36</f>
        <v>790</v>
      </c>
      <c r="K32" s="792" t="str">
        <f>+'1.Informe Seguimiento POA 2021'!I36</f>
        <v>Prevención y Control a la Función Pública</v>
      </c>
      <c r="L32" s="793" t="str">
        <f>+'1.Informe Seguimiento POA 2021'!J36</f>
        <v xml:space="preserve">Personería Delegada para la Coordinación de Prevención y Control a la Función Pública y sus Personerías Delegadas.
Personería Delegada para la Coordinación de Gestión de las Personerías Locales y sus Personerías Locales. </v>
      </c>
      <c r="M32" s="794">
        <f>+'1.Informe Seguimiento POA 2021'!K36</f>
        <v>200</v>
      </c>
      <c r="N32" s="794">
        <f>+'1.Informe Seguimiento POA 2021'!L36</f>
        <v>259</v>
      </c>
      <c r="O32" s="794">
        <f>+'1.Informe Seguimiento POA 2021'!M36</f>
        <v>259</v>
      </c>
      <c r="P32" s="794">
        <f>+'1.Informe Seguimiento POA 2021'!N36</f>
        <v>72</v>
      </c>
      <c r="Q32" s="795">
        <f>+'1.Informe Seguimiento POA 2021'!O36</f>
        <v>13</v>
      </c>
      <c r="R32" s="795">
        <f>+'1.Informe Seguimiento POA 2021'!P36</f>
        <v>37</v>
      </c>
      <c r="S32" s="795">
        <f>+'1.Informe Seguimiento POA 2021'!Q36</f>
        <v>70</v>
      </c>
      <c r="T32" s="889">
        <f>+'1.Informe Seguimiento POA 2021'!R36</f>
        <v>74</v>
      </c>
      <c r="U32" s="795">
        <f>+'1.Informe Seguimiento POA 2021'!S36</f>
        <v>72</v>
      </c>
      <c r="V32" s="889">
        <f>+'1.Informe Seguimiento POA 2021'!T36</f>
        <v>40</v>
      </c>
      <c r="W32" s="795">
        <f>+'1.Informe Seguimiento POA 2021'!U36</f>
        <v>45</v>
      </c>
      <c r="X32" s="889">
        <f>+'1.Informe Seguimiento POA 2021'!V36</f>
        <v>0</v>
      </c>
      <c r="Y32" s="795">
        <f>+'1.Informe Seguimiento POA 2021'!W36</f>
        <v>200</v>
      </c>
      <c r="Z32" s="795">
        <f>+'1.Informe Seguimiento POA 2021'!X36</f>
        <v>151</v>
      </c>
      <c r="AA32" s="796">
        <f>+'1.Informe Seguimiento POA 2021'!Y36</f>
        <v>0.755</v>
      </c>
      <c r="AB32" s="796"/>
      <c r="AC32" s="796"/>
      <c r="AD32" s="796"/>
      <c r="AE32" s="796"/>
      <c r="AF32" s="796"/>
      <c r="AG32" s="796"/>
      <c r="AH32" s="796"/>
      <c r="AI32" s="796"/>
      <c r="AJ32" s="795">
        <f t="shared" si="13"/>
        <v>259</v>
      </c>
      <c r="AK32" s="795"/>
      <c r="AL32" s="796"/>
      <c r="AM32" s="796"/>
      <c r="AN32" s="796"/>
      <c r="AO32" s="796"/>
      <c r="AP32" s="796"/>
      <c r="AQ32" s="796"/>
      <c r="AR32" s="796"/>
      <c r="AS32" s="796"/>
      <c r="AT32" s="796"/>
      <c r="AU32" s="795">
        <f t="shared" si="14"/>
        <v>259</v>
      </c>
      <c r="AV32" s="795"/>
      <c r="AW32" s="796"/>
      <c r="AX32" s="796"/>
      <c r="AY32" s="796"/>
      <c r="AZ32" s="796"/>
      <c r="BA32" s="796"/>
      <c r="BB32" s="796"/>
      <c r="BC32" s="796"/>
      <c r="BD32" s="796"/>
      <c r="BE32" s="796"/>
      <c r="BF32" s="795">
        <f t="shared" si="15"/>
        <v>72</v>
      </c>
      <c r="BG32" s="795"/>
      <c r="BH32" s="796"/>
      <c r="BI32" s="795">
        <f t="shared" si="11"/>
        <v>155</v>
      </c>
      <c r="BJ32" s="795">
        <f t="shared" si="11"/>
        <v>151</v>
      </c>
      <c r="BK32" s="912">
        <f t="shared" si="12"/>
        <v>0.97419354838709682</v>
      </c>
      <c r="BL32" s="796">
        <f t="shared" si="6"/>
        <v>0.19113924050632911</v>
      </c>
      <c r="BM32" s="797">
        <f t="shared" si="1"/>
        <v>0.17159090909090907</v>
      </c>
      <c r="BN32" s="1211">
        <f>+BM32+BM33</f>
        <v>0.1977272727272727</v>
      </c>
      <c r="BO32" s="1164"/>
      <c r="BP32" s="931"/>
      <c r="BQ32" s="931"/>
    </row>
    <row r="33" spans="2:69" ht="100.5" customHeight="1">
      <c r="B33" s="1158"/>
      <c r="C33" s="1234"/>
      <c r="D33" s="1276"/>
      <c r="E33" s="1274"/>
      <c r="F33" s="1234"/>
      <c r="G33" s="1234"/>
      <c r="H33" s="790" t="str">
        <f>+'1.Informe Seguimiento POA 2021'!D37</f>
        <v>2.2.2 Realizar 90 acciones de prevención y control a la función pública - seguimientos, para fortalecer la moralidad pública en el Distrito Capital.</v>
      </c>
      <c r="I33" s="152">
        <f>+'1.Informe Seguimiento POA 2021'!E37</f>
        <v>0.10227272727272728</v>
      </c>
      <c r="J33" s="791">
        <f>+'1.Informe Seguimiento POA 2021'!F37</f>
        <v>90</v>
      </c>
      <c r="K33" s="792" t="str">
        <f>+'1.Informe Seguimiento POA 2021'!I37</f>
        <v>Prevención y Control a la Función Pública</v>
      </c>
      <c r="L33" s="793" t="str">
        <f>+'1.Informe Seguimiento POA 2021'!J37</f>
        <v xml:space="preserve">Personería Delegada para la Coordinación de Prevención y Control a la Función Pública y sus Personerías Delegadas.
Personería Delegada para la Coordinación de Gestión de las Personerías Locales y sus Personerías Locales. </v>
      </c>
      <c r="M33" s="794">
        <f>+'1.Informe Seguimiento POA 2021'!K37</f>
        <v>20</v>
      </c>
      <c r="N33" s="794">
        <f>+'1.Informe Seguimiento POA 2021'!L37</f>
        <v>30</v>
      </c>
      <c r="O33" s="794">
        <f>+'1.Informe Seguimiento POA 2021'!M37</f>
        <v>30</v>
      </c>
      <c r="P33" s="794">
        <f>+'1.Informe Seguimiento POA 2021'!N37</f>
        <v>10</v>
      </c>
      <c r="Q33" s="795">
        <f>+'1.Informe Seguimiento POA 2021'!O37</f>
        <v>0</v>
      </c>
      <c r="R33" s="795">
        <f>+'1.Informe Seguimiento POA 2021'!P37</f>
        <v>0</v>
      </c>
      <c r="S33" s="795">
        <f>+'1.Informe Seguimiento POA 2021'!Q37</f>
        <v>4</v>
      </c>
      <c r="T33" s="889">
        <f>+'1.Informe Seguimiento POA 2021'!R37</f>
        <v>23</v>
      </c>
      <c r="U33" s="795">
        <f>+'1.Informe Seguimiento POA 2021'!S37</f>
        <v>8</v>
      </c>
      <c r="V33" s="889">
        <f>+'1.Informe Seguimiento POA 2021'!T37</f>
        <v>0</v>
      </c>
      <c r="W33" s="795">
        <f>+'1.Informe Seguimiento POA 2021'!U37</f>
        <v>8</v>
      </c>
      <c r="X33" s="889">
        <f>+'1.Informe Seguimiento POA 2021'!V37</f>
        <v>0</v>
      </c>
      <c r="Y33" s="795">
        <f>+'1.Informe Seguimiento POA 2021'!W37</f>
        <v>20</v>
      </c>
      <c r="Z33" s="795">
        <f>+'1.Informe Seguimiento POA 2021'!X37</f>
        <v>23</v>
      </c>
      <c r="AA33" s="796">
        <f>+'1.Informe Seguimiento POA 2021'!Y37</f>
        <v>1.1499999999999999</v>
      </c>
      <c r="AB33" s="796"/>
      <c r="AC33" s="796"/>
      <c r="AD33" s="796"/>
      <c r="AE33" s="796"/>
      <c r="AF33" s="796"/>
      <c r="AG33" s="796"/>
      <c r="AH33" s="796"/>
      <c r="AI33" s="796"/>
      <c r="AJ33" s="795">
        <f t="shared" si="13"/>
        <v>30</v>
      </c>
      <c r="AK33" s="795"/>
      <c r="AL33" s="796"/>
      <c r="AM33" s="796"/>
      <c r="AN33" s="796"/>
      <c r="AO33" s="796"/>
      <c r="AP33" s="796"/>
      <c r="AQ33" s="796"/>
      <c r="AR33" s="796"/>
      <c r="AS33" s="796"/>
      <c r="AT33" s="796"/>
      <c r="AU33" s="795">
        <f t="shared" si="14"/>
        <v>30</v>
      </c>
      <c r="AV33" s="795"/>
      <c r="AW33" s="796"/>
      <c r="AX33" s="796"/>
      <c r="AY33" s="796"/>
      <c r="AZ33" s="796"/>
      <c r="BA33" s="796"/>
      <c r="BB33" s="796"/>
      <c r="BC33" s="796"/>
      <c r="BD33" s="796"/>
      <c r="BE33" s="796"/>
      <c r="BF33" s="795">
        <f t="shared" si="15"/>
        <v>10</v>
      </c>
      <c r="BG33" s="795"/>
      <c r="BH33" s="796"/>
      <c r="BI33" s="795">
        <f t="shared" si="11"/>
        <v>12</v>
      </c>
      <c r="BJ33" s="795">
        <f t="shared" si="11"/>
        <v>23</v>
      </c>
      <c r="BK33" s="912">
        <f t="shared" si="12"/>
        <v>1.9166666666666667</v>
      </c>
      <c r="BL33" s="796">
        <f t="shared" si="6"/>
        <v>0.25555555555555554</v>
      </c>
      <c r="BM33" s="797">
        <f t="shared" si="1"/>
        <v>2.6136363636363635E-2</v>
      </c>
      <c r="BN33" s="1211"/>
      <c r="BO33" s="1164"/>
      <c r="BP33" s="931"/>
      <c r="BQ33" s="931"/>
    </row>
    <row r="34" spans="2:69" ht="65.25" customHeight="1">
      <c r="B34" s="1158"/>
      <c r="C34" s="1179" t="str">
        <f>+'Matriz PEI 2021-2024'!C15</f>
        <v>2.3. Fortalecer 295 espacios de participación ciudadana en la Personería de Bogotá</v>
      </c>
      <c r="D34" s="1275">
        <f>+'Matriz PEI 2021-2024'!E15</f>
        <v>295</v>
      </c>
      <c r="E34" s="1273">
        <f>+'Matriz PEI 2021-2024'!D15</f>
        <v>0.1</v>
      </c>
      <c r="F34" s="1179" t="s">
        <v>1016</v>
      </c>
      <c r="G34" s="1179" t="s">
        <v>1017</v>
      </c>
      <c r="H34" s="790" t="str">
        <f>+'1.Informe Seguimiento POA 2021'!D38</f>
        <v>2.3.1 Realizar 55 audiencias públicas y/o mesas de trabajo, las cuales permitan la participación ciudadana, con énfasis en los Derechos e intereses colectivos.</v>
      </c>
      <c r="I34" s="152">
        <f>+'1.Informe Seguimiento POA 2021'!E38</f>
        <v>0.1864406779661017</v>
      </c>
      <c r="J34" s="791">
        <f>+'1.Informe Seguimiento POA 2021'!F38</f>
        <v>55</v>
      </c>
      <c r="K34" s="792" t="str">
        <f>+'1.Informe Seguimiento POA 2021'!I38</f>
        <v>Prevención y Control a la Función Pública</v>
      </c>
      <c r="L34" s="793" t="str">
        <f>+'1.Informe Seguimiento POA 2021'!J38</f>
        <v>Personería Delegada para la Coordinación de Prevención y Control a la Función Pública y sus Personerías Delegadas.</v>
      </c>
      <c r="M34" s="794">
        <f>+'1.Informe Seguimiento POA 2021'!K38</f>
        <v>7</v>
      </c>
      <c r="N34" s="794">
        <f>+'1.Informe Seguimiento POA 2021'!L38</f>
        <v>21</v>
      </c>
      <c r="O34" s="794">
        <f>+'1.Informe Seguimiento POA 2021'!M38</f>
        <v>23</v>
      </c>
      <c r="P34" s="794">
        <f>+'1.Informe Seguimiento POA 2021'!N38</f>
        <v>4</v>
      </c>
      <c r="Q34" s="795">
        <f>+'1.Informe Seguimiento POA 2021'!O38</f>
        <v>1</v>
      </c>
      <c r="R34" s="795">
        <f>+'1.Informe Seguimiento POA 2021'!P38</f>
        <v>2</v>
      </c>
      <c r="S34" s="795">
        <f>+'1.Informe Seguimiento POA 2021'!Q38</f>
        <v>3</v>
      </c>
      <c r="T34" s="889">
        <f>+'1.Informe Seguimiento POA 2021'!R38</f>
        <v>3</v>
      </c>
      <c r="U34" s="795">
        <f>+'1.Informe Seguimiento POA 2021'!S38</f>
        <v>3</v>
      </c>
      <c r="V34" s="889">
        <f>+'1.Informe Seguimiento POA 2021'!T38</f>
        <v>3</v>
      </c>
      <c r="W34" s="795">
        <f>+'1.Informe Seguimiento POA 2021'!U38</f>
        <v>0</v>
      </c>
      <c r="X34" s="889">
        <f>+'1.Informe Seguimiento POA 2021'!V38</f>
        <v>0</v>
      </c>
      <c r="Y34" s="795">
        <f>+'1.Informe Seguimiento POA 2021'!W38</f>
        <v>7</v>
      </c>
      <c r="Z34" s="795">
        <f>+'1.Informe Seguimiento POA 2021'!X38</f>
        <v>8</v>
      </c>
      <c r="AA34" s="796">
        <f>+'1.Informe Seguimiento POA 2021'!Y38</f>
        <v>1.1428571428571428</v>
      </c>
      <c r="AB34" s="796"/>
      <c r="AC34" s="796"/>
      <c r="AD34" s="796"/>
      <c r="AE34" s="796"/>
      <c r="AF34" s="796"/>
      <c r="AG34" s="796"/>
      <c r="AH34" s="796"/>
      <c r="AI34" s="796"/>
      <c r="AJ34" s="795">
        <f t="shared" si="13"/>
        <v>21</v>
      </c>
      <c r="AK34" s="795"/>
      <c r="AL34" s="796"/>
      <c r="AM34" s="796"/>
      <c r="AN34" s="796"/>
      <c r="AO34" s="796"/>
      <c r="AP34" s="796"/>
      <c r="AQ34" s="796"/>
      <c r="AR34" s="796"/>
      <c r="AS34" s="796"/>
      <c r="AT34" s="796"/>
      <c r="AU34" s="795">
        <f t="shared" si="14"/>
        <v>23</v>
      </c>
      <c r="AV34" s="795"/>
      <c r="AW34" s="796"/>
      <c r="AX34" s="796"/>
      <c r="AY34" s="796"/>
      <c r="AZ34" s="796"/>
      <c r="BA34" s="796"/>
      <c r="BB34" s="796"/>
      <c r="BC34" s="796"/>
      <c r="BD34" s="796"/>
      <c r="BE34" s="796"/>
      <c r="BF34" s="795">
        <f t="shared" si="15"/>
        <v>4</v>
      </c>
      <c r="BG34" s="795"/>
      <c r="BH34" s="796"/>
      <c r="BI34" s="795">
        <f t="shared" si="11"/>
        <v>7</v>
      </c>
      <c r="BJ34" s="795">
        <f t="shared" si="11"/>
        <v>8</v>
      </c>
      <c r="BK34" s="912">
        <f t="shared" si="12"/>
        <v>1.1428571428571428</v>
      </c>
      <c r="BL34" s="796">
        <f t="shared" si="6"/>
        <v>0.14545454545454545</v>
      </c>
      <c r="BM34" s="797">
        <f t="shared" si="1"/>
        <v>2.7118644067796609E-2</v>
      </c>
      <c r="BN34" s="1164">
        <f>+BM34+BM35+BM36</f>
        <v>0.31186440677966099</v>
      </c>
      <c r="BO34" s="1164"/>
      <c r="BP34" s="931"/>
      <c r="BQ34" s="931"/>
    </row>
    <row r="35" spans="2:69" ht="63.75" customHeight="1">
      <c r="B35" s="1158"/>
      <c r="C35" s="1180"/>
      <c r="D35" s="1277"/>
      <c r="E35" s="1278"/>
      <c r="F35" s="1180"/>
      <c r="G35" s="1180"/>
      <c r="H35" s="790" t="str">
        <f>+'1.Informe Seguimiento POA 2021'!D39</f>
        <v>2.3.2 Realizar 140 acompañamientos a los ciudadanos que intervienen en los diferentes espacios de participación ciudadana.</v>
      </c>
      <c r="I35" s="152">
        <f>+'1.Informe Seguimiento POA 2021'!E39</f>
        <v>0.47457627118644069</v>
      </c>
      <c r="J35" s="791">
        <f>+'1.Informe Seguimiento POA 2021'!F39</f>
        <v>140</v>
      </c>
      <c r="K35" s="792" t="str">
        <f>+'1.Informe Seguimiento POA 2021'!I39</f>
        <v>Prevención y Control a la Función Pública</v>
      </c>
      <c r="L35" s="793" t="str">
        <f>+'1.Informe Seguimiento POA 2021'!J39</f>
        <v xml:space="preserve">Personería Delegada para la Coordinación de Gestión de las Personerías Locales y sus Personerías Locales. </v>
      </c>
      <c r="M35" s="794">
        <f>+'1.Informe Seguimiento POA 2021'!K39</f>
        <v>40</v>
      </c>
      <c r="N35" s="794">
        <f>+'1.Informe Seguimiento POA 2021'!L39</f>
        <v>40</v>
      </c>
      <c r="O35" s="794">
        <f>+'1.Informe Seguimiento POA 2021'!M39</f>
        <v>40</v>
      </c>
      <c r="P35" s="794">
        <f>+'1.Informe Seguimiento POA 2021'!N39</f>
        <v>20</v>
      </c>
      <c r="Q35" s="795">
        <f>+'1.Informe Seguimiento POA 2021'!O39</f>
        <v>8</v>
      </c>
      <c r="R35" s="795">
        <f>+'1.Informe Seguimiento POA 2021'!P39</f>
        <v>23</v>
      </c>
      <c r="S35" s="795">
        <f>+'1.Informe Seguimiento POA 2021'!Q39</f>
        <v>12</v>
      </c>
      <c r="T35" s="889">
        <f>+'1.Informe Seguimiento POA 2021'!R39</f>
        <v>21</v>
      </c>
      <c r="U35" s="795">
        <f>+'1.Informe Seguimiento POA 2021'!S39</f>
        <v>12</v>
      </c>
      <c r="V35" s="889">
        <f>+'1.Informe Seguimiento POA 2021'!T39</f>
        <v>26</v>
      </c>
      <c r="W35" s="795">
        <f>+'1.Informe Seguimiento POA 2021'!U39</f>
        <v>8</v>
      </c>
      <c r="X35" s="889">
        <f>+'1.Informe Seguimiento POA 2021'!V39</f>
        <v>0</v>
      </c>
      <c r="Y35" s="795">
        <f>+'1.Informe Seguimiento POA 2021'!W39</f>
        <v>40</v>
      </c>
      <c r="Z35" s="795">
        <f>+'1.Informe Seguimiento POA 2021'!X39</f>
        <v>70</v>
      </c>
      <c r="AA35" s="796">
        <f>+'1.Informe Seguimiento POA 2021'!Y39</f>
        <v>1.75</v>
      </c>
      <c r="AB35" s="796"/>
      <c r="AC35" s="796"/>
      <c r="AD35" s="796"/>
      <c r="AE35" s="796"/>
      <c r="AF35" s="796"/>
      <c r="AG35" s="796"/>
      <c r="AH35" s="796"/>
      <c r="AI35" s="796"/>
      <c r="AJ35" s="795">
        <f t="shared" si="13"/>
        <v>40</v>
      </c>
      <c r="AK35" s="795"/>
      <c r="AL35" s="796"/>
      <c r="AM35" s="796"/>
      <c r="AN35" s="796"/>
      <c r="AO35" s="796"/>
      <c r="AP35" s="796"/>
      <c r="AQ35" s="796"/>
      <c r="AR35" s="796"/>
      <c r="AS35" s="796"/>
      <c r="AT35" s="796"/>
      <c r="AU35" s="795">
        <f t="shared" si="14"/>
        <v>40</v>
      </c>
      <c r="AV35" s="795"/>
      <c r="AW35" s="796"/>
      <c r="AX35" s="796"/>
      <c r="AY35" s="796"/>
      <c r="AZ35" s="796"/>
      <c r="BA35" s="796"/>
      <c r="BB35" s="796"/>
      <c r="BC35" s="796"/>
      <c r="BD35" s="796"/>
      <c r="BE35" s="796"/>
      <c r="BF35" s="795">
        <f t="shared" si="15"/>
        <v>20</v>
      </c>
      <c r="BG35" s="795"/>
      <c r="BH35" s="796"/>
      <c r="BI35" s="795">
        <f t="shared" si="11"/>
        <v>32</v>
      </c>
      <c r="BJ35" s="795">
        <f t="shared" si="11"/>
        <v>70</v>
      </c>
      <c r="BK35" s="912">
        <f t="shared" si="12"/>
        <v>2.1875</v>
      </c>
      <c r="BL35" s="796">
        <f t="shared" si="6"/>
        <v>0.5</v>
      </c>
      <c r="BM35" s="797">
        <f t="shared" si="1"/>
        <v>0.23728813559322035</v>
      </c>
      <c r="BN35" s="1164"/>
      <c r="BO35" s="1164"/>
      <c r="BP35" s="931"/>
      <c r="BQ35" s="931"/>
    </row>
    <row r="36" spans="2:69" ht="102" customHeight="1">
      <c r="B36" s="1159"/>
      <c r="C36" s="1234"/>
      <c r="D36" s="1276"/>
      <c r="E36" s="1274"/>
      <c r="F36" s="1234"/>
      <c r="G36" s="1234"/>
      <c r="H36" s="790" t="str">
        <f>+'1.Informe Seguimiento POA 2021'!D40</f>
        <v>2.3.3 Realizar 100 espacios de diálogo con las personas para retroalimentar las actividades de participación ciudadana</v>
      </c>
      <c r="I36" s="152">
        <f>+'1.Informe Seguimiento POA 2021'!E40</f>
        <v>0.33898305084745761</v>
      </c>
      <c r="J36" s="791">
        <f>+'1.Informe Seguimiento POA 2021'!F40</f>
        <v>100</v>
      </c>
      <c r="K36" s="792" t="str">
        <f>+'1.Informe Seguimiento POA 2021'!I40</f>
        <v>Prevención y Control a la Función Pública</v>
      </c>
      <c r="L36" s="793" t="str">
        <f>+'1.Informe Seguimiento POA 2021'!J40</f>
        <v>Personería Delegada para la Coordinación de Gestión de las Personerías Locales y sus Personerías Locales. 
Personería Delegada para la Coordinación de Prevención y Control a la Función Pública y sus Personerías Delegadas.</v>
      </c>
      <c r="M36" s="794">
        <f>+'1.Informe Seguimiento POA 2021'!K40</f>
        <v>20</v>
      </c>
      <c r="N36" s="794">
        <f>+'1.Informe Seguimiento POA 2021'!L40</f>
        <v>30</v>
      </c>
      <c r="O36" s="794">
        <f>+'1.Informe Seguimiento POA 2021'!M40</f>
        <v>30</v>
      </c>
      <c r="P36" s="794">
        <f>+'1.Informe Seguimiento POA 2021'!N40</f>
        <v>20</v>
      </c>
      <c r="Q36" s="795">
        <f>+'1.Informe Seguimiento POA 2021'!O40</f>
        <v>4</v>
      </c>
      <c r="R36" s="795">
        <f>+'1.Informe Seguimiento POA 2021'!P40</f>
        <v>0</v>
      </c>
      <c r="S36" s="795">
        <f>+'1.Informe Seguimiento POA 2021'!Q40</f>
        <v>6</v>
      </c>
      <c r="T36" s="889">
        <f>+'1.Informe Seguimiento POA 2021'!R40</f>
        <v>7</v>
      </c>
      <c r="U36" s="795">
        <f>+'1.Informe Seguimiento POA 2021'!S40</f>
        <v>6</v>
      </c>
      <c r="V36" s="889">
        <f>+'1.Informe Seguimiento POA 2021'!T40</f>
        <v>7</v>
      </c>
      <c r="W36" s="795">
        <f>+'1.Informe Seguimiento POA 2021'!U40</f>
        <v>4</v>
      </c>
      <c r="X36" s="889">
        <f>+'1.Informe Seguimiento POA 2021'!V40</f>
        <v>0</v>
      </c>
      <c r="Y36" s="795">
        <f>+'1.Informe Seguimiento POA 2021'!W40</f>
        <v>20</v>
      </c>
      <c r="Z36" s="795">
        <f>+'1.Informe Seguimiento POA 2021'!X40</f>
        <v>14</v>
      </c>
      <c r="AA36" s="796">
        <f>+'1.Informe Seguimiento POA 2021'!Y40</f>
        <v>0.7</v>
      </c>
      <c r="AB36" s="796"/>
      <c r="AC36" s="796"/>
      <c r="AD36" s="796"/>
      <c r="AE36" s="796"/>
      <c r="AF36" s="796"/>
      <c r="AG36" s="796"/>
      <c r="AH36" s="796"/>
      <c r="AI36" s="796"/>
      <c r="AJ36" s="795">
        <f t="shared" si="13"/>
        <v>30</v>
      </c>
      <c r="AK36" s="795"/>
      <c r="AL36" s="796"/>
      <c r="AM36" s="796"/>
      <c r="AN36" s="796"/>
      <c r="AO36" s="796"/>
      <c r="AP36" s="796"/>
      <c r="AQ36" s="796"/>
      <c r="AR36" s="796"/>
      <c r="AS36" s="796"/>
      <c r="AT36" s="796"/>
      <c r="AU36" s="795">
        <f t="shared" si="14"/>
        <v>30</v>
      </c>
      <c r="AV36" s="795"/>
      <c r="AW36" s="796"/>
      <c r="AX36" s="796"/>
      <c r="AY36" s="796"/>
      <c r="AZ36" s="796"/>
      <c r="BA36" s="796"/>
      <c r="BB36" s="796"/>
      <c r="BC36" s="796"/>
      <c r="BD36" s="796"/>
      <c r="BE36" s="796"/>
      <c r="BF36" s="795">
        <f t="shared" si="15"/>
        <v>20</v>
      </c>
      <c r="BG36" s="795"/>
      <c r="BH36" s="796"/>
      <c r="BI36" s="795">
        <f t="shared" si="11"/>
        <v>16</v>
      </c>
      <c r="BJ36" s="795">
        <f t="shared" si="11"/>
        <v>14</v>
      </c>
      <c r="BK36" s="912">
        <f t="shared" si="12"/>
        <v>0.875</v>
      </c>
      <c r="BL36" s="796">
        <f t="shared" si="6"/>
        <v>0.14000000000000001</v>
      </c>
      <c r="BM36" s="797">
        <f t="shared" si="1"/>
        <v>4.7457627118644069E-2</v>
      </c>
      <c r="BN36" s="1165"/>
      <c r="BO36" s="1165"/>
      <c r="BP36" s="931"/>
      <c r="BQ36" s="931"/>
    </row>
    <row r="37" spans="2:69" ht="93.75" customHeight="1">
      <c r="B37" s="1138" t="str">
        <f>+'Matriz PEI 2021-2024'!B16</f>
        <v>3. Vigilar la conducta oficial de los(as) servidores(as) públicos(as) del Distrito Capital, mediante acciones preventivas y correctivas, que permitan un adecuado cumplimiento de los principios de la Función Pública</v>
      </c>
      <c r="C37" s="1229" t="str">
        <f>+'Matriz PEI 2021-2024'!C16</f>
        <v>3.1. Descongestionar 4500 procesos disciplinarios con criterios de calidad, efectividad y garantía del debido proceso.</v>
      </c>
      <c r="D37" s="1288">
        <f>+'Matriz PEI 2021-2024'!E16</f>
        <v>4500</v>
      </c>
      <c r="E37" s="1290">
        <f>+'Matriz PEI 2021-2024'!D16</f>
        <v>0.4</v>
      </c>
      <c r="F37" s="881" t="s">
        <v>1018</v>
      </c>
      <c r="G37" s="882" t="s">
        <v>1019</v>
      </c>
      <c r="H37" s="51" t="str">
        <f>+'1.Informe Seguimiento POA 2021'!D41</f>
        <v xml:space="preserve">3.1.1 Identificar y decidir de fondo 4.500  procesos, priorizando aquellos que se encuentren con riesgo de prescripción y/o vencidos en su etapa procesal (indagación, investigación y juzgamiento). </v>
      </c>
      <c r="I37" s="884">
        <f>+'1.Informe Seguimiento POA 2021'!E41</f>
        <v>0.8</v>
      </c>
      <c r="J37" s="782">
        <f>+'1.Informe Seguimiento POA 2021'!F41</f>
        <v>4500</v>
      </c>
      <c r="K37" s="885" t="str">
        <f>+'1.Informe Seguimiento POA 2021'!I41</f>
        <v>Potestad Disciplinaria</v>
      </c>
      <c r="L37" s="885" t="str">
        <f>+'1.Informe Seguimiento POA 2021'!J41</f>
        <v>Personería Delegada para la Coordinación de Potestad Disciplinaria</v>
      </c>
      <c r="M37" s="783">
        <f>+'1.Informe Seguimiento POA 2021'!K41</f>
        <v>900</v>
      </c>
      <c r="N37" s="783">
        <f>+'1.Informe Seguimiento POA 2021'!L41</f>
        <v>1200</v>
      </c>
      <c r="O37" s="783">
        <f>+'1.Informe Seguimiento POA 2021'!M41</f>
        <v>1200</v>
      </c>
      <c r="P37" s="783">
        <f>+'1.Informe Seguimiento POA 2021'!N41</f>
        <v>1200</v>
      </c>
      <c r="Q37" s="784">
        <f>+'1.Informe Seguimiento POA 2021'!O41</f>
        <v>250</v>
      </c>
      <c r="R37" s="784">
        <f>+'1.Informe Seguimiento POA 2021'!P41</f>
        <v>319</v>
      </c>
      <c r="S37" s="784">
        <f>+'1.Informe Seguimiento POA 2021'!Q41</f>
        <v>450</v>
      </c>
      <c r="T37" s="784">
        <f>+'1.Informe Seguimiento POA 2021'!R41</f>
        <v>528</v>
      </c>
      <c r="U37" s="784">
        <f>+'1.Informe Seguimiento POA 2021'!S41</f>
        <v>140</v>
      </c>
      <c r="V37" s="784">
        <f>+'1.Informe Seguimiento POA 2021'!T41</f>
        <v>329</v>
      </c>
      <c r="W37" s="784">
        <f>+'1.Informe Seguimiento POA 2021'!U41</f>
        <v>60</v>
      </c>
      <c r="X37" s="784">
        <f>+'1.Informe Seguimiento POA 2021'!V41</f>
        <v>0</v>
      </c>
      <c r="Y37" s="784">
        <f>+'1.Informe Seguimiento POA 2021'!W41</f>
        <v>900</v>
      </c>
      <c r="Z37" s="784">
        <f>+'1.Informe Seguimiento POA 2021'!X41</f>
        <v>1176</v>
      </c>
      <c r="AA37" s="888">
        <f>+'1.Informe Seguimiento POA 2021'!Y41</f>
        <v>1.3066666666666666</v>
      </c>
      <c r="AB37" s="785"/>
      <c r="AC37" s="785"/>
      <c r="AD37" s="785"/>
      <c r="AE37" s="785"/>
      <c r="AF37" s="785"/>
      <c r="AG37" s="785"/>
      <c r="AH37" s="785"/>
      <c r="AI37" s="785"/>
      <c r="AJ37" s="784">
        <f t="shared" ref="AJ37:AJ38" si="16">+N37</f>
        <v>1200</v>
      </c>
      <c r="AK37" s="784"/>
      <c r="AL37" s="785"/>
      <c r="AM37" s="785"/>
      <c r="AN37" s="785"/>
      <c r="AO37" s="785"/>
      <c r="AP37" s="785"/>
      <c r="AQ37" s="785"/>
      <c r="AR37" s="785"/>
      <c r="AS37" s="785"/>
      <c r="AT37" s="785"/>
      <c r="AU37" s="784">
        <f t="shared" ref="AU37:AU38" si="17">+O37</f>
        <v>1200</v>
      </c>
      <c r="AV37" s="784"/>
      <c r="AW37" s="785"/>
      <c r="AX37" s="785"/>
      <c r="AY37" s="785"/>
      <c r="AZ37" s="785"/>
      <c r="BA37" s="785"/>
      <c r="BB37" s="785"/>
      <c r="BC37" s="785"/>
      <c r="BD37" s="785"/>
      <c r="BE37" s="785"/>
      <c r="BF37" s="784">
        <f t="shared" ref="BF37:BF38" si="18">+P37</f>
        <v>1200</v>
      </c>
      <c r="BG37" s="784"/>
      <c r="BH37" s="785"/>
      <c r="BI37" s="899">
        <f t="shared" si="11"/>
        <v>840</v>
      </c>
      <c r="BJ37" s="899">
        <f t="shared" si="11"/>
        <v>1176</v>
      </c>
      <c r="BK37" s="785">
        <f t="shared" si="12"/>
        <v>1.4</v>
      </c>
      <c r="BL37" s="785">
        <f t="shared" si="6"/>
        <v>0.26133333333333331</v>
      </c>
      <c r="BM37" s="786">
        <f t="shared" si="1"/>
        <v>0.20906666666666665</v>
      </c>
      <c r="BN37" s="1222">
        <f>SUM(BM37:BM38)</f>
        <v>0.22986944444444443</v>
      </c>
      <c r="BO37" s="1167">
        <f>(IF(AND(BN37&gt;0,E37&gt;0),BN37*E37))+(IF(AND(BN39&gt;0,E39&gt;0),BN39*E39))+(IF(AND(BN41&gt;0,E41&gt;0),BN41*E41))+(IF(AND(BN42&gt;0,E42&gt;0),BN42*E42))</f>
        <v>0.19064152777777776</v>
      </c>
      <c r="BP37" s="930"/>
      <c r="BQ37" s="930"/>
    </row>
    <row r="38" spans="2:69" ht="67.5" customHeight="1">
      <c r="B38" s="1139"/>
      <c r="C38" s="1272"/>
      <c r="D38" s="1289"/>
      <c r="E38" s="1291"/>
      <c r="F38" s="881" t="s">
        <v>321</v>
      </c>
      <c r="G38" s="882" t="s">
        <v>1020</v>
      </c>
      <c r="H38" s="51" t="str">
        <f>+'1.Informe Seguimiento POA 2021'!D42</f>
        <v>3.1.2 Evaluar y dar impulso procesal al 100% las noticias disciplinarias (quejas) puestas en conocimiento de la Entidad.</v>
      </c>
      <c r="I38" s="884">
        <f>+'1.Informe Seguimiento POA 2021'!E42</f>
        <v>0.2</v>
      </c>
      <c r="J38" s="880">
        <f>+'1.Informe Seguimiento POA 2021'!F42</f>
        <v>1</v>
      </c>
      <c r="K38" s="885" t="str">
        <f>+'1.Informe Seguimiento POA 2021'!I42</f>
        <v>Potestad Disciplinaria</v>
      </c>
      <c r="L38" s="885" t="str">
        <f>+'1.Informe Seguimiento POA 2021'!J42</f>
        <v>Personería Delegada para la Coordinación de Potestad Disciplinaria</v>
      </c>
      <c r="M38" s="876">
        <f>+'1.Informe Seguimiento POA 2021'!K42</f>
        <v>1</v>
      </c>
      <c r="N38" s="876">
        <f>+'1.Informe Seguimiento POA 2021'!L42</f>
        <v>1</v>
      </c>
      <c r="O38" s="876">
        <f>+'1.Informe Seguimiento POA 2021'!M42</f>
        <v>1</v>
      </c>
      <c r="P38" s="876">
        <f>+'1.Informe Seguimiento POA 2021'!N42</f>
        <v>1</v>
      </c>
      <c r="Q38" s="887">
        <f>+'1.Informe Seguimiento POA 2021'!O42</f>
        <v>1</v>
      </c>
      <c r="R38" s="887">
        <f>+'1.Informe Seguimiento POA 2021'!P42</f>
        <v>0.72299999999999998</v>
      </c>
      <c r="S38" s="887">
        <f>+'1.Informe Seguimiento POA 2021'!Q42</f>
        <v>1</v>
      </c>
      <c r="T38" s="887">
        <f>+'1.Informe Seguimiento POA 2021'!R42</f>
        <v>0.69200000000000006</v>
      </c>
      <c r="U38" s="887">
        <f>+'1.Informe Seguimiento POA 2021'!S42</f>
        <v>1</v>
      </c>
      <c r="V38" s="887">
        <f>+'1.Informe Seguimiento POA 2021'!T42</f>
        <v>1.0813333333333333</v>
      </c>
      <c r="W38" s="887">
        <f>+'1.Informe Seguimiento POA 2021'!U42</f>
        <v>1</v>
      </c>
      <c r="X38" s="887">
        <f>+'1.Informe Seguimiento POA 2021'!V42</f>
        <v>0</v>
      </c>
      <c r="Y38" s="788">
        <f>+'1.Informe Seguimiento POA 2021'!W42</f>
        <v>1</v>
      </c>
      <c r="Z38" s="788">
        <f>+'1.Informe Seguimiento POA 2021'!X42</f>
        <v>0.83199999999999996</v>
      </c>
      <c r="AA38" s="788">
        <f>+'1.Informe Seguimiento POA 2021'!Y42</f>
        <v>0.624</v>
      </c>
      <c r="AB38" s="785"/>
      <c r="AC38" s="785"/>
      <c r="AD38" s="785"/>
      <c r="AE38" s="785"/>
      <c r="AF38" s="785"/>
      <c r="AG38" s="785"/>
      <c r="AH38" s="785"/>
      <c r="AI38" s="785"/>
      <c r="AJ38" s="880">
        <f t="shared" si="16"/>
        <v>1</v>
      </c>
      <c r="AK38" s="880"/>
      <c r="AL38" s="896"/>
      <c r="AM38" s="896"/>
      <c r="AN38" s="896"/>
      <c r="AO38" s="896"/>
      <c r="AP38" s="896"/>
      <c r="AQ38" s="896"/>
      <c r="AR38" s="896"/>
      <c r="AS38" s="896"/>
      <c r="AT38" s="896"/>
      <c r="AU38" s="880">
        <f t="shared" si="17"/>
        <v>1</v>
      </c>
      <c r="AV38" s="880"/>
      <c r="AW38" s="896"/>
      <c r="AX38" s="896"/>
      <c r="AY38" s="896"/>
      <c r="AZ38" s="896"/>
      <c r="BA38" s="896"/>
      <c r="BB38" s="896"/>
      <c r="BC38" s="896"/>
      <c r="BD38" s="896"/>
      <c r="BE38" s="896"/>
      <c r="BF38" s="880">
        <f t="shared" si="18"/>
        <v>1</v>
      </c>
      <c r="BG38" s="880"/>
      <c r="BH38" s="896"/>
      <c r="BI38" s="785">
        <f>IFERROR(AVERAGE(Q38,S38,U38),0)</f>
        <v>1</v>
      </c>
      <c r="BJ38" s="785">
        <f>IFERROR(AVERAGE(R38,T38,V38),0)</f>
        <v>0.83211111111111113</v>
      </c>
      <c r="BK38" s="785">
        <f t="shared" si="12"/>
        <v>0.83211111111111113</v>
      </c>
      <c r="BL38" s="785">
        <f>(IF(AND(BJ38&gt;0,$J38&gt;0),BJ38/$J38,0)/4)*0.5</f>
        <v>0.10401388888888889</v>
      </c>
      <c r="BM38" s="786">
        <f t="shared" si="1"/>
        <v>2.0802777777777781E-2</v>
      </c>
      <c r="BN38" s="1223"/>
      <c r="BO38" s="1168"/>
      <c r="BP38" s="930"/>
      <c r="BQ38" s="930"/>
    </row>
    <row r="39" spans="2:69" ht="95.25" customHeight="1">
      <c r="B39" s="1139"/>
      <c r="C39" s="1229" t="str">
        <f>+'Matriz PEI 2021-2024'!C17</f>
        <v xml:space="preserve">3.2. Identificar el 100% de los hechos constitutivos de faltas disciplinarias para ejercer el poder preferente en las Oficinas de Control Interno Disciplinario, en temas de interés e impacto para el Distrito Capital. </v>
      </c>
      <c r="D39" s="1290">
        <f>+'Matriz PEI 2021-2024'!E17</f>
        <v>1</v>
      </c>
      <c r="E39" s="1290">
        <f>+'Matriz PEI 2021-2024'!D17</f>
        <v>0.15</v>
      </c>
      <c r="F39" s="883" t="s">
        <v>338</v>
      </c>
      <c r="G39" s="882" t="s">
        <v>1021</v>
      </c>
      <c r="H39" s="51" t="str">
        <f>+'1.Informe Seguimiento POA 2021'!D43</f>
        <v>3.2.1 Realizar una visita de seguimiento a las 51 Oficinas de Control Interno Disciplinario del Distrito e identificar hechos constitutivos de faltas relevantes en temas de interés e impacto en cada anualidad.</v>
      </c>
      <c r="I39" s="884">
        <f>+'1.Informe Seguimiento POA 2021'!E43</f>
        <v>0.5</v>
      </c>
      <c r="J39" s="782">
        <f>+'1.Informe Seguimiento POA 2021'!F43</f>
        <v>204</v>
      </c>
      <c r="K39" s="885" t="str">
        <f>+'1.Informe Seguimiento POA 2021'!I43</f>
        <v>Potestad Disciplinaria</v>
      </c>
      <c r="L39" s="885" t="str">
        <f>+'1.Informe Seguimiento POA 2021'!J43</f>
        <v>Personería Delegada para la Coordinación de Potestad Disciplinaria</v>
      </c>
      <c r="M39" s="783">
        <f>+'1.Informe Seguimiento POA 2021'!K43</f>
        <v>51</v>
      </c>
      <c r="N39" s="783">
        <f>+'1.Informe Seguimiento POA 2021'!L43</f>
        <v>51</v>
      </c>
      <c r="O39" s="783">
        <f>+'1.Informe Seguimiento POA 2021'!M43</f>
        <v>51</v>
      </c>
      <c r="P39" s="783">
        <f>+'1.Informe Seguimiento POA 2021'!N43</f>
        <v>51</v>
      </c>
      <c r="Q39" s="798">
        <f>+'1.Informe Seguimiento POA 2021'!O43</f>
        <v>0</v>
      </c>
      <c r="R39" s="798">
        <f>+'1.Informe Seguimiento POA 2021'!P43</f>
        <v>12</v>
      </c>
      <c r="S39" s="798">
        <f>+'1.Informe Seguimiento POA 2021'!Q43</f>
        <v>15</v>
      </c>
      <c r="T39" s="798">
        <f>+'1.Informe Seguimiento POA 2021'!R43</f>
        <v>39</v>
      </c>
      <c r="U39" s="798">
        <f>+'1.Informe Seguimiento POA 2021'!S43</f>
        <v>15</v>
      </c>
      <c r="V39" s="798">
        <f>+'1.Informe Seguimiento POA 2021'!T43</f>
        <v>0</v>
      </c>
      <c r="W39" s="798">
        <f>+'1.Informe Seguimiento POA 2021'!U43</f>
        <v>21</v>
      </c>
      <c r="X39" s="798">
        <f>+'1.Informe Seguimiento POA 2021'!V43</f>
        <v>0</v>
      </c>
      <c r="Y39" s="784">
        <f>+'1.Informe Seguimiento POA 2021'!W43</f>
        <v>51</v>
      </c>
      <c r="Z39" s="784">
        <f>+'1.Informe Seguimiento POA 2021'!X43</f>
        <v>51</v>
      </c>
      <c r="AA39" s="888">
        <f>+'1.Informe Seguimiento POA 2021'!Y43</f>
        <v>1</v>
      </c>
      <c r="AB39" s="785"/>
      <c r="AC39" s="785"/>
      <c r="AD39" s="785"/>
      <c r="AE39" s="785"/>
      <c r="AF39" s="785"/>
      <c r="AG39" s="785"/>
      <c r="AH39" s="785"/>
      <c r="AI39" s="785"/>
      <c r="AJ39" s="784">
        <f t="shared" ref="AJ39" si="19">+N39</f>
        <v>51</v>
      </c>
      <c r="AK39" s="784"/>
      <c r="AL39" s="785"/>
      <c r="AM39" s="785"/>
      <c r="AN39" s="785"/>
      <c r="AO39" s="785"/>
      <c r="AP39" s="785"/>
      <c r="AQ39" s="785"/>
      <c r="AR39" s="785"/>
      <c r="AS39" s="785"/>
      <c r="AT39" s="785"/>
      <c r="AU39" s="784">
        <f t="shared" ref="AU39" si="20">+O39</f>
        <v>51</v>
      </c>
      <c r="AV39" s="784"/>
      <c r="AW39" s="785"/>
      <c r="AX39" s="785"/>
      <c r="AY39" s="785"/>
      <c r="AZ39" s="785"/>
      <c r="BA39" s="785"/>
      <c r="BB39" s="785"/>
      <c r="BC39" s="785"/>
      <c r="BD39" s="785"/>
      <c r="BE39" s="785"/>
      <c r="BF39" s="784">
        <f t="shared" ref="BF39" si="21">+P39</f>
        <v>51</v>
      </c>
      <c r="BG39" s="784"/>
      <c r="BH39" s="785"/>
      <c r="BI39" s="899">
        <f t="shared" si="11"/>
        <v>30</v>
      </c>
      <c r="BJ39" s="899">
        <f t="shared" si="11"/>
        <v>51</v>
      </c>
      <c r="BK39" s="785">
        <f t="shared" si="12"/>
        <v>1.7</v>
      </c>
      <c r="BL39" s="785">
        <f t="shared" si="6"/>
        <v>0.25</v>
      </c>
      <c r="BM39" s="786">
        <f t="shared" si="1"/>
        <v>0.125</v>
      </c>
      <c r="BN39" s="1222">
        <f>SUM(BM39:BM40)</f>
        <v>0.140625</v>
      </c>
      <c r="BO39" s="1168"/>
      <c r="BP39" s="930"/>
      <c r="BQ39" s="930"/>
    </row>
    <row r="40" spans="2:69" ht="95.25" customHeight="1">
      <c r="B40" s="1139"/>
      <c r="C40" s="1272"/>
      <c r="D40" s="1291"/>
      <c r="E40" s="1308"/>
      <c r="F40" s="994" t="s">
        <v>322</v>
      </c>
      <c r="G40" s="994" t="s">
        <v>712</v>
      </c>
      <c r="H40" s="51" t="str">
        <f>+'1.Informe Seguimiento POA 2021'!D44</f>
        <v>3.2.2 Asumir por competencia preferente el 100% de los procesos cuyos temas sean considerados de interés e impacto el Distrito Capital.</v>
      </c>
      <c r="I40" s="884">
        <f>+'1.Informe Seguimiento POA 2021'!E44</f>
        <v>0.5</v>
      </c>
      <c r="J40" s="880">
        <f>+'1.Informe Seguimiento POA 2021'!F44</f>
        <v>1</v>
      </c>
      <c r="K40" s="885" t="str">
        <f>+'1.Informe Seguimiento POA 2021'!I44</f>
        <v>Potestad Disciplinaria</v>
      </c>
      <c r="L40" s="885" t="str">
        <f>+'1.Informe Seguimiento POA 2021'!J44</f>
        <v>Personería Delegada para la Coordinación de Potestad Disciplinaria</v>
      </c>
      <c r="M40" s="876">
        <f>+'1.Informe Seguimiento POA 2021'!K44</f>
        <v>1</v>
      </c>
      <c r="N40" s="876">
        <f>+'1.Informe Seguimiento POA 2021'!L44</f>
        <v>1</v>
      </c>
      <c r="O40" s="876">
        <f>+'1.Informe Seguimiento POA 2021'!M44</f>
        <v>1</v>
      </c>
      <c r="P40" s="876">
        <f>+'1.Informe Seguimiento POA 2021'!N44</f>
        <v>1</v>
      </c>
      <c r="Q40" s="887">
        <f>+'1.Informe Seguimiento POA 2021'!O44</f>
        <v>0</v>
      </c>
      <c r="R40" s="887">
        <f>+'1.Informe Seguimiento POA 2021'!P44</f>
        <v>1</v>
      </c>
      <c r="S40" s="887">
        <f>+'1.Informe Seguimiento POA 2021'!Q44</f>
        <v>1</v>
      </c>
      <c r="T40" s="887">
        <f>+'1.Informe Seguimiento POA 2021'!R44</f>
        <v>1</v>
      </c>
      <c r="U40" s="887">
        <f>+'1.Informe Seguimiento POA 2021'!S44</f>
        <v>1</v>
      </c>
      <c r="V40" s="887">
        <f>+'1.Informe Seguimiento POA 2021'!T44</f>
        <v>1</v>
      </c>
      <c r="W40" s="887">
        <f>+'1.Informe Seguimiento POA 2021'!U44</f>
        <v>1</v>
      </c>
      <c r="X40" s="887">
        <f>+'1.Informe Seguimiento POA 2021'!V44</f>
        <v>0</v>
      </c>
      <c r="Y40" s="788">
        <f>+'1.Informe Seguimiento POA 2021'!W44</f>
        <v>1</v>
      </c>
      <c r="Z40" s="788">
        <f>+'1.Informe Seguimiento POA 2021'!X44</f>
        <v>1</v>
      </c>
      <c r="AA40" s="788">
        <f>+'1.Informe Seguimiento POA 2021'!Y44</f>
        <v>0.75</v>
      </c>
      <c r="AB40" s="785"/>
      <c r="AC40" s="785"/>
      <c r="AD40" s="785"/>
      <c r="AE40" s="785"/>
      <c r="AF40" s="785"/>
      <c r="AG40" s="785"/>
      <c r="AH40" s="785"/>
      <c r="AI40" s="785"/>
      <c r="AJ40" s="880">
        <f t="shared" ref="AJ40:AJ42" si="22">+N40</f>
        <v>1</v>
      </c>
      <c r="AK40" s="880"/>
      <c r="AL40" s="896"/>
      <c r="AM40" s="896"/>
      <c r="AN40" s="896"/>
      <c r="AO40" s="896"/>
      <c r="AP40" s="896"/>
      <c r="AQ40" s="896"/>
      <c r="AR40" s="896"/>
      <c r="AS40" s="896"/>
      <c r="AT40" s="896"/>
      <c r="AU40" s="880">
        <f t="shared" ref="AU40:AU42" si="23">+O40</f>
        <v>1</v>
      </c>
      <c r="AV40" s="880"/>
      <c r="AW40" s="896"/>
      <c r="AX40" s="896"/>
      <c r="AY40" s="896"/>
      <c r="AZ40" s="896"/>
      <c r="BA40" s="896"/>
      <c r="BB40" s="896"/>
      <c r="BC40" s="896"/>
      <c r="BD40" s="896"/>
      <c r="BE40" s="896"/>
      <c r="BF40" s="880">
        <f t="shared" ref="BF40:BF42" si="24">+P40</f>
        <v>1</v>
      </c>
      <c r="BG40" s="880"/>
      <c r="BH40" s="896"/>
      <c r="BI40" s="787">
        <f>IFERROR(AVERAGE(S40,U40),0)</f>
        <v>1</v>
      </c>
      <c r="BJ40" s="787">
        <f>IFERROR(AVERAGE(T40,V40),0)</f>
        <v>1</v>
      </c>
      <c r="BK40" s="785">
        <f t="shared" si="12"/>
        <v>1</v>
      </c>
      <c r="BL40" s="785">
        <f>(IF(AND(BJ40&gt;0,$J40&gt;0),BJ40/$J40,0)/4)*0.5</f>
        <v>0.125</v>
      </c>
      <c r="BM40" s="786">
        <f>IF(AND(BL40&gt;0,I40&gt;0),BL40*I40,0)*0.25</f>
        <v>1.5625E-2</v>
      </c>
      <c r="BN40" s="1224"/>
      <c r="BO40" s="1168"/>
      <c r="BP40" s="930"/>
      <c r="BQ40" s="930"/>
    </row>
    <row r="41" spans="2:69" ht="126.75" customHeight="1">
      <c r="B41" s="1139"/>
      <c r="C41" s="800" t="str">
        <f>+'Matriz PEI 2021-2024'!C18</f>
        <v>3.3. Generar 8 escenarios que fortalezcan el conocimiento y las competencias del operador disciplinario, que apoya el cumplimiento de la labor misional, extendiendo el alcance a los jueces naturales en el Distrito Capital.</v>
      </c>
      <c r="D41" s="801">
        <f>+'Matriz PEI 2021-2024'!E18</f>
        <v>8</v>
      </c>
      <c r="E41" s="802">
        <f>+'Matriz PEI 2021-2024'!D18</f>
        <v>0.1</v>
      </c>
      <c r="F41" s="995" t="s">
        <v>1022</v>
      </c>
      <c r="G41" s="995" t="s">
        <v>1023</v>
      </c>
      <c r="H41" s="51" t="str">
        <f>+'1.Informe Seguimiento POA 2021'!D45</f>
        <v>3.3.1 Generar 8 escenarios de intercambio de conocimiento con los(as) servidores(as) públicos(as) para fortalecer el conocimiento en la sustanciación de procesos disciplinarios en el Distrito Capital.</v>
      </c>
      <c r="I41" s="884">
        <f>+'1.Informe Seguimiento POA 2021'!E45</f>
        <v>1</v>
      </c>
      <c r="J41" s="782">
        <f>+'1.Informe Seguimiento POA 2021'!F45</f>
        <v>8</v>
      </c>
      <c r="K41" s="885" t="str">
        <f>+'1.Informe Seguimiento POA 2021'!I45</f>
        <v>Potestad Disciplinaria</v>
      </c>
      <c r="L41" s="885" t="str">
        <f>+'1.Informe Seguimiento POA 2021'!J45</f>
        <v>Personería Delegada para la Coordinación de Potestad Disciplinaria</v>
      </c>
      <c r="M41" s="783">
        <f>+'1.Informe Seguimiento POA 2021'!K45</f>
        <v>2</v>
      </c>
      <c r="N41" s="783">
        <f>+'1.Informe Seguimiento POA 2021'!L45</f>
        <v>2</v>
      </c>
      <c r="O41" s="783">
        <f>+'1.Informe Seguimiento POA 2021'!M45</f>
        <v>2</v>
      </c>
      <c r="P41" s="783">
        <f>+'1.Informe Seguimiento POA 2021'!N45</f>
        <v>2</v>
      </c>
      <c r="Q41" s="784">
        <f>+'1.Informe Seguimiento POA 2021'!O45</f>
        <v>0</v>
      </c>
      <c r="R41" s="784">
        <f>+'1.Informe Seguimiento POA 2021'!P45</f>
        <v>0</v>
      </c>
      <c r="S41" s="784">
        <f>+'1.Informe Seguimiento POA 2021'!Q45</f>
        <v>0</v>
      </c>
      <c r="T41" s="784">
        <f>+'1.Informe Seguimiento POA 2021'!R45</f>
        <v>1</v>
      </c>
      <c r="U41" s="784">
        <f>+'1.Informe Seguimiento POA 2021'!S45</f>
        <v>1</v>
      </c>
      <c r="V41" s="784">
        <f>+'1.Informe Seguimiento POA 2021'!T45</f>
        <v>0</v>
      </c>
      <c r="W41" s="784">
        <f>+'1.Informe Seguimiento POA 2021'!U45</f>
        <v>1</v>
      </c>
      <c r="X41" s="784">
        <f>+'1.Informe Seguimiento POA 2021'!V45</f>
        <v>0</v>
      </c>
      <c r="Y41" s="784">
        <f>+'1.Informe Seguimiento POA 2021'!W45</f>
        <v>2</v>
      </c>
      <c r="Z41" s="784">
        <f>+'1.Informe Seguimiento POA 2021'!X45</f>
        <v>1</v>
      </c>
      <c r="AA41" s="888">
        <f>+'1.Informe Seguimiento POA 2021'!Y45</f>
        <v>0.5</v>
      </c>
      <c r="AB41" s="785"/>
      <c r="AC41" s="785"/>
      <c r="AD41" s="785"/>
      <c r="AE41" s="785"/>
      <c r="AF41" s="785"/>
      <c r="AG41" s="785"/>
      <c r="AH41" s="785"/>
      <c r="AI41" s="785"/>
      <c r="AJ41" s="784">
        <f t="shared" si="22"/>
        <v>2</v>
      </c>
      <c r="AK41" s="784"/>
      <c r="AL41" s="785"/>
      <c r="AM41" s="785"/>
      <c r="AN41" s="785"/>
      <c r="AO41" s="785"/>
      <c r="AP41" s="785"/>
      <c r="AQ41" s="785"/>
      <c r="AR41" s="785"/>
      <c r="AS41" s="785"/>
      <c r="AT41" s="785"/>
      <c r="AU41" s="784">
        <f t="shared" si="23"/>
        <v>2</v>
      </c>
      <c r="AV41" s="784"/>
      <c r="AW41" s="785"/>
      <c r="AX41" s="785"/>
      <c r="AY41" s="785"/>
      <c r="AZ41" s="785"/>
      <c r="BA41" s="785"/>
      <c r="BB41" s="785"/>
      <c r="BC41" s="785"/>
      <c r="BD41" s="785"/>
      <c r="BE41" s="785"/>
      <c r="BF41" s="784">
        <f t="shared" si="24"/>
        <v>2</v>
      </c>
      <c r="BG41" s="784"/>
      <c r="BH41" s="785"/>
      <c r="BI41" s="915">
        <f t="shared" si="11"/>
        <v>1</v>
      </c>
      <c r="BJ41" s="915">
        <f t="shared" si="11"/>
        <v>1</v>
      </c>
      <c r="BK41" s="785">
        <f t="shared" si="12"/>
        <v>1</v>
      </c>
      <c r="BL41" s="785">
        <f t="shared" si="6"/>
        <v>0.125</v>
      </c>
      <c r="BM41" s="786">
        <f t="shared" ref="BM41:BM78" si="25">IF(AND(BL41&gt;0,I41&gt;0),BL41*I41,0)</f>
        <v>0.125</v>
      </c>
      <c r="BN41" s="916">
        <f>SUM(BM41)</f>
        <v>0.125</v>
      </c>
      <c r="BO41" s="1168"/>
      <c r="BP41" s="930"/>
      <c r="BQ41" s="930"/>
    </row>
    <row r="42" spans="2:69" ht="61.5" customHeight="1">
      <c r="B42" s="1139"/>
      <c r="C42" s="1229" t="str">
        <f>+'Matriz PEI 2021-2024'!C19</f>
        <v>3.4. Implementar al 100% tres soluciones informáticas propias para la ejecución y gestión de la Potestad Disciplinaria.</v>
      </c>
      <c r="D42" s="1290">
        <f>+'Matriz PEI 2021-2024'!E19</f>
        <v>1</v>
      </c>
      <c r="E42" s="1290">
        <f>+'Matriz PEI 2021-2024'!D19</f>
        <v>0.35</v>
      </c>
      <c r="F42" s="1229" t="s">
        <v>1114</v>
      </c>
      <c r="G42" s="992" t="s">
        <v>1024</v>
      </c>
      <c r="H42" s="51" t="str">
        <f>+'1.Informe Seguimiento POA 2021'!D46</f>
        <v>3.4.1 Implementar un sistema de comunicación efectiva y eficiente con las Oficinas de Control Interno del Distrito Capital.</v>
      </c>
      <c r="I42" s="884">
        <f>+'1.Informe Seguimiento POA 2021'!E46</f>
        <v>0.2</v>
      </c>
      <c r="J42" s="782">
        <f>+'1.Informe Seguimiento POA 2021'!F46</f>
        <v>1</v>
      </c>
      <c r="K42" s="885" t="str">
        <f>+'1.Informe Seguimiento POA 2021'!I46</f>
        <v>Potestad Disciplinaria</v>
      </c>
      <c r="L42" s="885" t="str">
        <f>+'1.Informe Seguimiento POA 2021'!J46</f>
        <v>Personería Delegada para la Coordinación de Potestad Disciplinaria</v>
      </c>
      <c r="M42" s="877">
        <f>+'1.Informe Seguimiento POA 2021'!K46</f>
        <v>0.5</v>
      </c>
      <c r="N42" s="877">
        <f>+'1.Informe Seguimiento POA 2021'!L46</f>
        <v>0.5</v>
      </c>
      <c r="O42" s="877">
        <f>+'1.Informe Seguimiento POA 2021'!M46</f>
        <v>0</v>
      </c>
      <c r="P42" s="877">
        <f>+'1.Informe Seguimiento POA 2021'!N46</f>
        <v>0</v>
      </c>
      <c r="Q42" s="803">
        <f>+'1.Informe Seguimiento POA 2021'!O46</f>
        <v>0.05</v>
      </c>
      <c r="R42" s="803">
        <f>+'1.Informe Seguimiento POA 2021'!P46</f>
        <v>0.05</v>
      </c>
      <c r="S42" s="803">
        <f>+'1.Informe Seguimiento POA 2021'!Q46</f>
        <v>0.2</v>
      </c>
      <c r="T42" s="803">
        <f>+'1.Informe Seguimiento POA 2021'!R46</f>
        <v>0</v>
      </c>
      <c r="U42" s="803">
        <f>+'1.Informe Seguimiento POA 2021'!S46</f>
        <v>0.15000000000000002</v>
      </c>
      <c r="V42" s="803">
        <f>+'1.Informe Seguimiento POA 2021'!T46</f>
        <v>0.35</v>
      </c>
      <c r="W42" s="803">
        <f>+'1.Informe Seguimiento POA 2021'!U46</f>
        <v>0.1</v>
      </c>
      <c r="X42" s="803">
        <f>+'1.Informe Seguimiento POA 2021'!V46</f>
        <v>0</v>
      </c>
      <c r="Y42" s="803">
        <f>+'1.Informe Seguimiento POA 2021'!W46</f>
        <v>0.5</v>
      </c>
      <c r="Z42" s="803">
        <f>+'1.Informe Seguimiento POA 2021'!X46</f>
        <v>0.39999999999999997</v>
      </c>
      <c r="AA42" s="880">
        <f>+'1.Informe Seguimiento POA 2021'!Y46</f>
        <v>0.79999999999999993</v>
      </c>
      <c r="AB42" s="785"/>
      <c r="AC42" s="785"/>
      <c r="AD42" s="785"/>
      <c r="AE42" s="785"/>
      <c r="AF42" s="785"/>
      <c r="AG42" s="785"/>
      <c r="AH42" s="785"/>
      <c r="AI42" s="785"/>
      <c r="AJ42" s="803">
        <f t="shared" si="22"/>
        <v>0.5</v>
      </c>
      <c r="AK42" s="803"/>
      <c r="AL42" s="897"/>
      <c r="AM42" s="897"/>
      <c r="AN42" s="897"/>
      <c r="AO42" s="897"/>
      <c r="AP42" s="897"/>
      <c r="AQ42" s="897"/>
      <c r="AR42" s="897"/>
      <c r="AS42" s="897"/>
      <c r="AT42" s="897"/>
      <c r="AU42" s="803">
        <f t="shared" si="23"/>
        <v>0</v>
      </c>
      <c r="AV42" s="803"/>
      <c r="AW42" s="897"/>
      <c r="AX42" s="897"/>
      <c r="AY42" s="897"/>
      <c r="AZ42" s="897"/>
      <c r="BA42" s="897"/>
      <c r="BB42" s="897"/>
      <c r="BC42" s="897"/>
      <c r="BD42" s="897"/>
      <c r="BE42" s="897"/>
      <c r="BF42" s="803">
        <f t="shared" si="24"/>
        <v>0</v>
      </c>
      <c r="BG42" s="803"/>
      <c r="BH42" s="897"/>
      <c r="BI42" s="915">
        <f t="shared" si="11"/>
        <v>0.4</v>
      </c>
      <c r="BJ42" s="915">
        <f t="shared" si="11"/>
        <v>0.39999999999999997</v>
      </c>
      <c r="BK42" s="785">
        <f t="shared" si="12"/>
        <v>0.99999999999999989</v>
      </c>
      <c r="BL42" s="785">
        <f t="shared" si="6"/>
        <v>0.39999999999999997</v>
      </c>
      <c r="BM42" s="786">
        <f t="shared" si="25"/>
        <v>0.08</v>
      </c>
      <c r="BN42" s="1225">
        <f>SUM(BM42:BM44)</f>
        <v>0.186</v>
      </c>
      <c r="BO42" s="1168"/>
      <c r="BP42" s="930"/>
      <c r="BQ42" s="930"/>
    </row>
    <row r="43" spans="2:69" ht="61.5" customHeight="1">
      <c r="B43" s="1139"/>
      <c r="C43" s="1239"/>
      <c r="D43" s="1309"/>
      <c r="E43" s="1310"/>
      <c r="F43" s="1239"/>
      <c r="G43" s="993"/>
      <c r="H43" s="51" t="str">
        <f>+'1.Informe Seguimiento POA 2021'!D47</f>
        <v xml:space="preserve">3.4.2 Diseñar e implementar un sistema de información misional que generé el expediente electrónico  </v>
      </c>
      <c r="I43" s="884">
        <f>+'1.Informe Seguimiento POA 2021'!E47</f>
        <v>0.7</v>
      </c>
      <c r="J43" s="782">
        <f>+'1.Informe Seguimiento POA 2021'!F47</f>
        <v>1</v>
      </c>
      <c r="K43" s="885" t="str">
        <f>+'1.Informe Seguimiento POA 2021'!I47</f>
        <v>Potestad Disciplinaria</v>
      </c>
      <c r="L43" s="885" t="str">
        <f>+'1.Informe Seguimiento POA 2021'!J47</f>
        <v>Personería Delegada para la Coordinación de Potestad Disciplinaria</v>
      </c>
      <c r="M43" s="877">
        <f>+'1.Informe Seguimiento POA 2021'!K47</f>
        <v>0.2</v>
      </c>
      <c r="N43" s="877">
        <f>+'1.Informe Seguimiento POA 2021'!L47</f>
        <v>0.4</v>
      </c>
      <c r="O43" s="877">
        <f>+'1.Informe Seguimiento POA 2021'!M47</f>
        <v>0.3</v>
      </c>
      <c r="P43" s="877">
        <f>+'1.Informe Seguimiento POA 2021'!N47</f>
        <v>0.1</v>
      </c>
      <c r="Q43" s="803">
        <f>+'1.Informe Seguimiento POA 2021'!O47</f>
        <v>0.02</v>
      </c>
      <c r="R43" s="803">
        <f>+'1.Informe Seguimiento POA 2021'!P47</f>
        <v>0.02</v>
      </c>
      <c r="S43" s="803">
        <f>+'1.Informe Seguimiento POA 2021'!Q47</f>
        <v>0.06</v>
      </c>
      <c r="T43" s="803">
        <f>+'1.Informe Seguimiento POA 2021'!R47</f>
        <v>0.06</v>
      </c>
      <c r="U43" s="803">
        <f>+'1.Informe Seguimiento POA 2021'!S47</f>
        <v>0.06</v>
      </c>
      <c r="V43" s="803">
        <f>+'1.Informe Seguimiento POA 2021'!T47</f>
        <v>0.06</v>
      </c>
      <c r="W43" s="803">
        <f>+'1.Informe Seguimiento POA 2021'!U47</f>
        <v>0.06</v>
      </c>
      <c r="X43" s="803">
        <f>+'1.Informe Seguimiento POA 2021'!V47</f>
        <v>0</v>
      </c>
      <c r="Y43" s="803">
        <f>+'1.Informe Seguimiento POA 2021'!W47</f>
        <v>0.2</v>
      </c>
      <c r="Z43" s="803">
        <f>+'1.Informe Seguimiento POA 2021'!X47</f>
        <v>0.14000000000000001</v>
      </c>
      <c r="AA43" s="880">
        <f>+'1.Informe Seguimiento POA 2021'!Y47</f>
        <v>0.70000000000000007</v>
      </c>
      <c r="AB43" s="785"/>
      <c r="AC43" s="785"/>
      <c r="AD43" s="785"/>
      <c r="AE43" s="785"/>
      <c r="AF43" s="785"/>
      <c r="AG43" s="785"/>
      <c r="AH43" s="785"/>
      <c r="AI43" s="785"/>
      <c r="AJ43" s="803">
        <f t="shared" ref="AJ43:AJ45" si="26">+N43</f>
        <v>0.4</v>
      </c>
      <c r="AK43" s="803"/>
      <c r="AL43" s="897"/>
      <c r="AM43" s="897"/>
      <c r="AN43" s="897"/>
      <c r="AO43" s="897"/>
      <c r="AP43" s="897"/>
      <c r="AQ43" s="897"/>
      <c r="AR43" s="897"/>
      <c r="AS43" s="897"/>
      <c r="AT43" s="897"/>
      <c r="AU43" s="803">
        <f t="shared" ref="AU43:AU45" si="27">+O43</f>
        <v>0.3</v>
      </c>
      <c r="AV43" s="803"/>
      <c r="AW43" s="897"/>
      <c r="AX43" s="897"/>
      <c r="AY43" s="897"/>
      <c r="AZ43" s="897"/>
      <c r="BA43" s="897"/>
      <c r="BB43" s="897"/>
      <c r="BC43" s="897"/>
      <c r="BD43" s="897"/>
      <c r="BE43" s="897"/>
      <c r="BF43" s="803">
        <f t="shared" ref="BF43:BF45" si="28">+P43</f>
        <v>0.1</v>
      </c>
      <c r="BG43" s="803"/>
      <c r="BH43" s="897"/>
      <c r="BI43" s="915">
        <f t="shared" si="11"/>
        <v>0.14000000000000001</v>
      </c>
      <c r="BJ43" s="915">
        <f t="shared" si="11"/>
        <v>0.14000000000000001</v>
      </c>
      <c r="BK43" s="785">
        <f t="shared" si="12"/>
        <v>1</v>
      </c>
      <c r="BL43" s="785">
        <f t="shared" si="6"/>
        <v>0.14000000000000001</v>
      </c>
      <c r="BM43" s="786">
        <f t="shared" si="25"/>
        <v>9.8000000000000004E-2</v>
      </c>
      <c r="BN43" s="1225"/>
      <c r="BO43" s="1168"/>
      <c r="BP43" s="930"/>
      <c r="BQ43" s="930"/>
    </row>
    <row r="44" spans="2:69" ht="61.5" customHeight="1">
      <c r="B44" s="1140"/>
      <c r="C44" s="1272"/>
      <c r="D44" s="1291"/>
      <c r="E44" s="1308"/>
      <c r="F44" s="1272"/>
      <c r="G44" s="994"/>
      <c r="H44" s="51" t="str">
        <f>+'1.Informe Seguimiento POA 2021'!D48</f>
        <v xml:space="preserve">3.4.3 Diseñar e implementar una relatoría de las decisiones de fondo adoptadas en ejercicio de la potestad disciplinaria  </v>
      </c>
      <c r="I44" s="884">
        <f>+'1.Informe Seguimiento POA 2021'!E48</f>
        <v>0.1</v>
      </c>
      <c r="J44" s="782">
        <f>+'1.Informe Seguimiento POA 2021'!F48</f>
        <v>1</v>
      </c>
      <c r="K44" s="885" t="str">
        <f>+'1.Informe Seguimiento POA 2021'!I48</f>
        <v>Potestad Disciplinaria</v>
      </c>
      <c r="L44" s="885" t="str">
        <f>+'1.Informe Seguimiento POA 2021'!J48</f>
        <v>Personería Delegada para la Coordinación de Potestad Disciplinaria</v>
      </c>
      <c r="M44" s="877">
        <f>+'1.Informe Seguimiento POA 2021'!K48</f>
        <v>0.1</v>
      </c>
      <c r="N44" s="877">
        <f>+'1.Informe Seguimiento POA 2021'!L48</f>
        <v>0.3</v>
      </c>
      <c r="O44" s="877">
        <f>+'1.Informe Seguimiento POA 2021'!M48</f>
        <v>0.4</v>
      </c>
      <c r="P44" s="877">
        <f>+'1.Informe Seguimiento POA 2021'!N48</f>
        <v>0.2</v>
      </c>
      <c r="Q44" s="803">
        <f>+'1.Informe Seguimiento POA 2021'!O48</f>
        <v>0</v>
      </c>
      <c r="R44" s="803">
        <f>+'1.Informe Seguimiento POA 2021'!P48</f>
        <v>0</v>
      </c>
      <c r="S44" s="803">
        <f>+'1.Informe Seguimiento POA 2021'!Q48</f>
        <v>0.02</v>
      </c>
      <c r="T44" s="803">
        <f>+'1.Informe Seguimiento POA 2021'!R48</f>
        <v>0.02</v>
      </c>
      <c r="U44" s="803">
        <f>+'1.Informe Seguimiento POA 2021'!S48</f>
        <v>0.05</v>
      </c>
      <c r="V44" s="803">
        <f>+'1.Informe Seguimiento POA 2021'!T48</f>
        <v>0.06</v>
      </c>
      <c r="W44" s="803">
        <f>+'1.Informe Seguimiento POA 2021'!U48</f>
        <v>0.03</v>
      </c>
      <c r="X44" s="803">
        <f>+'1.Informe Seguimiento POA 2021'!V48</f>
        <v>0</v>
      </c>
      <c r="Y44" s="803">
        <f>+'1.Informe Seguimiento POA 2021'!W48</f>
        <v>0.1</v>
      </c>
      <c r="Z44" s="803">
        <f>+'1.Informe Seguimiento POA 2021'!X48</f>
        <v>0.08</v>
      </c>
      <c r="AA44" s="880">
        <f>+'1.Informe Seguimiento POA 2021'!Y48</f>
        <v>0.79999999999999993</v>
      </c>
      <c r="AB44" s="785"/>
      <c r="AC44" s="785"/>
      <c r="AD44" s="785"/>
      <c r="AE44" s="785"/>
      <c r="AF44" s="785"/>
      <c r="AG44" s="785"/>
      <c r="AH44" s="785"/>
      <c r="AI44" s="785"/>
      <c r="AJ44" s="803">
        <f t="shared" si="26"/>
        <v>0.3</v>
      </c>
      <c r="AK44" s="803"/>
      <c r="AL44" s="897"/>
      <c r="AM44" s="897"/>
      <c r="AN44" s="897"/>
      <c r="AO44" s="897"/>
      <c r="AP44" s="897"/>
      <c r="AQ44" s="897"/>
      <c r="AR44" s="897"/>
      <c r="AS44" s="897"/>
      <c r="AT44" s="897"/>
      <c r="AU44" s="803">
        <f t="shared" si="27"/>
        <v>0.4</v>
      </c>
      <c r="AV44" s="803"/>
      <c r="AW44" s="897"/>
      <c r="AX44" s="897"/>
      <c r="AY44" s="897"/>
      <c r="AZ44" s="897"/>
      <c r="BA44" s="897"/>
      <c r="BB44" s="897"/>
      <c r="BC44" s="897"/>
      <c r="BD44" s="897"/>
      <c r="BE44" s="897"/>
      <c r="BF44" s="803">
        <f t="shared" si="28"/>
        <v>0.2</v>
      </c>
      <c r="BG44" s="803"/>
      <c r="BH44" s="897"/>
      <c r="BI44" s="915">
        <f t="shared" si="11"/>
        <v>7.0000000000000007E-2</v>
      </c>
      <c r="BJ44" s="915">
        <f t="shared" si="11"/>
        <v>0.08</v>
      </c>
      <c r="BK44" s="785">
        <f t="shared" si="12"/>
        <v>1.1428571428571428</v>
      </c>
      <c r="BL44" s="785">
        <f t="shared" si="6"/>
        <v>0.08</v>
      </c>
      <c r="BM44" s="786">
        <f t="shared" si="25"/>
        <v>8.0000000000000002E-3</v>
      </c>
      <c r="BN44" s="1225"/>
      <c r="BO44" s="1169"/>
      <c r="BP44" s="930"/>
      <c r="BQ44" s="930"/>
    </row>
    <row r="45" spans="2:69" ht="75" customHeight="1">
      <c r="B45" s="1158"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5" s="1179" t="str">
        <f>+'Matriz PEI 2021-2024'!C20</f>
        <v>4.1. Implementar el 100% de las acciones que impulsen el crecimiento del Modelo de Madurez de Transformación Digital de la Entidad, aplicando los principios , lineamientos y normas que lo enmarcan.</v>
      </c>
      <c r="D45" s="1282">
        <f>+'Matriz PEI 2021-2024'!E20</f>
        <v>1</v>
      </c>
      <c r="E45" s="1282">
        <f>+'Matriz PEI 2021-2024'!D20</f>
        <v>0.15</v>
      </c>
      <c r="F45" s="1179" t="s">
        <v>1025</v>
      </c>
      <c r="G45" s="1179" t="s">
        <v>1026</v>
      </c>
      <c r="H45" s="790" t="str">
        <f>+'1.Informe Seguimiento POA 2021'!D49</f>
        <v>4.1.1 Implementar el 100 % de los proyectos de hoja de ruta del Plan Estratégico de Tecnología de la Información de tal forma que se optimicen los procesos de la Entidad</v>
      </c>
      <c r="I45" s="152">
        <f>+'1.Informe Seguimiento POA 2021'!E49</f>
        <v>0.14000000000000001</v>
      </c>
      <c r="J45" s="886">
        <f>+'1.Informe Seguimiento POA 2021'!F49</f>
        <v>1</v>
      </c>
      <c r="K45" s="792" t="str">
        <f>+'1.Informe Seguimiento POA 2021'!I49</f>
        <v>Direccionamiento TIC</v>
      </c>
      <c r="L45" s="793" t="str">
        <f>+'1.Informe Seguimiento POA 2021'!J49</f>
        <v>Dirección de Tecnologías de la  Información y las Comunicaciones</v>
      </c>
      <c r="M45" s="169">
        <f>+'1.Informe Seguimiento POA 2021'!K49</f>
        <v>0.3</v>
      </c>
      <c r="N45" s="169">
        <f>+'1.Informe Seguimiento POA 2021'!L49</f>
        <v>0.4</v>
      </c>
      <c r="O45" s="169">
        <f>+'1.Informe Seguimiento POA 2021'!M49</f>
        <v>0.25</v>
      </c>
      <c r="P45" s="169">
        <f>+'1.Informe Seguimiento POA 2021'!N49</f>
        <v>0.05</v>
      </c>
      <c r="Q45" s="804">
        <f>+'1.Informe Seguimiento POA 2021'!O49</f>
        <v>0.06</v>
      </c>
      <c r="R45" s="804">
        <f>+'1.Informe Seguimiento POA 2021'!P49</f>
        <v>0.06</v>
      </c>
      <c r="S45" s="804">
        <f>+'1.Informe Seguimiento POA 2021'!Q49</f>
        <v>0.09</v>
      </c>
      <c r="T45" s="804">
        <f>+'1.Informe Seguimiento POA 2021'!R49</f>
        <v>0.09</v>
      </c>
      <c r="U45" s="804">
        <f>+'1.Informe Seguimiento POA 2021'!S49</f>
        <v>0.09</v>
      </c>
      <c r="V45" s="890">
        <f>+'1.Informe Seguimiento POA 2021'!T49</f>
        <v>0.09</v>
      </c>
      <c r="W45" s="804">
        <f>+'1.Informe Seguimiento POA 2021'!U49</f>
        <v>6.0000000000000005E-2</v>
      </c>
      <c r="X45" s="890">
        <f>+'1.Informe Seguimiento POA 2021'!V49</f>
        <v>0</v>
      </c>
      <c r="Y45" s="804">
        <f>+'1.Informe Seguimiento POA 2021'!W49</f>
        <v>0.3</v>
      </c>
      <c r="Z45" s="805">
        <f>+'1.Informe Seguimiento POA 2021'!X49</f>
        <v>0.24</v>
      </c>
      <c r="AA45" s="804">
        <f>+'1.Informe Seguimiento POA 2021'!Y49</f>
        <v>0.8</v>
      </c>
      <c r="AB45" s="804"/>
      <c r="AC45" s="804"/>
      <c r="AD45" s="804"/>
      <c r="AE45" s="804"/>
      <c r="AF45" s="804"/>
      <c r="AG45" s="804"/>
      <c r="AH45" s="804"/>
      <c r="AI45" s="804"/>
      <c r="AJ45" s="804">
        <f t="shared" si="26"/>
        <v>0.4</v>
      </c>
      <c r="AK45" s="804"/>
      <c r="AL45" s="804"/>
      <c r="AM45" s="804"/>
      <c r="AN45" s="804"/>
      <c r="AO45" s="804"/>
      <c r="AP45" s="804"/>
      <c r="AQ45" s="804"/>
      <c r="AR45" s="804"/>
      <c r="AS45" s="804"/>
      <c r="AT45" s="804"/>
      <c r="AU45" s="804">
        <f t="shared" si="27"/>
        <v>0.25</v>
      </c>
      <c r="AV45" s="804"/>
      <c r="AW45" s="804"/>
      <c r="AX45" s="804"/>
      <c r="AY45" s="804"/>
      <c r="AZ45" s="804"/>
      <c r="BA45" s="804"/>
      <c r="BB45" s="804"/>
      <c r="BC45" s="804"/>
      <c r="BD45" s="804"/>
      <c r="BE45" s="804"/>
      <c r="BF45" s="804">
        <f t="shared" si="28"/>
        <v>0.05</v>
      </c>
      <c r="BG45" s="804"/>
      <c r="BH45" s="804"/>
      <c r="BI45" s="886">
        <f t="shared" ref="BI45:BI55" si="29">+Q45+S45+U45</f>
        <v>0.24</v>
      </c>
      <c r="BJ45" s="886">
        <f t="shared" ref="BJ45:BJ55" si="30">+R45+T45+V45</f>
        <v>0.24</v>
      </c>
      <c r="BK45" s="913">
        <f t="shared" si="12"/>
        <v>1</v>
      </c>
      <c r="BL45" s="796">
        <f t="shared" si="6"/>
        <v>0.24</v>
      </c>
      <c r="BM45" s="804">
        <f t="shared" si="25"/>
        <v>3.3600000000000005E-2</v>
      </c>
      <c r="BN45" s="1235">
        <f>SUM(BM45:BM51)</f>
        <v>0.23430000000000004</v>
      </c>
      <c r="BO45" s="1155">
        <f>((IF(AND(BN45&gt;0,E45&gt;0),BN45*E45))+(IF(AND(BN52&gt;0,E52&gt;0),BN52*E52))+(IF(AND(BN58&gt;0,E58&gt;0),BN58*E58))+(IF(AND(BN66&gt;0,E66&gt;0),BN66*E66))+(IF(AND(BN84&gt;0,E84&gt;0),BN84*E84))+(IF(AND(BN90&gt;0,E90&gt;0),BN90*E90))+(IF(AND(BN92&gt;0,E92&gt;0),BN92*E92)))</f>
        <v>0.15884302300488068</v>
      </c>
      <c r="BP45" s="932"/>
      <c r="BQ45" s="932"/>
    </row>
    <row r="46" spans="2:69" ht="80.25" customHeight="1">
      <c r="B46" s="1158"/>
      <c r="C46" s="1180"/>
      <c r="D46" s="1283"/>
      <c r="E46" s="1186"/>
      <c r="F46" s="1180"/>
      <c r="G46" s="1180"/>
      <c r="H46" s="790" t="str">
        <f>+'1.Informe Seguimiento POA 2021'!D50</f>
        <v>4.1.2 Ejecutar en un 100 % las actividades programadas en el plan de Seguridad de la Información, garantizando la disponibilidad, confiabilidad e integridad de los activos de información</v>
      </c>
      <c r="I46" s="152">
        <f>+'1.Informe Seguimiento POA 2021'!E50</f>
        <v>0.14000000000000001</v>
      </c>
      <c r="J46" s="886">
        <f>+'1.Informe Seguimiento POA 2021'!F50</f>
        <v>1</v>
      </c>
      <c r="K46" s="792" t="str">
        <f>+'1.Informe Seguimiento POA 2021'!I50</f>
        <v>Direccionamiento TIC</v>
      </c>
      <c r="L46" s="793" t="str">
        <f>+'1.Informe Seguimiento POA 2021'!J50</f>
        <v>Dirección de Tecnologías de la  Información y las Comunicaciones</v>
      </c>
      <c r="M46" s="169">
        <f>+'1.Informe Seguimiento POA 2021'!K50</f>
        <v>0.3</v>
      </c>
      <c r="N46" s="169">
        <f>+'1.Informe Seguimiento POA 2021'!L50</f>
        <v>0.4</v>
      </c>
      <c r="O46" s="169">
        <f>+'1.Informe Seguimiento POA 2021'!M50</f>
        <v>0.25</v>
      </c>
      <c r="P46" s="169">
        <f>+'1.Informe Seguimiento POA 2021'!N50</f>
        <v>0.05</v>
      </c>
      <c r="Q46" s="804">
        <f>+'1.Informe Seguimiento POA 2021'!O50</f>
        <v>0.06</v>
      </c>
      <c r="R46" s="804">
        <f>+'1.Informe Seguimiento POA 2021'!P50</f>
        <v>0.06</v>
      </c>
      <c r="S46" s="804">
        <f>+'1.Informe Seguimiento POA 2021'!Q50</f>
        <v>0.09</v>
      </c>
      <c r="T46" s="804">
        <f>+'1.Informe Seguimiento POA 2021'!R50</f>
        <v>0.09</v>
      </c>
      <c r="U46" s="804">
        <f>+'1.Informe Seguimiento POA 2021'!S50</f>
        <v>0.09</v>
      </c>
      <c r="V46" s="890">
        <f>+'1.Informe Seguimiento POA 2021'!T50</f>
        <v>0.09</v>
      </c>
      <c r="W46" s="804">
        <f>+'1.Informe Seguimiento POA 2021'!U50</f>
        <v>0.06</v>
      </c>
      <c r="X46" s="890">
        <f>+'1.Informe Seguimiento POA 2021'!V50</f>
        <v>0</v>
      </c>
      <c r="Y46" s="804">
        <f>+'1.Informe Seguimiento POA 2021'!W50</f>
        <v>0.3</v>
      </c>
      <c r="Z46" s="805">
        <f>+'1.Informe Seguimiento POA 2021'!X50</f>
        <v>0.24</v>
      </c>
      <c r="AA46" s="804">
        <f>+'1.Informe Seguimiento POA 2021'!Y50</f>
        <v>0.8</v>
      </c>
      <c r="AB46" s="804"/>
      <c r="AC46" s="804"/>
      <c r="AD46" s="804"/>
      <c r="AE46" s="804"/>
      <c r="AF46" s="804"/>
      <c r="AG46" s="804"/>
      <c r="AH46" s="804"/>
      <c r="AI46" s="804"/>
      <c r="AJ46" s="804">
        <f t="shared" ref="AJ46:AJ55" si="31">+N46</f>
        <v>0.4</v>
      </c>
      <c r="AK46" s="804"/>
      <c r="AL46" s="804"/>
      <c r="AM46" s="804"/>
      <c r="AN46" s="804"/>
      <c r="AO46" s="804"/>
      <c r="AP46" s="804"/>
      <c r="AQ46" s="804"/>
      <c r="AR46" s="804"/>
      <c r="AS46" s="804"/>
      <c r="AT46" s="804"/>
      <c r="AU46" s="804">
        <f t="shared" ref="AU46:AU55" si="32">+O46</f>
        <v>0.25</v>
      </c>
      <c r="AV46" s="804"/>
      <c r="AW46" s="804"/>
      <c r="AX46" s="804"/>
      <c r="AY46" s="804"/>
      <c r="AZ46" s="804"/>
      <c r="BA46" s="804"/>
      <c r="BB46" s="804"/>
      <c r="BC46" s="804"/>
      <c r="BD46" s="804"/>
      <c r="BE46" s="804"/>
      <c r="BF46" s="804">
        <f t="shared" ref="BF46:BF55" si="33">+P46</f>
        <v>0.05</v>
      </c>
      <c r="BG46" s="804"/>
      <c r="BH46" s="804"/>
      <c r="BI46" s="886">
        <f t="shared" si="29"/>
        <v>0.24</v>
      </c>
      <c r="BJ46" s="886">
        <f t="shared" si="30"/>
        <v>0.24</v>
      </c>
      <c r="BK46" s="913">
        <f t="shared" si="12"/>
        <v>1</v>
      </c>
      <c r="BL46" s="796">
        <f t="shared" si="6"/>
        <v>0.24</v>
      </c>
      <c r="BM46" s="804">
        <f t="shared" si="25"/>
        <v>3.3600000000000005E-2</v>
      </c>
      <c r="BN46" s="1236"/>
      <c r="BO46" s="1156"/>
      <c r="BP46" s="932"/>
      <c r="BQ46" s="932"/>
    </row>
    <row r="47" spans="2:69" ht="111" customHeight="1">
      <c r="B47" s="1158"/>
      <c r="C47" s="1180"/>
      <c r="D47" s="1283"/>
      <c r="E47" s="1186"/>
      <c r="F47" s="1180"/>
      <c r="G47" s="1180"/>
      <c r="H47" s="790" t="str">
        <f>+'1.Informe Seguimiento POA 2021'!D51</f>
        <v>4.1.3 Realizar el 100% de las actividades definidas en la estrategia de servicios ciudadanos digitales, que permitan acceder a los tramites y servicios de la Entidad a través de canales digitales rápidos, fiables y seguros</v>
      </c>
      <c r="I47" s="152">
        <f>+'1.Informe Seguimiento POA 2021'!E51</f>
        <v>0.14000000000000001</v>
      </c>
      <c r="J47" s="886">
        <f>+'1.Informe Seguimiento POA 2021'!F51</f>
        <v>1</v>
      </c>
      <c r="K47" s="792" t="str">
        <f>+'1.Informe Seguimiento POA 2021'!I51</f>
        <v>Direccionamiento TIC</v>
      </c>
      <c r="L47" s="793" t="str">
        <f>+'1.Informe Seguimiento POA 2021'!J51</f>
        <v>Dirección de Tecnologías de la  Información y las Comunicaciones</v>
      </c>
      <c r="M47" s="169">
        <f>+'1.Informe Seguimiento POA 2021'!K51</f>
        <v>0.3</v>
      </c>
      <c r="N47" s="169">
        <f>+'1.Informe Seguimiento POA 2021'!L51</f>
        <v>0.4</v>
      </c>
      <c r="O47" s="169">
        <f>+'1.Informe Seguimiento POA 2021'!M51</f>
        <v>0.25</v>
      </c>
      <c r="P47" s="169">
        <f>+'1.Informe Seguimiento POA 2021'!N51</f>
        <v>0.05</v>
      </c>
      <c r="Q47" s="804">
        <f>+'1.Informe Seguimiento POA 2021'!O51</f>
        <v>0.05</v>
      </c>
      <c r="R47" s="804">
        <f>+'1.Informe Seguimiento POA 2021'!P51</f>
        <v>0.05</v>
      </c>
      <c r="S47" s="804">
        <f>+'1.Informe Seguimiento POA 2021'!Q51</f>
        <v>0.09</v>
      </c>
      <c r="T47" s="804">
        <f>+'1.Informe Seguimiento POA 2021'!R51</f>
        <v>0.09</v>
      </c>
      <c r="U47" s="804">
        <f>+'1.Informe Seguimiento POA 2021'!S51</f>
        <v>0.09</v>
      </c>
      <c r="V47" s="890">
        <f>+'1.Informe Seguimiento POA 2021'!T51</f>
        <v>0.09</v>
      </c>
      <c r="W47" s="804">
        <f>+'1.Informe Seguimiento POA 2021'!U51</f>
        <v>7.0000000000000007E-2</v>
      </c>
      <c r="X47" s="890">
        <f>+'1.Informe Seguimiento POA 2021'!V51</f>
        <v>0</v>
      </c>
      <c r="Y47" s="804">
        <f>+'1.Informe Seguimiento POA 2021'!W51</f>
        <v>0.30000000000000004</v>
      </c>
      <c r="Z47" s="805">
        <f>+'1.Informe Seguimiento POA 2021'!X51</f>
        <v>0.23</v>
      </c>
      <c r="AA47" s="804">
        <f>+'1.Informe Seguimiento POA 2021'!Y51</f>
        <v>0.76666666666666661</v>
      </c>
      <c r="AB47" s="804"/>
      <c r="AC47" s="804"/>
      <c r="AD47" s="804"/>
      <c r="AE47" s="804"/>
      <c r="AF47" s="804"/>
      <c r="AG47" s="804"/>
      <c r="AH47" s="804"/>
      <c r="AI47" s="804"/>
      <c r="AJ47" s="804">
        <f t="shared" si="31"/>
        <v>0.4</v>
      </c>
      <c r="AK47" s="804"/>
      <c r="AL47" s="804"/>
      <c r="AM47" s="804"/>
      <c r="AN47" s="804"/>
      <c r="AO47" s="804"/>
      <c r="AP47" s="804"/>
      <c r="AQ47" s="804"/>
      <c r="AR47" s="804"/>
      <c r="AS47" s="804"/>
      <c r="AT47" s="804"/>
      <c r="AU47" s="804">
        <f t="shared" si="32"/>
        <v>0.25</v>
      </c>
      <c r="AV47" s="804"/>
      <c r="AW47" s="804"/>
      <c r="AX47" s="804"/>
      <c r="AY47" s="804"/>
      <c r="AZ47" s="804"/>
      <c r="BA47" s="804"/>
      <c r="BB47" s="804"/>
      <c r="BC47" s="804"/>
      <c r="BD47" s="804"/>
      <c r="BE47" s="804"/>
      <c r="BF47" s="804">
        <f t="shared" si="33"/>
        <v>0.05</v>
      </c>
      <c r="BG47" s="804"/>
      <c r="BH47" s="804"/>
      <c r="BI47" s="886">
        <f t="shared" si="29"/>
        <v>0.23</v>
      </c>
      <c r="BJ47" s="886">
        <f t="shared" si="30"/>
        <v>0.23</v>
      </c>
      <c r="BK47" s="913">
        <f t="shared" si="12"/>
        <v>1</v>
      </c>
      <c r="BL47" s="796">
        <f t="shared" si="6"/>
        <v>0.23</v>
      </c>
      <c r="BM47" s="804">
        <f t="shared" si="25"/>
        <v>3.2200000000000006E-2</v>
      </c>
      <c r="BN47" s="1236"/>
      <c r="BO47" s="1156"/>
      <c r="BP47" s="932"/>
      <c r="BQ47" s="932"/>
    </row>
    <row r="48" spans="2:69" ht="82.5" customHeight="1">
      <c r="B48" s="1158"/>
      <c r="C48" s="1180"/>
      <c r="D48" s="1283"/>
      <c r="E48" s="1186"/>
      <c r="F48" s="1180"/>
      <c r="G48" s="1180"/>
      <c r="H48" s="790" t="str">
        <f>+'1.Informe Seguimiento POA 2021'!D52</f>
        <v>4.1.4 Implementar en un 100% los lineamientos que adopte la Entidad para mejorar la gestión de datos que facilite la toma de decisiones</v>
      </c>
      <c r="I48" s="152">
        <f>+'1.Informe Seguimiento POA 2021'!E52</f>
        <v>0.14000000000000001</v>
      </c>
      <c r="J48" s="886">
        <f>+'1.Informe Seguimiento POA 2021'!F52</f>
        <v>1</v>
      </c>
      <c r="K48" s="792" t="str">
        <f>+'1.Informe Seguimiento POA 2021'!I52</f>
        <v>Direccionamiento TIC</v>
      </c>
      <c r="L48" s="793" t="str">
        <f>+'1.Informe Seguimiento POA 2021'!J52</f>
        <v>Dirección de Tecnologías de la  Información y las Comunicaciones</v>
      </c>
      <c r="M48" s="169">
        <f>+'1.Informe Seguimiento POA 2021'!K52</f>
        <v>0.3</v>
      </c>
      <c r="N48" s="169">
        <f>+'1.Informe Seguimiento POA 2021'!L52</f>
        <v>0.4</v>
      </c>
      <c r="O48" s="169">
        <f>+'1.Informe Seguimiento POA 2021'!M52</f>
        <v>0.25</v>
      </c>
      <c r="P48" s="169">
        <f>+'1.Informe Seguimiento POA 2021'!N52</f>
        <v>0.05</v>
      </c>
      <c r="Q48" s="804">
        <f>+'1.Informe Seguimiento POA 2021'!O52</f>
        <v>0.05</v>
      </c>
      <c r="R48" s="804">
        <f>+'1.Informe Seguimiento POA 2021'!P52</f>
        <v>0.05</v>
      </c>
      <c r="S48" s="804">
        <f>+'1.Informe Seguimiento POA 2021'!Q52</f>
        <v>0.09</v>
      </c>
      <c r="T48" s="804">
        <f>+'1.Informe Seguimiento POA 2021'!R52</f>
        <v>0.09</v>
      </c>
      <c r="U48" s="804">
        <f>+'1.Informe Seguimiento POA 2021'!S52</f>
        <v>0.09</v>
      </c>
      <c r="V48" s="890">
        <f>+'1.Informe Seguimiento POA 2021'!T52</f>
        <v>0.09</v>
      </c>
      <c r="W48" s="804">
        <f>+'1.Informe Seguimiento POA 2021'!U52</f>
        <v>7.0000000000000007E-2</v>
      </c>
      <c r="X48" s="890">
        <f>+'1.Informe Seguimiento POA 2021'!V52</f>
        <v>0</v>
      </c>
      <c r="Y48" s="804">
        <f>+'1.Informe Seguimiento POA 2021'!W52</f>
        <v>0.30000000000000004</v>
      </c>
      <c r="Z48" s="805">
        <f>+'1.Informe Seguimiento POA 2021'!X52</f>
        <v>0.23</v>
      </c>
      <c r="AA48" s="804">
        <f>+'1.Informe Seguimiento POA 2021'!Y52</f>
        <v>0.76666666666666661</v>
      </c>
      <c r="AB48" s="804"/>
      <c r="AC48" s="804"/>
      <c r="AD48" s="804"/>
      <c r="AE48" s="804"/>
      <c r="AF48" s="804"/>
      <c r="AG48" s="804"/>
      <c r="AH48" s="804"/>
      <c r="AI48" s="804"/>
      <c r="AJ48" s="804">
        <f t="shared" si="31"/>
        <v>0.4</v>
      </c>
      <c r="AK48" s="804"/>
      <c r="AL48" s="804"/>
      <c r="AM48" s="804"/>
      <c r="AN48" s="804"/>
      <c r="AO48" s="804"/>
      <c r="AP48" s="804"/>
      <c r="AQ48" s="804"/>
      <c r="AR48" s="804"/>
      <c r="AS48" s="804"/>
      <c r="AT48" s="804"/>
      <c r="AU48" s="804">
        <f t="shared" si="32"/>
        <v>0.25</v>
      </c>
      <c r="AV48" s="804"/>
      <c r="AW48" s="804"/>
      <c r="AX48" s="804"/>
      <c r="AY48" s="804"/>
      <c r="AZ48" s="804"/>
      <c r="BA48" s="804"/>
      <c r="BB48" s="804"/>
      <c r="BC48" s="804"/>
      <c r="BD48" s="804"/>
      <c r="BE48" s="804"/>
      <c r="BF48" s="804">
        <f t="shared" si="33"/>
        <v>0.05</v>
      </c>
      <c r="BG48" s="804"/>
      <c r="BH48" s="804"/>
      <c r="BI48" s="886">
        <f t="shared" si="29"/>
        <v>0.23</v>
      </c>
      <c r="BJ48" s="886">
        <f t="shared" si="30"/>
        <v>0.23</v>
      </c>
      <c r="BK48" s="913">
        <f t="shared" si="12"/>
        <v>1</v>
      </c>
      <c r="BL48" s="796">
        <f t="shared" si="6"/>
        <v>0.23</v>
      </c>
      <c r="BM48" s="804">
        <f t="shared" si="25"/>
        <v>3.2200000000000006E-2</v>
      </c>
      <c r="BN48" s="1236"/>
      <c r="BO48" s="1156"/>
      <c r="BP48" s="932"/>
      <c r="BQ48" s="932"/>
    </row>
    <row r="49" spans="2:69" ht="94.5" customHeight="1">
      <c r="B49" s="1158"/>
      <c r="C49" s="1180"/>
      <c r="D49" s="1283"/>
      <c r="E49" s="1186"/>
      <c r="F49" s="1180"/>
      <c r="G49" s="1180"/>
      <c r="H49" s="790" t="str">
        <f>+'1.Informe Seguimiento POA 2021'!D53</f>
        <v>4.1.5 Desarrollar el 100% de los requerimientos prioritarios a Sistemas de Información y de apoyo que garanticen el óptimo desempeño de la gestión de los procesos en la Entidad</v>
      </c>
      <c r="I49" s="152">
        <f>+'1.Informe Seguimiento POA 2021'!E53</f>
        <v>0.14000000000000001</v>
      </c>
      <c r="J49" s="886">
        <f>+'1.Informe Seguimiento POA 2021'!F53</f>
        <v>1</v>
      </c>
      <c r="K49" s="792" t="str">
        <f>+'1.Informe Seguimiento POA 2021'!I53</f>
        <v>Direccionamiento TIC</v>
      </c>
      <c r="L49" s="793" t="str">
        <f>+'1.Informe Seguimiento POA 2021'!J53</f>
        <v>Dirección de Tecnologías de la  Información y las Comunicaciones</v>
      </c>
      <c r="M49" s="169">
        <f>+'1.Informe Seguimiento POA 2021'!K53</f>
        <v>0.3</v>
      </c>
      <c r="N49" s="169">
        <f>+'1.Informe Seguimiento POA 2021'!L53</f>
        <v>0.4</v>
      </c>
      <c r="O49" s="169">
        <f>+'1.Informe Seguimiento POA 2021'!M53</f>
        <v>0.25</v>
      </c>
      <c r="P49" s="169">
        <f>+'1.Informe Seguimiento POA 2021'!N53</f>
        <v>0.05</v>
      </c>
      <c r="Q49" s="804">
        <f>+'1.Informe Seguimiento POA 2021'!O53</f>
        <v>0.05</v>
      </c>
      <c r="R49" s="804">
        <f>+'1.Informe Seguimiento POA 2021'!P53</f>
        <v>0.05</v>
      </c>
      <c r="S49" s="804">
        <f>+'1.Informe Seguimiento POA 2021'!Q53</f>
        <v>0.09</v>
      </c>
      <c r="T49" s="804">
        <f>+'1.Informe Seguimiento POA 2021'!R53</f>
        <v>0.09</v>
      </c>
      <c r="U49" s="804">
        <f>+'1.Informe Seguimiento POA 2021'!S53</f>
        <v>0.09</v>
      </c>
      <c r="V49" s="890">
        <f>+'1.Informe Seguimiento POA 2021'!T53</f>
        <v>0.09</v>
      </c>
      <c r="W49" s="804">
        <f>+'1.Informe Seguimiento POA 2021'!U53</f>
        <v>6.9999999999999993E-2</v>
      </c>
      <c r="X49" s="890">
        <f>+'1.Informe Seguimiento POA 2021'!V53</f>
        <v>0</v>
      </c>
      <c r="Y49" s="804">
        <f>+'1.Informe Seguimiento POA 2021'!W53</f>
        <v>0.3</v>
      </c>
      <c r="Z49" s="805">
        <f>+'1.Informe Seguimiento POA 2021'!X53</f>
        <v>0.23</v>
      </c>
      <c r="AA49" s="804">
        <f>+'1.Informe Seguimiento POA 2021'!Y53</f>
        <v>0.76666666666666672</v>
      </c>
      <c r="AB49" s="804"/>
      <c r="AC49" s="804"/>
      <c r="AD49" s="804"/>
      <c r="AE49" s="804"/>
      <c r="AF49" s="804"/>
      <c r="AG49" s="804"/>
      <c r="AH49" s="804"/>
      <c r="AI49" s="804"/>
      <c r="AJ49" s="804">
        <f t="shared" si="31"/>
        <v>0.4</v>
      </c>
      <c r="AK49" s="804"/>
      <c r="AL49" s="804"/>
      <c r="AM49" s="804"/>
      <c r="AN49" s="804"/>
      <c r="AO49" s="804"/>
      <c r="AP49" s="804"/>
      <c r="AQ49" s="804"/>
      <c r="AR49" s="804"/>
      <c r="AS49" s="804"/>
      <c r="AT49" s="804"/>
      <c r="AU49" s="804">
        <f t="shared" si="32"/>
        <v>0.25</v>
      </c>
      <c r="AV49" s="804"/>
      <c r="AW49" s="804"/>
      <c r="AX49" s="804"/>
      <c r="AY49" s="804"/>
      <c r="AZ49" s="804"/>
      <c r="BA49" s="804"/>
      <c r="BB49" s="804"/>
      <c r="BC49" s="804"/>
      <c r="BD49" s="804"/>
      <c r="BE49" s="804"/>
      <c r="BF49" s="804">
        <f t="shared" si="33"/>
        <v>0.05</v>
      </c>
      <c r="BG49" s="804"/>
      <c r="BH49" s="804"/>
      <c r="BI49" s="886">
        <f t="shared" si="29"/>
        <v>0.23</v>
      </c>
      <c r="BJ49" s="886">
        <f t="shared" si="30"/>
        <v>0.23</v>
      </c>
      <c r="BK49" s="913">
        <f t="shared" si="12"/>
        <v>1</v>
      </c>
      <c r="BL49" s="796">
        <f t="shared" si="6"/>
        <v>0.23</v>
      </c>
      <c r="BM49" s="804">
        <f t="shared" si="25"/>
        <v>3.2200000000000006E-2</v>
      </c>
      <c r="BN49" s="1236"/>
      <c r="BO49" s="1156"/>
      <c r="BP49" s="932"/>
      <c r="BQ49" s="932"/>
    </row>
    <row r="50" spans="2:69" ht="71.25" customHeight="1">
      <c r="B50" s="1158"/>
      <c r="C50" s="1180"/>
      <c r="D50" s="1283"/>
      <c r="E50" s="1186"/>
      <c r="F50" s="1180"/>
      <c r="G50" s="1180"/>
      <c r="H50" s="790" t="str">
        <f>+'1.Informe Seguimiento POA 2021'!D54</f>
        <v>4.1.6 Implementar en un 100% las actividades programadas en el plan de uso y apropiación de las TIC, para una óptima gestión institucional</v>
      </c>
      <c r="I50" s="152">
        <f>+'1.Informe Seguimiento POA 2021'!E54</f>
        <v>0.15</v>
      </c>
      <c r="J50" s="886">
        <f>+'1.Informe Seguimiento POA 2021'!F54</f>
        <v>1</v>
      </c>
      <c r="K50" s="792" t="str">
        <f>+'1.Informe Seguimiento POA 2021'!I54</f>
        <v>Direccionamiento TIC</v>
      </c>
      <c r="L50" s="793" t="str">
        <f>+'1.Informe Seguimiento POA 2021'!J54</f>
        <v>Dirección de Tecnologías de la  Información y las Comunicaciones</v>
      </c>
      <c r="M50" s="169">
        <f>+'1.Informe Seguimiento POA 2021'!K54</f>
        <v>0.3</v>
      </c>
      <c r="N50" s="169">
        <f>+'1.Informe Seguimiento POA 2021'!L54</f>
        <v>0.4</v>
      </c>
      <c r="O50" s="169">
        <f>+'1.Informe Seguimiento POA 2021'!M54</f>
        <v>0.25</v>
      </c>
      <c r="P50" s="169">
        <f>+'1.Informe Seguimiento POA 2021'!N54</f>
        <v>0.05</v>
      </c>
      <c r="Q50" s="804">
        <f>+'1.Informe Seguimiento POA 2021'!O54</f>
        <v>0.05</v>
      </c>
      <c r="R50" s="804">
        <f>+'1.Informe Seguimiento POA 2021'!P54</f>
        <v>0.05</v>
      </c>
      <c r="S50" s="804">
        <f>+'1.Informe Seguimiento POA 2021'!Q54</f>
        <v>0.09</v>
      </c>
      <c r="T50" s="804">
        <f>+'1.Informe Seguimiento POA 2021'!R54</f>
        <v>0.09</v>
      </c>
      <c r="U50" s="804">
        <f>+'1.Informe Seguimiento POA 2021'!S54</f>
        <v>0.09</v>
      </c>
      <c r="V50" s="890">
        <f>+'1.Informe Seguimiento POA 2021'!T54</f>
        <v>0.09</v>
      </c>
      <c r="W50" s="804">
        <f>+'1.Informe Seguimiento POA 2021'!U54</f>
        <v>7.0000000000000007E-2</v>
      </c>
      <c r="X50" s="890">
        <f>+'1.Informe Seguimiento POA 2021'!V54</f>
        <v>0</v>
      </c>
      <c r="Y50" s="804">
        <f>+'1.Informe Seguimiento POA 2021'!W54</f>
        <v>0.30000000000000004</v>
      </c>
      <c r="Z50" s="805">
        <f>+'1.Informe Seguimiento POA 2021'!X54</f>
        <v>0.23</v>
      </c>
      <c r="AA50" s="804">
        <f>+'1.Informe Seguimiento POA 2021'!Y54</f>
        <v>0.76666666666666661</v>
      </c>
      <c r="AB50" s="804"/>
      <c r="AC50" s="804"/>
      <c r="AD50" s="804"/>
      <c r="AE50" s="804"/>
      <c r="AF50" s="804"/>
      <c r="AG50" s="804"/>
      <c r="AH50" s="804"/>
      <c r="AI50" s="804"/>
      <c r="AJ50" s="804">
        <f t="shared" si="31"/>
        <v>0.4</v>
      </c>
      <c r="AK50" s="804"/>
      <c r="AL50" s="804"/>
      <c r="AM50" s="804"/>
      <c r="AN50" s="804"/>
      <c r="AO50" s="804"/>
      <c r="AP50" s="804"/>
      <c r="AQ50" s="804"/>
      <c r="AR50" s="804"/>
      <c r="AS50" s="804"/>
      <c r="AT50" s="804"/>
      <c r="AU50" s="804">
        <f t="shared" si="32"/>
        <v>0.25</v>
      </c>
      <c r="AV50" s="804"/>
      <c r="AW50" s="804"/>
      <c r="AX50" s="804"/>
      <c r="AY50" s="804"/>
      <c r="AZ50" s="804"/>
      <c r="BA50" s="804"/>
      <c r="BB50" s="804"/>
      <c r="BC50" s="804"/>
      <c r="BD50" s="804"/>
      <c r="BE50" s="804"/>
      <c r="BF50" s="804">
        <f t="shared" si="33"/>
        <v>0.05</v>
      </c>
      <c r="BG50" s="804"/>
      <c r="BH50" s="804"/>
      <c r="BI50" s="886">
        <f t="shared" si="29"/>
        <v>0.23</v>
      </c>
      <c r="BJ50" s="886">
        <f t="shared" si="30"/>
        <v>0.23</v>
      </c>
      <c r="BK50" s="913">
        <f t="shared" si="12"/>
        <v>1</v>
      </c>
      <c r="BL50" s="796">
        <f t="shared" si="6"/>
        <v>0.23</v>
      </c>
      <c r="BM50" s="804">
        <f t="shared" si="25"/>
        <v>3.4500000000000003E-2</v>
      </c>
      <c r="BN50" s="1236"/>
      <c r="BO50" s="1156"/>
      <c r="BP50" s="932"/>
      <c r="BQ50" s="932"/>
    </row>
    <row r="51" spans="2:69" ht="87.75" customHeight="1">
      <c r="B51" s="1158"/>
      <c r="C51" s="1234"/>
      <c r="D51" s="1284"/>
      <c r="E51" s="1301"/>
      <c r="F51" s="1234"/>
      <c r="G51" s="1234"/>
      <c r="H51" s="790" t="str">
        <f>+'1.Informe Seguimiento POA 2021'!D55</f>
        <v>4.1.7 Optimizar la infraestructura tecnológica cumpliendo el 100% de las actividades de la hoja de ruta proyectada para garantizar la prestación continua de los servicios en la Entidad</v>
      </c>
      <c r="I51" s="152">
        <f>+'1.Informe Seguimiento POA 2021'!E55</f>
        <v>0.15</v>
      </c>
      <c r="J51" s="886">
        <f>+'1.Informe Seguimiento POA 2021'!F55</f>
        <v>1</v>
      </c>
      <c r="K51" s="792" t="str">
        <f>+'1.Informe Seguimiento POA 2021'!I55</f>
        <v>Direccionamiento TIC</v>
      </c>
      <c r="L51" s="793" t="str">
        <f>+'1.Informe Seguimiento POA 2021'!J55</f>
        <v>Dirección de Tecnologías de la  Información y las Comunicaciones</v>
      </c>
      <c r="M51" s="169">
        <f>+'1.Informe Seguimiento POA 2021'!K55</f>
        <v>0.3</v>
      </c>
      <c r="N51" s="169">
        <f>+'1.Informe Seguimiento POA 2021'!L55</f>
        <v>0.4</v>
      </c>
      <c r="O51" s="169">
        <f>+'1.Informe Seguimiento POA 2021'!M55</f>
        <v>0.25</v>
      </c>
      <c r="P51" s="169">
        <f>+'1.Informe Seguimiento POA 2021'!N55</f>
        <v>0.05</v>
      </c>
      <c r="Q51" s="804">
        <f>+'1.Informe Seguimiento POA 2021'!O55</f>
        <v>0.06</v>
      </c>
      <c r="R51" s="804">
        <f>+'1.Informe Seguimiento POA 2021'!P55</f>
        <v>0.06</v>
      </c>
      <c r="S51" s="804">
        <f>+'1.Informe Seguimiento POA 2021'!Q55</f>
        <v>0.09</v>
      </c>
      <c r="T51" s="804">
        <f>+'1.Informe Seguimiento POA 2021'!R55</f>
        <v>0.09</v>
      </c>
      <c r="U51" s="804">
        <f>+'1.Informe Seguimiento POA 2021'!S55</f>
        <v>0.09</v>
      </c>
      <c r="V51" s="890">
        <f>+'1.Informe Seguimiento POA 2021'!T55</f>
        <v>0.09</v>
      </c>
      <c r="W51" s="804">
        <f>+'1.Informe Seguimiento POA 2021'!U55</f>
        <v>0.06</v>
      </c>
      <c r="X51" s="890">
        <f>+'1.Informe Seguimiento POA 2021'!V55</f>
        <v>0</v>
      </c>
      <c r="Y51" s="804">
        <f>+'1.Informe Seguimiento POA 2021'!W55</f>
        <v>0.3</v>
      </c>
      <c r="Z51" s="805">
        <f>+'1.Informe Seguimiento POA 2021'!X55</f>
        <v>0.24</v>
      </c>
      <c r="AA51" s="804">
        <f>+'1.Informe Seguimiento POA 2021'!Y55</f>
        <v>0.8</v>
      </c>
      <c r="AB51" s="804"/>
      <c r="AC51" s="804"/>
      <c r="AD51" s="804"/>
      <c r="AE51" s="804"/>
      <c r="AF51" s="804"/>
      <c r="AG51" s="804"/>
      <c r="AH51" s="804"/>
      <c r="AI51" s="804"/>
      <c r="AJ51" s="804">
        <f t="shared" si="31"/>
        <v>0.4</v>
      </c>
      <c r="AK51" s="804"/>
      <c r="AL51" s="804"/>
      <c r="AM51" s="804"/>
      <c r="AN51" s="804"/>
      <c r="AO51" s="804"/>
      <c r="AP51" s="804"/>
      <c r="AQ51" s="804"/>
      <c r="AR51" s="804"/>
      <c r="AS51" s="804"/>
      <c r="AT51" s="804"/>
      <c r="AU51" s="804">
        <f t="shared" si="32"/>
        <v>0.25</v>
      </c>
      <c r="AV51" s="804"/>
      <c r="AW51" s="804"/>
      <c r="AX51" s="804"/>
      <c r="AY51" s="804"/>
      <c r="AZ51" s="804"/>
      <c r="BA51" s="804"/>
      <c r="BB51" s="804"/>
      <c r="BC51" s="804"/>
      <c r="BD51" s="804"/>
      <c r="BE51" s="804"/>
      <c r="BF51" s="804">
        <f t="shared" si="33"/>
        <v>0.05</v>
      </c>
      <c r="BG51" s="804"/>
      <c r="BH51" s="804"/>
      <c r="BI51" s="886">
        <f t="shared" si="29"/>
        <v>0.24</v>
      </c>
      <c r="BJ51" s="886">
        <f t="shared" si="30"/>
        <v>0.24</v>
      </c>
      <c r="BK51" s="913">
        <f t="shared" si="12"/>
        <v>1</v>
      </c>
      <c r="BL51" s="796">
        <f t="shared" si="6"/>
        <v>0.24</v>
      </c>
      <c r="BM51" s="804">
        <f t="shared" si="25"/>
        <v>3.5999999999999997E-2</v>
      </c>
      <c r="BN51" s="1237"/>
      <c r="BO51" s="1156"/>
      <c r="BP51" s="932"/>
      <c r="BQ51" s="932"/>
    </row>
    <row r="52" spans="2:69" ht="105" customHeight="1">
      <c r="B52" s="1158"/>
      <c r="C52" s="1229" t="str">
        <f>+'Matriz PEI 2021-2024'!C21</f>
        <v>4.2. Consolidar el 90% del Modelo Integrado de Planeación y Gestión –MIPG- y sus sistemas de gestión articulados, como compromiso con la Calidad, la Excelencia, la Responsabilidad Ambiental y la Mejora en la prestación del Servicio.</v>
      </c>
      <c r="D52" s="1226">
        <f>+'Matriz PEI 2021-2024'!E21</f>
        <v>0.9</v>
      </c>
      <c r="E52" s="1226">
        <f>+'Matriz PEI 2021-2024'!D21</f>
        <v>0.15</v>
      </c>
      <c r="F52" s="995" t="s">
        <v>153</v>
      </c>
      <c r="G52" s="995" t="s">
        <v>1064</v>
      </c>
      <c r="H52" s="51" t="str">
        <f>+'1.Informe Seguimiento POA 2021'!D56</f>
        <v>4.2.1 Formular e implementar el 100% de las acciones para la Sostenibilidad y mejora del Sistema de Gestión de la Calidad 
-SGC- (Meta Transversal)</v>
      </c>
      <c r="I52" s="884">
        <f>+'1.Informe Seguimiento POA 2021'!E56</f>
        <v>0.2</v>
      </c>
      <c r="J52" s="880">
        <f>+'1.Informe Seguimiento POA 2021'!F56</f>
        <v>1</v>
      </c>
      <c r="K52" s="885" t="str">
        <f>+'1.Informe Seguimiento POA 2021'!I56</f>
        <v>Direccionamiento Estratégico</v>
      </c>
      <c r="L52" s="885" t="str">
        <f>+'1.Informe Seguimiento POA 2021'!J56</f>
        <v>Dirección de Planeación
Aportan: Dependencias lideradas por  Responsables de procesos y operativos de todos los procesos institucionales</v>
      </c>
      <c r="M52" s="876">
        <f>+'1.Informe Seguimiento POA 2021'!K56</f>
        <v>1</v>
      </c>
      <c r="N52" s="876">
        <f>+'1.Informe Seguimiento POA 2021'!L56</f>
        <v>1</v>
      </c>
      <c r="O52" s="876">
        <f>+'1.Informe Seguimiento POA 2021'!M56</f>
        <v>1</v>
      </c>
      <c r="P52" s="876">
        <f>+'1.Informe Seguimiento POA 2021'!N56</f>
        <v>1</v>
      </c>
      <c r="Q52" s="891">
        <f>+'1.Informe Seguimiento POA 2021'!O56</f>
        <v>0.2</v>
      </c>
      <c r="R52" s="891">
        <f>+'1.Informe Seguimiento POA 2021'!P56</f>
        <v>0.2</v>
      </c>
      <c r="S52" s="891">
        <f>+'1.Informe Seguimiento POA 2021'!Q56</f>
        <v>0.22000000000000003</v>
      </c>
      <c r="T52" s="891">
        <f>+'1.Informe Seguimiento POA 2021'!R56</f>
        <v>0.18482662638903868</v>
      </c>
      <c r="U52" s="891">
        <f>+'1.Informe Seguimiento POA 2021'!S56</f>
        <v>0.29000000000000004</v>
      </c>
      <c r="V52" s="891">
        <f>+'1.Informe Seguimiento POA 2021'!T56</f>
        <v>0.31566361788617886</v>
      </c>
      <c r="W52" s="891">
        <f>+'1.Informe Seguimiento POA 2021'!U56</f>
        <v>0.29000000000000004</v>
      </c>
      <c r="X52" s="891">
        <f>+'1.Informe Seguimiento POA 2021'!V56</f>
        <v>0</v>
      </c>
      <c r="Y52" s="788">
        <f>+'1.Informe Seguimiento POA 2021'!W56</f>
        <v>1</v>
      </c>
      <c r="Z52" s="788">
        <f>+'1.Informe Seguimiento POA 2021'!X56</f>
        <v>0.70049024427521756</v>
      </c>
      <c r="AA52" s="788">
        <f>+'1.Informe Seguimiento POA 2021'!Y56</f>
        <v>0.70049024427521756</v>
      </c>
      <c r="AB52" s="785"/>
      <c r="AC52" s="785"/>
      <c r="AD52" s="785"/>
      <c r="AE52" s="785"/>
      <c r="AF52" s="785"/>
      <c r="AG52" s="785"/>
      <c r="AH52" s="785"/>
      <c r="AI52" s="785"/>
      <c r="AJ52" s="880">
        <f t="shared" si="31"/>
        <v>1</v>
      </c>
      <c r="AK52" s="880"/>
      <c r="AL52" s="896"/>
      <c r="AM52" s="896"/>
      <c r="AN52" s="896"/>
      <c r="AO52" s="896"/>
      <c r="AP52" s="896"/>
      <c r="AQ52" s="896"/>
      <c r="AR52" s="896"/>
      <c r="AS52" s="896"/>
      <c r="AT52" s="896"/>
      <c r="AU52" s="880">
        <f t="shared" si="32"/>
        <v>1</v>
      </c>
      <c r="AV52" s="880"/>
      <c r="AW52" s="896"/>
      <c r="AX52" s="896"/>
      <c r="AY52" s="896"/>
      <c r="AZ52" s="896"/>
      <c r="BA52" s="896"/>
      <c r="BB52" s="896"/>
      <c r="BC52" s="896"/>
      <c r="BD52" s="896"/>
      <c r="BE52" s="896"/>
      <c r="BF52" s="880">
        <f t="shared" si="33"/>
        <v>1</v>
      </c>
      <c r="BG52" s="880"/>
      <c r="BH52" s="896"/>
      <c r="BI52" s="785">
        <f t="shared" si="29"/>
        <v>0.71000000000000008</v>
      </c>
      <c r="BJ52" s="785">
        <f t="shared" si="30"/>
        <v>0.70049024427521756</v>
      </c>
      <c r="BK52" s="785">
        <f t="shared" si="12"/>
        <v>0.98660597785241899</v>
      </c>
      <c r="BL52" s="785">
        <f>(IF(AND(BJ52&gt;0,$J52&gt;0),BJ52/$J52,0)/4)</f>
        <v>0.17512256106880439</v>
      </c>
      <c r="BM52" s="786">
        <f t="shared" si="25"/>
        <v>3.5024512213760878E-2</v>
      </c>
      <c r="BN52" s="1305">
        <f>SUM(BM52:BM57)</f>
        <v>0.24493721062645929</v>
      </c>
      <c r="BO52" s="1156"/>
      <c r="BP52" s="931"/>
      <c r="BQ52" s="931"/>
    </row>
    <row r="53" spans="2:69" ht="96" customHeight="1">
      <c r="B53" s="1158"/>
      <c r="C53" s="1239"/>
      <c r="D53" s="1227"/>
      <c r="E53" s="1227"/>
      <c r="F53" s="995" t="s">
        <v>154</v>
      </c>
      <c r="G53" s="995" t="s">
        <v>722</v>
      </c>
      <c r="H53" s="51" t="str">
        <f>+'1.Informe Seguimiento POA 2021'!D57</f>
        <v>4.2.2 Implementar el 40% de las actividades requeridas para la sostenibilidad y mejora del MIPG, de acuerdo con la metodología establecida por la Función Pública. (Meta Transversal)</v>
      </c>
      <c r="I53" s="884">
        <f>+'1.Informe Seguimiento POA 2021'!E57</f>
        <v>0.2</v>
      </c>
      <c r="J53" s="880">
        <f>+'1.Informe Seguimiento POA 2021'!F57</f>
        <v>0.4</v>
      </c>
      <c r="K53" s="885" t="str">
        <f>+'1.Informe Seguimiento POA 2021'!I57</f>
        <v>Direccionamiento Estratégico</v>
      </c>
      <c r="L53" s="885" t="str">
        <f>+'1.Informe Seguimiento POA 2021'!J57</f>
        <v>Dirección de Planeación
Aportan: Dependencias lideradas por  Responsables de procesos y operativos de todos los procesos institucionales</v>
      </c>
      <c r="M53" s="876">
        <f>+'1.Informe Seguimiento POA 2021'!K57</f>
        <v>0.22</v>
      </c>
      <c r="N53" s="876">
        <f>+'1.Informe Seguimiento POA 2021'!L57</f>
        <v>0.14000000000000001</v>
      </c>
      <c r="O53" s="876">
        <f>+'1.Informe Seguimiento POA 2021'!M57</f>
        <v>0.02</v>
      </c>
      <c r="P53" s="876">
        <f>+'1.Informe Seguimiento POA 2021'!N57</f>
        <v>0.02</v>
      </c>
      <c r="Q53" s="891">
        <f>+'1.Informe Seguimiento POA 2021'!O57</f>
        <v>0.03</v>
      </c>
      <c r="R53" s="891">
        <f>+'1.Informe Seguimiento POA 2021'!P57</f>
        <v>0.03</v>
      </c>
      <c r="S53" s="891">
        <f>+'1.Informe Seguimiento POA 2021'!Q57</f>
        <v>0.04</v>
      </c>
      <c r="T53" s="891">
        <f>+'1.Informe Seguimiento POA 2021'!R57</f>
        <v>0.01</v>
      </c>
      <c r="U53" s="891">
        <f>+'1.Informe Seguimiento POA 2021'!S57</f>
        <v>7.0000000000000007E-2</v>
      </c>
      <c r="V53" s="891">
        <f>+'1.Informe Seguimiento POA 2021'!T57</f>
        <v>7.0000000000000007E-2</v>
      </c>
      <c r="W53" s="891">
        <f>+'1.Informe Seguimiento POA 2021'!U57</f>
        <v>0.08</v>
      </c>
      <c r="X53" s="891">
        <f>+'1.Informe Seguimiento POA 2021'!V57</f>
        <v>0</v>
      </c>
      <c r="Y53" s="788">
        <f>+'1.Informe Seguimiento POA 2021'!W57</f>
        <v>0.22000000000000003</v>
      </c>
      <c r="Z53" s="788">
        <f>+'1.Informe Seguimiento POA 2021'!X57</f>
        <v>0.11000000000000001</v>
      </c>
      <c r="AA53" s="788">
        <f>+'1.Informe Seguimiento POA 2021'!Y57</f>
        <v>0.5</v>
      </c>
      <c r="AB53" s="785"/>
      <c r="AC53" s="785"/>
      <c r="AD53" s="785"/>
      <c r="AE53" s="785"/>
      <c r="AF53" s="785"/>
      <c r="AG53" s="785"/>
      <c r="AH53" s="785"/>
      <c r="AI53" s="785"/>
      <c r="AJ53" s="880">
        <f t="shared" si="31"/>
        <v>0.14000000000000001</v>
      </c>
      <c r="AK53" s="880"/>
      <c r="AL53" s="896"/>
      <c r="AM53" s="896"/>
      <c r="AN53" s="896"/>
      <c r="AO53" s="896"/>
      <c r="AP53" s="896"/>
      <c r="AQ53" s="896"/>
      <c r="AR53" s="896"/>
      <c r="AS53" s="896"/>
      <c r="AT53" s="896"/>
      <c r="AU53" s="880">
        <f t="shared" si="32"/>
        <v>0.02</v>
      </c>
      <c r="AV53" s="880"/>
      <c r="AW53" s="896"/>
      <c r="AX53" s="896"/>
      <c r="AY53" s="896"/>
      <c r="AZ53" s="896"/>
      <c r="BA53" s="896"/>
      <c r="BB53" s="896"/>
      <c r="BC53" s="896"/>
      <c r="BD53" s="896"/>
      <c r="BE53" s="896"/>
      <c r="BF53" s="880">
        <f t="shared" si="33"/>
        <v>0.02</v>
      </c>
      <c r="BG53" s="880"/>
      <c r="BH53" s="896"/>
      <c r="BI53" s="785">
        <f t="shared" si="29"/>
        <v>0.14000000000000001</v>
      </c>
      <c r="BJ53" s="785">
        <f t="shared" si="30"/>
        <v>0.11000000000000001</v>
      </c>
      <c r="BK53" s="785">
        <f t="shared" si="12"/>
        <v>0.7857142857142857</v>
      </c>
      <c r="BL53" s="785">
        <f t="shared" si="6"/>
        <v>0.27500000000000002</v>
      </c>
      <c r="BM53" s="786">
        <f t="shared" si="25"/>
        <v>5.5000000000000007E-2</v>
      </c>
      <c r="BN53" s="1306"/>
      <c r="BO53" s="1156"/>
      <c r="BP53" s="933"/>
      <c r="BQ53" s="933"/>
    </row>
    <row r="54" spans="2:69" ht="74.25" customHeight="1">
      <c r="B54" s="1158"/>
      <c r="C54" s="1239"/>
      <c r="D54" s="1227"/>
      <c r="E54" s="1227"/>
      <c r="F54" s="995" t="s">
        <v>155</v>
      </c>
      <c r="G54" s="995" t="s">
        <v>165</v>
      </c>
      <c r="H54" s="51" t="str">
        <f>+'1.Informe Seguimiento POA 2021'!D58</f>
        <v>4.2.3 Implementar el 100% de los requisitos del Sistema de Gestión Ambiental –SGA-, bajo los estándares de la norma ISO 14001</v>
      </c>
      <c r="I54" s="884">
        <f>+'1.Informe Seguimiento POA 2021'!E58</f>
        <v>0.15</v>
      </c>
      <c r="J54" s="880">
        <f>+'1.Informe Seguimiento POA 2021'!F58</f>
        <v>1</v>
      </c>
      <c r="K54" s="885" t="str">
        <f>+'1.Informe Seguimiento POA 2021'!I58</f>
        <v>Direccionamiento Estratégico</v>
      </c>
      <c r="L54" s="885" t="str">
        <f>+'1.Informe Seguimiento POA 2021'!J58</f>
        <v>Dirección de Planeación</v>
      </c>
      <c r="M54" s="876">
        <f>+'1.Informe Seguimiento POA 2021'!K58</f>
        <v>0.38</v>
      </c>
      <c r="N54" s="876">
        <f>+'1.Informe Seguimiento POA 2021'!L58</f>
        <v>0.33</v>
      </c>
      <c r="O54" s="876">
        <f>+'1.Informe Seguimiento POA 2021'!M58</f>
        <v>0.28999999999999998</v>
      </c>
      <c r="P54" s="876">
        <f>+'1.Informe Seguimiento POA 2021'!N58</f>
        <v>0</v>
      </c>
      <c r="Q54" s="891">
        <f>+'1.Informe Seguimiento POA 2021'!O58</f>
        <v>0.09</v>
      </c>
      <c r="R54" s="891">
        <f>+'1.Informe Seguimiento POA 2021'!P58</f>
        <v>0.09</v>
      </c>
      <c r="S54" s="891">
        <f>+'1.Informe Seguimiento POA 2021'!Q58</f>
        <v>0.09</v>
      </c>
      <c r="T54" s="891">
        <f>+'1.Informe Seguimiento POA 2021'!R58</f>
        <v>0.09</v>
      </c>
      <c r="U54" s="891">
        <f>+'1.Informe Seguimiento POA 2021'!S58</f>
        <v>0.11</v>
      </c>
      <c r="V54" s="891">
        <f>+'1.Informe Seguimiento POA 2021'!T58</f>
        <v>0.11</v>
      </c>
      <c r="W54" s="891">
        <f>+'1.Informe Seguimiento POA 2021'!U58</f>
        <v>0.09</v>
      </c>
      <c r="X54" s="891">
        <f>+'1.Informe Seguimiento POA 2021'!V58</f>
        <v>0</v>
      </c>
      <c r="Y54" s="788">
        <f>+'1.Informe Seguimiento POA 2021'!W58</f>
        <v>0.38</v>
      </c>
      <c r="Z54" s="788">
        <f>+'1.Informe Seguimiento POA 2021'!X58</f>
        <v>0.28999999999999998</v>
      </c>
      <c r="AA54" s="788">
        <f>+'1.Informe Seguimiento POA 2021'!Y58</f>
        <v>0.76315789473684204</v>
      </c>
      <c r="AB54" s="785"/>
      <c r="AC54" s="785"/>
      <c r="AD54" s="785"/>
      <c r="AE54" s="785"/>
      <c r="AF54" s="785"/>
      <c r="AG54" s="785"/>
      <c r="AH54" s="785"/>
      <c r="AI54" s="785"/>
      <c r="AJ54" s="880">
        <f t="shared" si="31"/>
        <v>0.33</v>
      </c>
      <c r="AK54" s="880"/>
      <c r="AL54" s="896"/>
      <c r="AM54" s="896"/>
      <c r="AN54" s="896"/>
      <c r="AO54" s="896"/>
      <c r="AP54" s="896"/>
      <c r="AQ54" s="896"/>
      <c r="AR54" s="896"/>
      <c r="AS54" s="896"/>
      <c r="AT54" s="896"/>
      <c r="AU54" s="880">
        <f t="shared" si="32"/>
        <v>0.28999999999999998</v>
      </c>
      <c r="AV54" s="880"/>
      <c r="AW54" s="896"/>
      <c r="AX54" s="896"/>
      <c r="AY54" s="896"/>
      <c r="AZ54" s="896"/>
      <c r="BA54" s="896"/>
      <c r="BB54" s="896"/>
      <c r="BC54" s="896"/>
      <c r="BD54" s="896"/>
      <c r="BE54" s="896"/>
      <c r="BF54" s="880">
        <f t="shared" si="33"/>
        <v>0</v>
      </c>
      <c r="BG54" s="880"/>
      <c r="BH54" s="896"/>
      <c r="BI54" s="785">
        <f t="shared" si="29"/>
        <v>0.28999999999999998</v>
      </c>
      <c r="BJ54" s="785">
        <f t="shared" si="30"/>
        <v>0.28999999999999998</v>
      </c>
      <c r="BK54" s="785">
        <f t="shared" si="12"/>
        <v>1</v>
      </c>
      <c r="BL54" s="785">
        <f t="shared" si="6"/>
        <v>0.28999999999999998</v>
      </c>
      <c r="BM54" s="786">
        <f t="shared" si="25"/>
        <v>4.3499999999999997E-2</v>
      </c>
      <c r="BN54" s="1306"/>
      <c r="BO54" s="1156"/>
      <c r="BP54" s="933"/>
      <c r="BQ54" s="933"/>
    </row>
    <row r="55" spans="2:69" s="879" customFormat="1" ht="63" customHeight="1">
      <c r="B55" s="1158"/>
      <c r="C55" s="1239"/>
      <c r="D55" s="1227"/>
      <c r="E55" s="1227"/>
      <c r="F55" s="995" t="s">
        <v>166</v>
      </c>
      <c r="G55" s="995" t="s">
        <v>723</v>
      </c>
      <c r="H55" s="51" t="str">
        <f>+'1.Informe Seguimiento POA 2021'!D59</f>
        <v>4.2.4 Realizar 12 acciones de monitoreo y revisión  al Plan Anticorrupción y de Atención al Ciudadano -PAAC- de la vigencia.</v>
      </c>
      <c r="I55" s="884">
        <f>+'1.Informe Seguimiento POA 2021'!E59</f>
        <v>0.1</v>
      </c>
      <c r="J55" s="782">
        <f>+'1.Informe Seguimiento POA 2021'!F59</f>
        <v>12</v>
      </c>
      <c r="K55" s="885" t="str">
        <f>+'1.Informe Seguimiento POA 2021'!I59</f>
        <v>Direccionamiento Estratégico</v>
      </c>
      <c r="L55" s="885" t="str">
        <f>+'1.Informe Seguimiento POA 2021'!J59</f>
        <v>Dirección de Planeación</v>
      </c>
      <c r="M55" s="783">
        <f>+'1.Informe Seguimiento POA 2021'!K59</f>
        <v>3</v>
      </c>
      <c r="N55" s="783">
        <f>+'1.Informe Seguimiento POA 2021'!L59</f>
        <v>3</v>
      </c>
      <c r="O55" s="783">
        <f>+'1.Informe Seguimiento POA 2021'!M59</f>
        <v>3</v>
      </c>
      <c r="P55" s="783">
        <f>+'1.Informe Seguimiento POA 2021'!N59</f>
        <v>3</v>
      </c>
      <c r="Q55" s="783">
        <f>+'1.Informe Seguimiento POA 2021'!O59</f>
        <v>1</v>
      </c>
      <c r="R55" s="783">
        <f>+'1.Informe Seguimiento POA 2021'!P59</f>
        <v>1</v>
      </c>
      <c r="S55" s="783">
        <f>+'1.Informe Seguimiento POA 2021'!Q59</f>
        <v>0</v>
      </c>
      <c r="T55" s="783">
        <f>+'1.Informe Seguimiento POA 2021'!R59</f>
        <v>0</v>
      </c>
      <c r="U55" s="783">
        <f>+'1.Informe Seguimiento POA 2021'!S59</f>
        <v>1</v>
      </c>
      <c r="V55" s="783">
        <f>+'1.Informe Seguimiento POA 2021'!T59</f>
        <v>1</v>
      </c>
      <c r="W55" s="783">
        <f>+'1.Informe Seguimiento POA 2021'!U59</f>
        <v>1</v>
      </c>
      <c r="X55" s="783">
        <f>+'1.Informe Seguimiento POA 2021'!V59</f>
        <v>0</v>
      </c>
      <c r="Y55" s="783">
        <f>+'1.Informe Seguimiento POA 2021'!W59</f>
        <v>3</v>
      </c>
      <c r="Z55" s="783">
        <f>+'1.Informe Seguimiento POA 2021'!X59</f>
        <v>2</v>
      </c>
      <c r="AA55" s="788">
        <f>+'1.Informe Seguimiento POA 2021'!Y59</f>
        <v>0.66666666666666663</v>
      </c>
      <c r="AB55" s="787"/>
      <c r="AC55" s="787"/>
      <c r="AD55" s="787"/>
      <c r="AE55" s="787"/>
      <c r="AF55" s="787"/>
      <c r="AG55" s="787"/>
      <c r="AH55" s="787"/>
      <c r="AI55" s="787"/>
      <c r="AJ55" s="784">
        <f t="shared" si="31"/>
        <v>3</v>
      </c>
      <c r="AK55" s="784"/>
      <c r="AL55" s="785"/>
      <c r="AM55" s="785"/>
      <c r="AN55" s="785"/>
      <c r="AO55" s="785"/>
      <c r="AP55" s="785"/>
      <c r="AQ55" s="785"/>
      <c r="AR55" s="785"/>
      <c r="AS55" s="785"/>
      <c r="AT55" s="785"/>
      <c r="AU55" s="784">
        <f t="shared" si="32"/>
        <v>3</v>
      </c>
      <c r="AV55" s="784"/>
      <c r="AW55" s="785"/>
      <c r="AX55" s="785"/>
      <c r="AY55" s="785"/>
      <c r="AZ55" s="785"/>
      <c r="BA55" s="785"/>
      <c r="BB55" s="785"/>
      <c r="BC55" s="785"/>
      <c r="BD55" s="785"/>
      <c r="BE55" s="785"/>
      <c r="BF55" s="784">
        <f t="shared" si="33"/>
        <v>3</v>
      </c>
      <c r="BG55" s="784"/>
      <c r="BH55" s="785"/>
      <c r="BI55" s="899">
        <f t="shared" si="29"/>
        <v>2</v>
      </c>
      <c r="BJ55" s="899">
        <f t="shared" si="30"/>
        <v>2</v>
      </c>
      <c r="BK55" s="785">
        <f t="shared" si="12"/>
        <v>1</v>
      </c>
      <c r="BL55" s="785">
        <f t="shared" si="6"/>
        <v>0.16666666666666666</v>
      </c>
      <c r="BM55" s="878">
        <f t="shared" si="25"/>
        <v>1.6666666666666666E-2</v>
      </c>
      <c r="BN55" s="1306"/>
      <c r="BO55" s="1156"/>
      <c r="BP55" s="933"/>
      <c r="BQ55" s="933"/>
    </row>
    <row r="56" spans="2:69" ht="83.4" customHeight="1">
      <c r="B56" s="1158"/>
      <c r="C56" s="1239"/>
      <c r="D56" s="1227"/>
      <c r="E56" s="1227"/>
      <c r="F56" s="995" t="s">
        <v>407</v>
      </c>
      <c r="G56" s="995" t="s">
        <v>1115</v>
      </c>
      <c r="H56" s="51" t="str">
        <f>+'1.Informe Seguimiento POA 2021'!D60</f>
        <v>4.2.5 Incrementar al 90% la percepción de los usuarios que califican como excelente y bueno el servicio en la Personería de Bogotá</v>
      </c>
      <c r="I56" s="884">
        <f>+'1.Informe Seguimiento POA 2021'!E60</f>
        <v>0.2</v>
      </c>
      <c r="J56" s="880">
        <f>+'1.Informe Seguimiento POA 2021'!F60</f>
        <v>0.9</v>
      </c>
      <c r="K56" s="885" t="str">
        <f>+'1.Informe Seguimiento POA 2021'!I60</f>
        <v>Servicio al Usuario</v>
      </c>
      <c r="L56" s="885" t="str">
        <f>+'1.Informe Seguimiento POA 2021'!J60</f>
        <v>Secretaría General</v>
      </c>
      <c r="M56" s="891">
        <f>+'1.Informe Seguimiento POA 2021'!K60</f>
        <v>0.9</v>
      </c>
      <c r="N56" s="891">
        <f>+'1.Informe Seguimiento POA 2021'!L60</f>
        <v>0.9</v>
      </c>
      <c r="O56" s="891">
        <f>+'1.Informe Seguimiento POA 2021'!M60</f>
        <v>0.9</v>
      </c>
      <c r="P56" s="891">
        <f>+'1.Informe Seguimiento POA 2021'!N60</f>
        <v>0.9</v>
      </c>
      <c r="Q56" s="891">
        <f>+'1.Informe Seguimiento POA 2021'!O60</f>
        <v>0.9</v>
      </c>
      <c r="R56" s="891">
        <f>+'1.Informe Seguimiento POA 2021'!P60</f>
        <v>0.79800000000000004</v>
      </c>
      <c r="S56" s="891">
        <f>+'1.Informe Seguimiento POA 2021'!Q60</f>
        <v>0</v>
      </c>
      <c r="T56" s="891">
        <f>+'1.Informe Seguimiento POA 2021'!R60</f>
        <v>0</v>
      </c>
      <c r="U56" s="891">
        <f>+'1.Informe Seguimiento POA 2021'!S60</f>
        <v>0.9</v>
      </c>
      <c r="V56" s="891">
        <f>+'1.Informe Seguimiento POA 2021'!T60</f>
        <v>0.93400000000000005</v>
      </c>
      <c r="W56" s="891">
        <f>+'1.Informe Seguimiento POA 2021'!U60</f>
        <v>0</v>
      </c>
      <c r="X56" s="891">
        <f>+'1.Informe Seguimiento POA 2021'!V60</f>
        <v>0</v>
      </c>
      <c r="Y56" s="788">
        <f>+'1.Informe Seguimiento POA 2021'!W60</f>
        <v>0.9</v>
      </c>
      <c r="Z56" s="788">
        <f>+'1.Informe Seguimiento POA 2021'!X60</f>
        <v>0.93400000000000005</v>
      </c>
      <c r="AA56" s="788">
        <f>+'1.Informe Seguimiento POA 2021'!Y60</f>
        <v>1.0377777777777779</v>
      </c>
      <c r="AB56" s="785"/>
      <c r="AC56" s="785"/>
      <c r="AD56" s="785"/>
      <c r="AE56" s="785"/>
      <c r="AF56" s="785"/>
      <c r="AG56" s="785"/>
      <c r="AH56" s="785"/>
      <c r="AI56" s="785"/>
      <c r="AJ56" s="880">
        <f t="shared" ref="AJ56:AJ64" si="34">+N56</f>
        <v>0.9</v>
      </c>
      <c r="AK56" s="880"/>
      <c r="AL56" s="896"/>
      <c r="AM56" s="896"/>
      <c r="AN56" s="896"/>
      <c r="AO56" s="896"/>
      <c r="AP56" s="896"/>
      <c r="AQ56" s="896"/>
      <c r="AR56" s="896"/>
      <c r="AS56" s="896"/>
      <c r="AT56" s="896"/>
      <c r="AU56" s="880">
        <f t="shared" ref="AU56:AU64" si="35">+O56</f>
        <v>0.9</v>
      </c>
      <c r="AV56" s="880"/>
      <c r="AW56" s="896"/>
      <c r="AX56" s="896"/>
      <c r="AY56" s="896"/>
      <c r="AZ56" s="896"/>
      <c r="BA56" s="896"/>
      <c r="BB56" s="896"/>
      <c r="BC56" s="896"/>
      <c r="BD56" s="896"/>
      <c r="BE56" s="896"/>
      <c r="BF56" s="880">
        <f t="shared" ref="BF56:BF64" si="36">+P56</f>
        <v>0.9</v>
      </c>
      <c r="BG56" s="880"/>
      <c r="BH56" s="896"/>
      <c r="BI56" s="787">
        <f>IFERROR(AVERAGE(U56),0)</f>
        <v>0.9</v>
      </c>
      <c r="BJ56" s="787">
        <f>IFERROR(AVERAGE(V56),0)</f>
        <v>0.93400000000000005</v>
      </c>
      <c r="BK56" s="785">
        <f t="shared" si="12"/>
        <v>1.0377777777777779</v>
      </c>
      <c r="BL56" s="785">
        <f>(IF(AND(BJ56&gt;0,$J56&gt;0),BJ56/$J56,0)/4)</f>
        <v>0.25944444444444448</v>
      </c>
      <c r="BM56" s="786">
        <f t="shared" si="25"/>
        <v>5.1888888888888901E-2</v>
      </c>
      <c r="BN56" s="1306"/>
      <c r="BO56" s="1156"/>
      <c r="BP56" s="933"/>
      <c r="BQ56" s="933"/>
    </row>
    <row r="57" spans="2:69" ht="70.5" customHeight="1">
      <c r="B57" s="1158"/>
      <c r="C57" s="1272"/>
      <c r="D57" s="1269"/>
      <c r="E57" s="1269"/>
      <c r="F57" s="995" t="s">
        <v>418</v>
      </c>
      <c r="G57" s="995" t="s">
        <v>420</v>
      </c>
      <c r="H57" s="51" t="str">
        <f>+'1.Informe Seguimiento POA 2021'!D61</f>
        <v xml:space="preserve">4.2.6 Implementar 7 lineamientos en compromiso con la calidad para satisfacer las necesidades y expectativas de los (as) usuarios(as) y partes interesadas </v>
      </c>
      <c r="I57" s="884">
        <f>+'1.Informe Seguimiento POA 2021'!E61</f>
        <v>0.15</v>
      </c>
      <c r="J57" s="782">
        <f>+'1.Informe Seguimiento POA 2021'!F61</f>
        <v>7</v>
      </c>
      <c r="K57" s="885" t="str">
        <f>+'1.Informe Seguimiento POA 2021'!I61</f>
        <v>Servicio al Usuario</v>
      </c>
      <c r="L57" s="885" t="str">
        <f>+'1.Informe Seguimiento POA 2021'!J61</f>
        <v>Secretaría General</v>
      </c>
      <c r="M57" s="810">
        <f>+'1.Informe Seguimiento POA 2021'!K61</f>
        <v>2</v>
      </c>
      <c r="N57" s="810">
        <f>+'1.Informe Seguimiento POA 2021'!L61</f>
        <v>3</v>
      </c>
      <c r="O57" s="810">
        <f>+'1.Informe Seguimiento POA 2021'!M61</f>
        <v>1</v>
      </c>
      <c r="P57" s="810">
        <f>+'1.Informe Seguimiento POA 2021'!N61</f>
        <v>1</v>
      </c>
      <c r="Q57" s="783">
        <f>+'1.Informe Seguimiento POA 2021'!O61</f>
        <v>1</v>
      </c>
      <c r="R57" s="783">
        <f>+'1.Informe Seguimiento POA 2021'!P61</f>
        <v>1</v>
      </c>
      <c r="S57" s="783">
        <f>+'1.Informe Seguimiento POA 2021'!Q61</f>
        <v>1</v>
      </c>
      <c r="T57" s="783">
        <f>+'1.Informe Seguimiento POA 2021'!R61</f>
        <v>1</v>
      </c>
      <c r="U57" s="783">
        <f>+'1.Informe Seguimiento POA 2021'!S61</f>
        <v>0</v>
      </c>
      <c r="V57" s="783">
        <f>+'1.Informe Seguimiento POA 2021'!T61</f>
        <v>0</v>
      </c>
      <c r="W57" s="783">
        <f>+'1.Informe Seguimiento POA 2021'!U61</f>
        <v>0</v>
      </c>
      <c r="X57" s="783">
        <f>+'1.Informe Seguimiento POA 2021'!V61</f>
        <v>0</v>
      </c>
      <c r="Y57" s="783">
        <f>+'1.Informe Seguimiento POA 2021'!W61</f>
        <v>2</v>
      </c>
      <c r="Z57" s="783">
        <f>+'1.Informe Seguimiento POA 2021'!X61</f>
        <v>2</v>
      </c>
      <c r="AA57" s="788">
        <f>+'1.Informe Seguimiento POA 2021'!Y61</f>
        <v>1</v>
      </c>
      <c r="AB57" s="807"/>
      <c r="AC57" s="807"/>
      <c r="AD57" s="807"/>
      <c r="AE57" s="807"/>
      <c r="AF57" s="807"/>
      <c r="AG57" s="807"/>
      <c r="AH57" s="807"/>
      <c r="AI57" s="807"/>
      <c r="AJ57" s="784">
        <f t="shared" si="34"/>
        <v>3</v>
      </c>
      <c r="AK57" s="784"/>
      <c r="AL57" s="785"/>
      <c r="AM57" s="785"/>
      <c r="AN57" s="785"/>
      <c r="AO57" s="785"/>
      <c r="AP57" s="785"/>
      <c r="AQ57" s="785"/>
      <c r="AR57" s="785"/>
      <c r="AS57" s="785"/>
      <c r="AT57" s="785"/>
      <c r="AU57" s="784">
        <f t="shared" si="35"/>
        <v>1</v>
      </c>
      <c r="AV57" s="784"/>
      <c r="AW57" s="785"/>
      <c r="AX57" s="785"/>
      <c r="AY57" s="785"/>
      <c r="AZ57" s="785"/>
      <c r="BA57" s="785"/>
      <c r="BB57" s="785"/>
      <c r="BC57" s="785"/>
      <c r="BD57" s="785"/>
      <c r="BE57" s="785"/>
      <c r="BF57" s="784">
        <f t="shared" si="36"/>
        <v>1</v>
      </c>
      <c r="BG57" s="784"/>
      <c r="BH57" s="785"/>
      <c r="BI57" s="899">
        <f>+Q57+S57+U57</f>
        <v>2</v>
      </c>
      <c r="BJ57" s="899">
        <f>+R57+T57+V57</f>
        <v>2</v>
      </c>
      <c r="BK57" s="785">
        <f t="shared" si="12"/>
        <v>1</v>
      </c>
      <c r="BL57" s="785">
        <f t="shared" si="6"/>
        <v>0.2857142857142857</v>
      </c>
      <c r="BM57" s="808">
        <f t="shared" si="25"/>
        <v>4.2857142857142851E-2</v>
      </c>
      <c r="BN57" s="1307"/>
      <c r="BO57" s="1156"/>
      <c r="BP57" s="933"/>
      <c r="BQ57" s="933"/>
    </row>
    <row r="58" spans="2:69" ht="63.6" customHeight="1">
      <c r="B58" s="1158"/>
      <c r="C58" s="1179" t="str">
        <f>+'Matriz PEI 2021-2024'!C22</f>
        <v xml:space="preserve">4.3. Realizar el 100% de las actividades relacionadas con la Gestión del Talento Humano, que permita su fortalecimiento y el desarrollo de sus conocimientos, su competencia y bienestar. </v>
      </c>
      <c r="D58" s="1282">
        <f>+'Matriz PEI 2021-2024'!E22</f>
        <v>1</v>
      </c>
      <c r="E58" s="1282">
        <f>+'Matriz PEI 2021-2024'!D22</f>
        <v>0.14000000000000001</v>
      </c>
      <c r="F58" s="821" t="str">
        <f>+'1.Informe Seguimiento POA 2021'!H62</f>
        <v>Porcentaje de novedades y situaciones administrativas gestionadas</v>
      </c>
      <c r="G58" s="821" t="str">
        <f>+'08-G. DEL TALENTO HUMANO'!J16</f>
        <v>N° de novedades y situaciones administrativas gestionadas /  N° requerimientos de novedades y situaciones administrativas presentados * 100</v>
      </c>
      <c r="H58" s="790" t="str">
        <f>+'1.Informe Seguimiento POA 2021'!D62</f>
        <v xml:space="preserve">4.3.1 Gestionar el 100% de las novedades y situaciones administrativas de los servidores públicos de la Entidad.
</v>
      </c>
      <c r="I58" s="152">
        <f>+'1.Informe Seguimiento POA 2021'!E62</f>
        <v>0.1</v>
      </c>
      <c r="J58" s="886">
        <f>+'1.Informe Seguimiento POA 2021'!F62</f>
        <v>1</v>
      </c>
      <c r="K58" s="792" t="str">
        <f>+'1.Informe Seguimiento POA 2021'!I62</f>
        <v>Gestión del Talento Humano</v>
      </c>
      <c r="L58" s="793" t="str">
        <f>+'1.Informe Seguimiento POA 2021'!J62</f>
        <v xml:space="preserve">
Dirección de Talento Humano
</v>
      </c>
      <c r="M58" s="811">
        <f>+'1.Informe Seguimiento POA 2021'!K62</f>
        <v>1</v>
      </c>
      <c r="N58" s="811">
        <f>+'1.Informe Seguimiento POA 2021'!L62</f>
        <v>1</v>
      </c>
      <c r="O58" s="811">
        <f>+'1.Informe Seguimiento POA 2021'!M62</f>
        <v>1</v>
      </c>
      <c r="P58" s="811">
        <f>+'1.Informe Seguimiento POA 2021'!N62</f>
        <v>1</v>
      </c>
      <c r="Q58" s="812">
        <f>+'1.Informe Seguimiento POA 2021'!O62</f>
        <v>1</v>
      </c>
      <c r="R58" s="812">
        <f>+'1.Informe Seguimiento POA 2021'!P62</f>
        <v>1</v>
      </c>
      <c r="S58" s="813">
        <f>+'1.Informe Seguimiento POA 2021'!Q62</f>
        <v>1</v>
      </c>
      <c r="T58" s="813">
        <f>+'1.Informe Seguimiento POA 2021'!R62</f>
        <v>1</v>
      </c>
      <c r="U58" s="813">
        <f>+'1.Informe Seguimiento POA 2021'!S62</f>
        <v>1</v>
      </c>
      <c r="V58" s="813">
        <f>+'1.Informe Seguimiento POA 2021'!T62</f>
        <v>1</v>
      </c>
      <c r="W58" s="813">
        <f>+'1.Informe Seguimiento POA 2021'!U62</f>
        <v>1</v>
      </c>
      <c r="X58" s="813">
        <f>+'1.Informe Seguimiento POA 2021'!V62</f>
        <v>0</v>
      </c>
      <c r="Y58" s="804">
        <f>+'1.Informe Seguimiento POA 2021'!W62</f>
        <v>1</v>
      </c>
      <c r="Z58" s="805">
        <f>+'1.Informe Seguimiento POA 2021'!X62</f>
        <v>1</v>
      </c>
      <c r="AA58" s="804">
        <f>+'1.Informe Seguimiento POA 2021'!Y62</f>
        <v>0.75</v>
      </c>
      <c r="AB58" s="814"/>
      <c r="AC58" s="814"/>
      <c r="AD58" s="814"/>
      <c r="AE58" s="814"/>
      <c r="AF58" s="814"/>
      <c r="AG58" s="814"/>
      <c r="AH58" s="814"/>
      <c r="AI58" s="814"/>
      <c r="AJ58" s="804">
        <f t="shared" si="34"/>
        <v>1</v>
      </c>
      <c r="AK58" s="804"/>
      <c r="AL58" s="804"/>
      <c r="AM58" s="804"/>
      <c r="AN58" s="804"/>
      <c r="AO58" s="804"/>
      <c r="AP58" s="804"/>
      <c r="AQ58" s="804"/>
      <c r="AR58" s="804"/>
      <c r="AS58" s="804"/>
      <c r="AT58" s="804"/>
      <c r="AU58" s="804">
        <f t="shared" si="35"/>
        <v>1</v>
      </c>
      <c r="AV58" s="804"/>
      <c r="AW58" s="804"/>
      <c r="AX58" s="804"/>
      <c r="AY58" s="804"/>
      <c r="AZ58" s="804"/>
      <c r="BA58" s="804"/>
      <c r="BB58" s="804"/>
      <c r="BC58" s="804"/>
      <c r="BD58" s="804"/>
      <c r="BE58" s="804"/>
      <c r="BF58" s="804">
        <f t="shared" si="36"/>
        <v>1</v>
      </c>
      <c r="BG58" s="804"/>
      <c r="BH58" s="804"/>
      <c r="BI58" s="814">
        <f>IFERROR(AVERAGE(Q58,S58,U58),0)</f>
        <v>1</v>
      </c>
      <c r="BJ58" s="814">
        <f>IFERROR(AVERAGE(R58,T58,V58),0)</f>
        <v>1</v>
      </c>
      <c r="BK58" s="913">
        <f t="shared" si="12"/>
        <v>1</v>
      </c>
      <c r="BL58" s="814">
        <f>(IF(AND(BJ58&gt;0,$J58&gt;0),BJ58/$J58,0)/4)*0.5</f>
        <v>0.125</v>
      </c>
      <c r="BM58" s="814">
        <f t="shared" si="25"/>
        <v>1.2500000000000001E-2</v>
      </c>
      <c r="BN58" s="1294">
        <f>SUM(BM58:BM65)</f>
        <v>0.15487097651775486</v>
      </c>
      <c r="BO58" s="1156"/>
      <c r="BP58" s="924"/>
      <c r="BQ58" s="924"/>
    </row>
    <row r="59" spans="2:69" ht="88.5" customHeight="1">
      <c r="B59" s="1158"/>
      <c r="C59" s="1180"/>
      <c r="D59" s="1283"/>
      <c r="E59" s="1283"/>
      <c r="F59" s="821" t="str">
        <f>+'1.Informe Seguimiento POA 2021'!H63</f>
        <v xml:space="preserve">Novedades incluidas en la nómina  oportunamente  </v>
      </c>
      <c r="G59" s="821" t="str">
        <f>+'08-G. DEL TALENTO HUMANO'!J17</f>
        <v xml:space="preserve"> N° de Novedades incluidas en la Nomina oportunamente / N° de novedades radicadas en los plazos establecidos</v>
      </c>
      <c r="H59" s="790" t="str">
        <f>+'1.Informe Seguimiento POA 2021'!D63</f>
        <v xml:space="preserve">4.3.2 Incluir el 97% de las Novedades en la nómina oportunamente, para liquidación y pago </v>
      </c>
      <c r="I59" s="152">
        <f>+'1.Informe Seguimiento POA 2021'!E63</f>
        <v>0.1</v>
      </c>
      <c r="J59" s="886">
        <f>+'1.Informe Seguimiento POA 2021'!F63</f>
        <v>0.97</v>
      </c>
      <c r="K59" s="792" t="str">
        <f>+'1.Informe Seguimiento POA 2021'!I63</f>
        <v>Gestión del Talento Humano</v>
      </c>
      <c r="L59" s="793" t="str">
        <f>+'1.Informe Seguimiento POA 2021'!J63</f>
        <v>Dependencia Líder: 
Dirección de Talento Humano
Dependencia Operativa:
Subdirección de Gestión del Talento Humano</v>
      </c>
      <c r="M59" s="811">
        <f>+'1.Informe Seguimiento POA 2021'!K63</f>
        <v>0.97</v>
      </c>
      <c r="N59" s="811">
        <f>+'1.Informe Seguimiento POA 2021'!L63</f>
        <v>0.97</v>
      </c>
      <c r="O59" s="811">
        <f>+'1.Informe Seguimiento POA 2021'!M63</f>
        <v>0.97</v>
      </c>
      <c r="P59" s="811">
        <f>+'1.Informe Seguimiento POA 2021'!N63</f>
        <v>0.97</v>
      </c>
      <c r="Q59" s="812">
        <f>+'1.Informe Seguimiento POA 2021'!O63</f>
        <v>0.97000000000000008</v>
      </c>
      <c r="R59" s="812">
        <f>+'1.Informe Seguimiento POA 2021'!P63</f>
        <v>0.99400000000000011</v>
      </c>
      <c r="S59" s="812">
        <f>+'1.Informe Seguimiento POA 2021'!Q63</f>
        <v>0.97000000000000008</v>
      </c>
      <c r="T59" s="812">
        <f>+'1.Informe Seguimiento POA 2021'!R63</f>
        <v>0.97033333333333316</v>
      </c>
      <c r="U59" s="812">
        <f>+'1.Informe Seguimiento POA 2021'!S63</f>
        <v>0.97000000000000008</v>
      </c>
      <c r="V59" s="812">
        <f>+'1.Informe Seguimiento POA 2021'!T63</f>
        <v>0.96833333333333327</v>
      </c>
      <c r="W59" s="812">
        <f>+'1.Informe Seguimiento POA 2021'!U63</f>
        <v>0.97000000000000008</v>
      </c>
      <c r="X59" s="812">
        <f>+'1.Informe Seguimiento POA 2021'!V63</f>
        <v>0</v>
      </c>
      <c r="Y59" s="804">
        <f>+'1.Informe Seguimiento POA 2021'!W63</f>
        <v>0.97000000000000008</v>
      </c>
      <c r="Z59" s="805">
        <f>+'1.Informe Seguimiento POA 2021'!X63</f>
        <v>0.97699999999999998</v>
      </c>
      <c r="AA59" s="804">
        <f>+'1.Informe Seguimiento POA 2021'!Y63</f>
        <v>0.7554123711340206</v>
      </c>
      <c r="AB59" s="814"/>
      <c r="AC59" s="814"/>
      <c r="AD59" s="814"/>
      <c r="AE59" s="814"/>
      <c r="AF59" s="814"/>
      <c r="AG59" s="814"/>
      <c r="AH59" s="814"/>
      <c r="AI59" s="814"/>
      <c r="AJ59" s="804">
        <f t="shared" si="34"/>
        <v>0.97</v>
      </c>
      <c r="AK59" s="804"/>
      <c r="AL59" s="804"/>
      <c r="AM59" s="804"/>
      <c r="AN59" s="804"/>
      <c r="AO59" s="804"/>
      <c r="AP59" s="804"/>
      <c r="AQ59" s="804"/>
      <c r="AR59" s="804"/>
      <c r="AS59" s="804"/>
      <c r="AT59" s="804"/>
      <c r="AU59" s="804">
        <f t="shared" si="35"/>
        <v>0.97</v>
      </c>
      <c r="AV59" s="804"/>
      <c r="AW59" s="804"/>
      <c r="AX59" s="804"/>
      <c r="AY59" s="804"/>
      <c r="AZ59" s="804"/>
      <c r="BA59" s="804"/>
      <c r="BB59" s="804"/>
      <c r="BC59" s="804"/>
      <c r="BD59" s="804"/>
      <c r="BE59" s="804"/>
      <c r="BF59" s="804">
        <f t="shared" si="36"/>
        <v>0.97</v>
      </c>
      <c r="BG59" s="804"/>
      <c r="BH59" s="804"/>
      <c r="BI59" s="814">
        <f>IFERROR(AVERAGE(Q59,S59,U59),0)</f>
        <v>0.97000000000000008</v>
      </c>
      <c r="BJ59" s="814">
        <f>IFERROR(AVERAGE(R59,T59,V59),0)</f>
        <v>0.97755555555555551</v>
      </c>
      <c r="BK59" s="913">
        <f t="shared" si="12"/>
        <v>1.0077892325315005</v>
      </c>
      <c r="BL59" s="814">
        <f>(IF(AND(BJ59&gt;0,$J59&gt;0),BJ59/$J59,0)/4)*0.5</f>
        <v>0.12597365406643757</v>
      </c>
      <c r="BM59" s="814">
        <f t="shared" si="25"/>
        <v>1.2597365406643758E-2</v>
      </c>
      <c r="BN59" s="1295"/>
      <c r="BO59" s="1156"/>
      <c r="BP59" s="925"/>
      <c r="BQ59" s="925"/>
    </row>
    <row r="60" spans="2:69" ht="157.19999999999999" customHeight="1">
      <c r="B60" s="1158"/>
      <c r="C60" s="1180"/>
      <c r="D60" s="1283"/>
      <c r="E60" s="1283"/>
      <c r="F60" s="821" t="str">
        <f>+'1.Informe Seguimiento POA 2021'!H64</f>
        <v>Porcentaje de Usuarios internos satisfechos con las solicitudes de los servicios atendidas de la SGTH (Certificaciones laborales, bonos pensionales y autorizaciones de retiro de cesantías)</v>
      </c>
      <c r="G60" s="821" t="str">
        <f>+'08-G. DEL TALENTO HUMANO'!J18</f>
        <v>N° de usuarios satisfechos con las solicitudes de servicios atendidas por la SGTH (Certificaciones laborales, bonos pensionales y autorizaciones de retiro de cesantías. / N° de usuarios encuestados *100</v>
      </c>
      <c r="H60" s="790" t="str">
        <f>+'1.Informe Seguimiento POA 2021'!D64</f>
        <v xml:space="preserve">4.3.3 Lograr el 90 % de usuarios internos  satisfechos con las solicitudes de servicios atendidas de la SGTH (Certificaciones laborales, bonos pensionales y autorizaciones de retiro de cesantías). </v>
      </c>
      <c r="I60" s="152">
        <f>+'1.Informe Seguimiento POA 2021'!E64</f>
        <v>0.1</v>
      </c>
      <c r="J60" s="886">
        <f>+'1.Informe Seguimiento POA 2021'!F64</f>
        <v>0.9</v>
      </c>
      <c r="K60" s="792" t="str">
        <f>+'1.Informe Seguimiento POA 2021'!I64</f>
        <v>Gestión del Talento Humano</v>
      </c>
      <c r="L60" s="793" t="str">
        <f>+'1.Informe Seguimiento POA 2021'!J64</f>
        <v>Dependencia Líder: 
Dirección de Talento Humano
Dependencia Operativa:
Subdirección de Gestión del Talento Humano</v>
      </c>
      <c r="M60" s="811">
        <f>+'1.Informe Seguimiento POA 2021'!K64</f>
        <v>0.9</v>
      </c>
      <c r="N60" s="811">
        <f>+'1.Informe Seguimiento POA 2021'!L64</f>
        <v>0.9</v>
      </c>
      <c r="O60" s="811">
        <f>+'1.Informe Seguimiento POA 2021'!M64</f>
        <v>0.9</v>
      </c>
      <c r="P60" s="811">
        <f>+'1.Informe Seguimiento POA 2021'!N64</f>
        <v>0.9</v>
      </c>
      <c r="Q60" s="812">
        <f>+'1.Informe Seguimiento POA 2021'!O64</f>
        <v>0</v>
      </c>
      <c r="R60" s="812">
        <f>+'1.Informe Seguimiento POA 2021'!P64</f>
        <v>0</v>
      </c>
      <c r="S60" s="813">
        <f>+'1.Informe Seguimiento POA 2021'!Q64</f>
        <v>0.9</v>
      </c>
      <c r="T60" s="813">
        <f>+'1.Informe Seguimiento POA 2021'!R64</f>
        <v>0.94799999999999995</v>
      </c>
      <c r="U60" s="813">
        <f>+'1.Informe Seguimiento POA 2021'!S64</f>
        <v>0.9</v>
      </c>
      <c r="V60" s="813">
        <f>+'1.Informe Seguimiento POA 2021'!T64</f>
        <v>0.97</v>
      </c>
      <c r="W60" s="813">
        <f>+'1.Informe Seguimiento POA 2021'!U64</f>
        <v>0.9</v>
      </c>
      <c r="X60" s="813">
        <f>+'1.Informe Seguimiento POA 2021'!V64</f>
        <v>0</v>
      </c>
      <c r="Y60" s="804">
        <f>+'1.Informe Seguimiento POA 2021'!W64</f>
        <v>0.90000000000000013</v>
      </c>
      <c r="Z60" s="805">
        <f>+'1.Informe Seguimiento POA 2021'!X64</f>
        <v>0.95899999999999996</v>
      </c>
      <c r="AA60" s="804">
        <f>+'1.Informe Seguimiento POA 2021'!Y64</f>
        <v>0.79916666666666658</v>
      </c>
      <c r="AB60" s="814"/>
      <c r="AC60" s="814"/>
      <c r="AD60" s="814"/>
      <c r="AE60" s="814"/>
      <c r="AF60" s="814"/>
      <c r="AG60" s="814"/>
      <c r="AH60" s="814"/>
      <c r="AI60" s="814"/>
      <c r="AJ60" s="804">
        <f t="shared" si="34"/>
        <v>0.9</v>
      </c>
      <c r="AK60" s="804"/>
      <c r="AL60" s="804"/>
      <c r="AM60" s="804"/>
      <c r="AN60" s="804"/>
      <c r="AO60" s="804"/>
      <c r="AP60" s="804"/>
      <c r="AQ60" s="804"/>
      <c r="AR60" s="804"/>
      <c r="AS60" s="804"/>
      <c r="AT60" s="804"/>
      <c r="AU60" s="804">
        <f t="shared" si="35"/>
        <v>0.9</v>
      </c>
      <c r="AV60" s="804"/>
      <c r="AW60" s="804"/>
      <c r="AX60" s="804"/>
      <c r="AY60" s="804"/>
      <c r="AZ60" s="804"/>
      <c r="BA60" s="804"/>
      <c r="BB60" s="804"/>
      <c r="BC60" s="804"/>
      <c r="BD60" s="804"/>
      <c r="BE60" s="804"/>
      <c r="BF60" s="804">
        <f t="shared" si="36"/>
        <v>0.9</v>
      </c>
      <c r="BG60" s="804"/>
      <c r="BH60" s="804"/>
      <c r="BI60" s="814">
        <f>IFERROR(AVERAGE(S60,U60),0)</f>
        <v>0.9</v>
      </c>
      <c r="BJ60" s="814">
        <f>IFERROR(AVERAGE(T60,V60),0)</f>
        <v>0.95899999999999996</v>
      </c>
      <c r="BK60" s="913">
        <f t="shared" si="12"/>
        <v>1.0655555555555556</v>
      </c>
      <c r="BL60" s="814">
        <f>(IF(AND(BJ60&gt;0,$J60&gt;0),BJ60/$J60,0)/4)*0.5</f>
        <v>0.13319444444444445</v>
      </c>
      <c r="BM60" s="814">
        <f t="shared" si="25"/>
        <v>1.3319444444444446E-2</v>
      </c>
      <c r="BN60" s="1295"/>
      <c r="BO60" s="1156"/>
      <c r="BP60" s="925"/>
      <c r="BQ60" s="925"/>
    </row>
    <row r="61" spans="2:69" ht="88.2" customHeight="1">
      <c r="B61" s="1158"/>
      <c r="C61" s="1180"/>
      <c r="D61" s="1283"/>
      <c r="E61" s="1283"/>
      <c r="F61" s="1179" t="s">
        <v>1098</v>
      </c>
      <c r="G61" s="1179" t="s">
        <v>1099</v>
      </c>
      <c r="H61" s="790" t="str">
        <f>+'1.Informe Seguimiento POA 2021'!D65</f>
        <v xml:space="preserve">4.3.4 Formular e implementar el 100% del Plan Institucional de Capacitación de la vigencia.
</v>
      </c>
      <c r="I61" s="152">
        <f>+'1.Informe Seguimiento POA 2021'!E65</f>
        <v>0.15</v>
      </c>
      <c r="J61" s="886">
        <f>+'1.Informe Seguimiento POA 2021'!F65</f>
        <v>1</v>
      </c>
      <c r="K61" s="792" t="str">
        <f>+'1.Informe Seguimiento POA 2021'!I65</f>
        <v>Gestión del Talento Humano</v>
      </c>
      <c r="L61" s="793" t="str">
        <f>+'1.Informe Seguimiento POA 2021'!J65</f>
        <v>Dependencia Líder: 
Dirección de Talento Humano
Dependencia Operativa:
Subdirección de Desarrollo del Talento Humano</v>
      </c>
      <c r="M61" s="811">
        <f>+'1.Informe Seguimiento POA 2021'!K65</f>
        <v>1</v>
      </c>
      <c r="N61" s="811">
        <f>+'1.Informe Seguimiento POA 2021'!L65</f>
        <v>1</v>
      </c>
      <c r="O61" s="811">
        <f>+'1.Informe Seguimiento POA 2021'!M65</f>
        <v>1</v>
      </c>
      <c r="P61" s="811">
        <f>+'1.Informe Seguimiento POA 2021'!N65</f>
        <v>1</v>
      </c>
      <c r="Q61" s="892">
        <f>+'1.Informe Seguimiento POA 2021'!O65</f>
        <v>0.24100000000000002</v>
      </c>
      <c r="R61" s="892">
        <f>+'1.Informe Seguimiento POA 2021'!P65</f>
        <v>0.24100000000000002</v>
      </c>
      <c r="S61" s="892">
        <f>+'1.Informe Seguimiento POA 2021'!Q65</f>
        <v>0.27500000000000002</v>
      </c>
      <c r="T61" s="892">
        <f>+'1.Informe Seguimiento POA 2021'!R65</f>
        <v>0.2611</v>
      </c>
      <c r="U61" s="892">
        <f>+'1.Informe Seguimiento POA 2021'!S65</f>
        <v>0.16500000000000001</v>
      </c>
      <c r="V61" s="892">
        <f>+'1.Informe Seguimiento POA 2021'!T65</f>
        <v>0.16469999999999999</v>
      </c>
      <c r="W61" s="892">
        <f>+'1.Informe Seguimiento POA 2021'!U65</f>
        <v>0.31900000000000001</v>
      </c>
      <c r="X61" s="892">
        <f>+'1.Informe Seguimiento POA 2021'!V65</f>
        <v>0</v>
      </c>
      <c r="Y61" s="804">
        <f>+'1.Informe Seguimiento POA 2021'!W65</f>
        <v>1</v>
      </c>
      <c r="Z61" s="805">
        <f>+'1.Informe Seguimiento POA 2021'!X65</f>
        <v>0.66679999999999995</v>
      </c>
      <c r="AA61" s="804">
        <f>+'1.Informe Seguimiento POA 2021'!Y65</f>
        <v>0.66679999999999995</v>
      </c>
      <c r="AB61" s="815"/>
      <c r="AC61" s="815"/>
      <c r="AD61" s="815"/>
      <c r="AE61" s="815"/>
      <c r="AF61" s="815"/>
      <c r="AG61" s="815"/>
      <c r="AH61" s="815"/>
      <c r="AI61" s="815"/>
      <c r="AJ61" s="804">
        <f t="shared" si="34"/>
        <v>1</v>
      </c>
      <c r="AK61" s="804"/>
      <c r="AL61" s="804"/>
      <c r="AM61" s="804"/>
      <c r="AN61" s="804"/>
      <c r="AO61" s="804"/>
      <c r="AP61" s="804"/>
      <c r="AQ61" s="804"/>
      <c r="AR61" s="804"/>
      <c r="AS61" s="804"/>
      <c r="AT61" s="804"/>
      <c r="AU61" s="804">
        <f t="shared" si="35"/>
        <v>1</v>
      </c>
      <c r="AV61" s="804"/>
      <c r="AW61" s="804"/>
      <c r="AX61" s="804"/>
      <c r="AY61" s="804"/>
      <c r="AZ61" s="804"/>
      <c r="BA61" s="804"/>
      <c r="BB61" s="804"/>
      <c r="BC61" s="804"/>
      <c r="BD61" s="804"/>
      <c r="BE61" s="804"/>
      <c r="BF61" s="804">
        <f t="shared" si="36"/>
        <v>1</v>
      </c>
      <c r="BG61" s="804"/>
      <c r="BH61" s="804"/>
      <c r="BI61" s="886">
        <f>+Q61+S61+U61</f>
        <v>0.68100000000000005</v>
      </c>
      <c r="BJ61" s="886">
        <f>+R61+T61+V61</f>
        <v>0.66679999999999995</v>
      </c>
      <c r="BK61" s="913">
        <f t="shared" si="12"/>
        <v>0.9791483113069015</v>
      </c>
      <c r="BL61" s="814">
        <f>(IF(AND(Z61&gt;0,$J61&gt;0),Z61/$J61,0)/4)</f>
        <v>0.16669999999999999</v>
      </c>
      <c r="BM61" s="815">
        <f t="shared" si="25"/>
        <v>2.5004999999999996E-2</v>
      </c>
      <c r="BN61" s="1295"/>
      <c r="BO61" s="1156"/>
      <c r="BP61" s="925"/>
      <c r="BQ61" s="925"/>
    </row>
    <row r="62" spans="2:69" ht="88.2" customHeight="1">
      <c r="B62" s="1158"/>
      <c r="C62" s="1180"/>
      <c r="D62" s="1283"/>
      <c r="E62" s="1283"/>
      <c r="F62" s="1180"/>
      <c r="G62" s="1180"/>
      <c r="H62" s="790" t="str">
        <f>+'1.Informe Seguimiento POA 2021'!D66</f>
        <v>4.3.5 Formular e implementar el 100% del Plan Institucional de Bienestar de la vigencia .</v>
      </c>
      <c r="I62" s="152">
        <f>+'1.Informe Seguimiento POA 2021'!E66</f>
        <v>0.15</v>
      </c>
      <c r="J62" s="886">
        <f>+'1.Informe Seguimiento POA 2021'!F66</f>
        <v>1</v>
      </c>
      <c r="K62" s="792" t="str">
        <f>+'1.Informe Seguimiento POA 2021'!I66</f>
        <v>Gestión del Talento Humano</v>
      </c>
      <c r="L62" s="793" t="str">
        <f>+'1.Informe Seguimiento POA 2021'!J66</f>
        <v>Dependencia Líder: 
Dirección de Talento Humano
Dependencia Operativa:
Subdirección de Desarrollo del Talento Humano</v>
      </c>
      <c r="M62" s="811">
        <f>+'1.Informe Seguimiento POA 2021'!K66</f>
        <v>1</v>
      </c>
      <c r="N62" s="811">
        <f>+'1.Informe Seguimiento POA 2021'!L66</f>
        <v>1</v>
      </c>
      <c r="O62" s="811">
        <f>+'1.Informe Seguimiento POA 2021'!M66</f>
        <v>1</v>
      </c>
      <c r="P62" s="811">
        <f>+'1.Informe Seguimiento POA 2021'!N66</f>
        <v>1</v>
      </c>
      <c r="Q62" s="812">
        <f>+'1.Informe Seguimiento POA 2021'!O66</f>
        <v>0.308</v>
      </c>
      <c r="R62" s="812">
        <f>+'1.Informe Seguimiento POA 2021'!P66</f>
        <v>0.308</v>
      </c>
      <c r="S62" s="812">
        <f>+'1.Informe Seguimiento POA 2021'!Q66</f>
        <v>0.187</v>
      </c>
      <c r="T62" s="812">
        <f>+'1.Informe Seguimiento POA 2021'!R66</f>
        <v>0.2016</v>
      </c>
      <c r="U62" s="812">
        <f>+'1.Informe Seguimiento POA 2021'!S66</f>
        <v>0.19700000000000001</v>
      </c>
      <c r="V62" s="812">
        <f>+'1.Informe Seguimiento POA 2021'!T66</f>
        <v>0.30000000000000004</v>
      </c>
      <c r="W62" s="812">
        <f>+'1.Informe Seguimiento POA 2021'!U66</f>
        <v>0.308</v>
      </c>
      <c r="X62" s="812">
        <f>+'1.Informe Seguimiento POA 2021'!V66</f>
        <v>0</v>
      </c>
      <c r="Y62" s="804">
        <f>+'1.Informe Seguimiento POA 2021'!W66</f>
        <v>1</v>
      </c>
      <c r="Z62" s="805">
        <f>+'1.Informe Seguimiento POA 2021'!X66</f>
        <v>0.8096000000000001</v>
      </c>
      <c r="AA62" s="804">
        <f>+'1.Informe Seguimiento POA 2021'!Y66</f>
        <v>0.8096000000000001</v>
      </c>
      <c r="AB62" s="815"/>
      <c r="AC62" s="815"/>
      <c r="AD62" s="815"/>
      <c r="AE62" s="815"/>
      <c r="AF62" s="815"/>
      <c r="AG62" s="815"/>
      <c r="AH62" s="815"/>
      <c r="AI62" s="815"/>
      <c r="AJ62" s="804">
        <f t="shared" si="34"/>
        <v>1</v>
      </c>
      <c r="AK62" s="804"/>
      <c r="AL62" s="804"/>
      <c r="AM62" s="804"/>
      <c r="AN62" s="804"/>
      <c r="AO62" s="804"/>
      <c r="AP62" s="804"/>
      <c r="AQ62" s="804"/>
      <c r="AR62" s="804"/>
      <c r="AS62" s="804"/>
      <c r="AT62" s="804"/>
      <c r="AU62" s="804">
        <f t="shared" si="35"/>
        <v>1</v>
      </c>
      <c r="AV62" s="804"/>
      <c r="AW62" s="804"/>
      <c r="AX62" s="804"/>
      <c r="AY62" s="804"/>
      <c r="AZ62" s="804"/>
      <c r="BA62" s="804"/>
      <c r="BB62" s="804"/>
      <c r="BC62" s="804"/>
      <c r="BD62" s="804"/>
      <c r="BE62" s="804"/>
      <c r="BF62" s="804">
        <f t="shared" si="36"/>
        <v>1</v>
      </c>
      <c r="BG62" s="804"/>
      <c r="BH62" s="804"/>
      <c r="BI62" s="886">
        <f t="shared" ref="BI62:BJ63" si="37">+Q62+S62+U62</f>
        <v>0.69199999999999995</v>
      </c>
      <c r="BJ62" s="886">
        <f t="shared" si="37"/>
        <v>0.8096000000000001</v>
      </c>
      <c r="BK62" s="913">
        <f t="shared" si="12"/>
        <v>1.1699421965317922</v>
      </c>
      <c r="BL62" s="814">
        <f>(IF(AND(Z62&gt;0,$J62&gt;0),Z62/$J62,0)/4)</f>
        <v>0.20240000000000002</v>
      </c>
      <c r="BM62" s="815">
        <f t="shared" si="25"/>
        <v>3.0360000000000002E-2</v>
      </c>
      <c r="BN62" s="1295"/>
      <c r="BO62" s="1156"/>
      <c r="BP62" s="925"/>
      <c r="BQ62" s="925"/>
    </row>
    <row r="63" spans="2:69" ht="88.2" customHeight="1">
      <c r="B63" s="1158"/>
      <c r="C63" s="1180"/>
      <c r="D63" s="1283"/>
      <c r="E63" s="1283"/>
      <c r="F63" s="1180"/>
      <c r="G63" s="1180"/>
      <c r="H63" s="790" t="str">
        <f>+'1.Informe Seguimiento POA 2021'!D67</f>
        <v>4.3.6 Formular e implementar el 100% del Plan Institucional de Incentivos de la vigencia.</v>
      </c>
      <c r="I63" s="152">
        <f>+'1.Informe Seguimiento POA 2021'!E67</f>
        <v>0.15</v>
      </c>
      <c r="J63" s="886">
        <f>+'1.Informe Seguimiento POA 2021'!F67</f>
        <v>1</v>
      </c>
      <c r="K63" s="792" t="str">
        <f>+'1.Informe Seguimiento POA 2021'!I67</f>
        <v>Gestión del Talento Humano</v>
      </c>
      <c r="L63" s="793" t="str">
        <f>+'1.Informe Seguimiento POA 2021'!J67</f>
        <v>Dependencia Líder: 
Dirección de Talento Humano
Dependencia Operativa:
Subdirección de Desarrollo del Talento Humano</v>
      </c>
      <c r="M63" s="811">
        <f>+'1.Informe Seguimiento POA 2021'!K67</f>
        <v>1</v>
      </c>
      <c r="N63" s="811">
        <f>+'1.Informe Seguimiento POA 2021'!L67</f>
        <v>1</v>
      </c>
      <c r="O63" s="811">
        <f>+'1.Informe Seguimiento POA 2021'!M67</f>
        <v>1</v>
      </c>
      <c r="P63" s="811">
        <f>+'1.Informe Seguimiento POA 2021'!N67</f>
        <v>1</v>
      </c>
      <c r="Q63" s="812">
        <f>+'1.Informe Seguimiento POA 2021'!O67</f>
        <v>0.26424999999999998</v>
      </c>
      <c r="R63" s="812">
        <f>+'1.Informe Seguimiento POA 2021'!P67</f>
        <v>0.248</v>
      </c>
      <c r="S63" s="812">
        <f>+'1.Informe Seguimiento POA 2021'!Q67</f>
        <v>0.17525000000000002</v>
      </c>
      <c r="T63" s="812">
        <f>+'1.Informe Seguimiento POA 2021'!R67</f>
        <v>4.7800000000000002E-2</v>
      </c>
      <c r="U63" s="812">
        <f>+'1.Informe Seguimiento POA 2021'!S67</f>
        <v>0.1275</v>
      </c>
      <c r="V63" s="812">
        <f>+'1.Informe Seguimiento POA 2021'!T67</f>
        <v>0.22270000000000001</v>
      </c>
      <c r="W63" s="812">
        <f>+'1.Informe Seguimiento POA 2021'!U67</f>
        <v>0.433</v>
      </c>
      <c r="X63" s="812">
        <f>+'1.Informe Seguimiento POA 2021'!V67</f>
        <v>0</v>
      </c>
      <c r="Y63" s="804">
        <f>+'1.Informe Seguimiento POA 2021'!W67</f>
        <v>1</v>
      </c>
      <c r="Z63" s="805">
        <f>+'1.Informe Seguimiento POA 2021'!X67</f>
        <v>0.51849999999999996</v>
      </c>
      <c r="AA63" s="804">
        <f>+'1.Informe Seguimiento POA 2021'!Y67</f>
        <v>0.51849999999999996</v>
      </c>
      <c r="AB63" s="815"/>
      <c r="AC63" s="815"/>
      <c r="AD63" s="815"/>
      <c r="AE63" s="815"/>
      <c r="AF63" s="815"/>
      <c r="AG63" s="815"/>
      <c r="AH63" s="815"/>
      <c r="AI63" s="815"/>
      <c r="AJ63" s="804">
        <f t="shared" si="34"/>
        <v>1</v>
      </c>
      <c r="AK63" s="804"/>
      <c r="AL63" s="804"/>
      <c r="AM63" s="804"/>
      <c r="AN63" s="804"/>
      <c r="AO63" s="804"/>
      <c r="AP63" s="804"/>
      <c r="AQ63" s="804"/>
      <c r="AR63" s="804"/>
      <c r="AS63" s="804"/>
      <c r="AT63" s="804"/>
      <c r="AU63" s="804">
        <f t="shared" si="35"/>
        <v>1</v>
      </c>
      <c r="AV63" s="804"/>
      <c r="AW63" s="804"/>
      <c r="AX63" s="804"/>
      <c r="AY63" s="804"/>
      <c r="AZ63" s="804"/>
      <c r="BA63" s="804"/>
      <c r="BB63" s="804"/>
      <c r="BC63" s="804"/>
      <c r="BD63" s="804"/>
      <c r="BE63" s="804"/>
      <c r="BF63" s="804">
        <f t="shared" si="36"/>
        <v>1</v>
      </c>
      <c r="BG63" s="804"/>
      <c r="BH63" s="804"/>
      <c r="BI63" s="886">
        <f t="shared" si="37"/>
        <v>0.56699999999999995</v>
      </c>
      <c r="BJ63" s="886">
        <f t="shared" si="37"/>
        <v>0.51849999999999996</v>
      </c>
      <c r="BK63" s="913">
        <f t="shared" si="12"/>
        <v>0.91446208112874783</v>
      </c>
      <c r="BL63" s="814">
        <f>(IF(AND(BJ63&gt;0,$J63&gt;0),BJ63/$J63,0)/4)</f>
        <v>0.12962499999999999</v>
      </c>
      <c r="BM63" s="815">
        <f t="shared" si="25"/>
        <v>1.9443749999999999E-2</v>
      </c>
      <c r="BN63" s="1295"/>
      <c r="BO63" s="1156"/>
      <c r="BP63" s="925"/>
      <c r="BQ63" s="925"/>
    </row>
    <row r="64" spans="2:69" ht="88.2" customHeight="1">
      <c r="B64" s="1158"/>
      <c r="C64" s="1180"/>
      <c r="D64" s="1283"/>
      <c r="E64" s="1283"/>
      <c r="F64" s="1181"/>
      <c r="G64" s="1181"/>
      <c r="H64" s="790" t="str">
        <f>+'1.Informe Seguimiento POA 2021'!D68</f>
        <v>4.3.7 Diseñar e implementar el 100 % del Plan Anual de Trabajo del Sistema de Gestión de Seguridad y Salud en el Trabajo SG-SST de la vigencia.</v>
      </c>
      <c r="I64" s="152">
        <f>+'1.Informe Seguimiento POA 2021'!E68</f>
        <v>0.15</v>
      </c>
      <c r="J64" s="886">
        <f>+'1.Informe Seguimiento POA 2021'!F68</f>
        <v>1</v>
      </c>
      <c r="K64" s="792" t="str">
        <f>+'1.Informe Seguimiento POA 2021'!I68</f>
        <v>Gestión del Talento Humano</v>
      </c>
      <c r="L64" s="793" t="str">
        <f>+'1.Informe Seguimiento POA 2021'!J68</f>
        <v>Dependencia Líder: 
Dirección de Talento Humano
Dependencia Operativa:
Subdirección de Desarrollo del Talento Humano</v>
      </c>
      <c r="M64" s="811">
        <f>+'1.Informe Seguimiento POA 2021'!K68</f>
        <v>1</v>
      </c>
      <c r="N64" s="811">
        <f>+'1.Informe Seguimiento POA 2021'!L68</f>
        <v>1</v>
      </c>
      <c r="O64" s="811">
        <f>+'1.Informe Seguimiento POA 2021'!M68</f>
        <v>1</v>
      </c>
      <c r="P64" s="811">
        <f>+'1.Informe Seguimiento POA 2021'!N68</f>
        <v>1</v>
      </c>
      <c r="Q64" s="812">
        <f>+'1.Informe Seguimiento POA 2021'!O68</f>
        <v>0.38924999999999998</v>
      </c>
      <c r="R64" s="812">
        <f>+'1.Informe Seguimiento POA 2021'!P68</f>
        <v>0.38400000000000001</v>
      </c>
      <c r="S64" s="812">
        <f>+'1.Informe Seguimiento POA 2021'!Q68</f>
        <v>0.14124999999999999</v>
      </c>
      <c r="T64" s="812">
        <f>+'1.Informe Seguimiento POA 2021'!R68</f>
        <v>0.14529999999999998</v>
      </c>
      <c r="U64" s="812">
        <f>+'1.Informe Seguimiento POA 2021'!S68</f>
        <v>0.14424999999999999</v>
      </c>
      <c r="V64" s="812">
        <f>+'1.Informe Seguimiento POA 2021'!T68</f>
        <v>0.1368</v>
      </c>
      <c r="W64" s="812">
        <f>+'1.Informe Seguimiento POA 2021'!U68</f>
        <v>0.32525000000000004</v>
      </c>
      <c r="X64" s="812">
        <f>+'1.Informe Seguimiento POA 2021'!V68</f>
        <v>0</v>
      </c>
      <c r="Y64" s="804">
        <f>+'1.Informe Seguimiento POA 2021'!W68</f>
        <v>1</v>
      </c>
      <c r="Z64" s="805">
        <f>+'1.Informe Seguimiento POA 2021'!X68</f>
        <v>0.66610000000000003</v>
      </c>
      <c r="AA64" s="804">
        <f>+'1.Informe Seguimiento POA 2021'!Y68</f>
        <v>0.66610000000000003</v>
      </c>
      <c r="AB64" s="815"/>
      <c r="AC64" s="815"/>
      <c r="AD64" s="815"/>
      <c r="AE64" s="815"/>
      <c r="AF64" s="815"/>
      <c r="AG64" s="815"/>
      <c r="AH64" s="815"/>
      <c r="AI64" s="815"/>
      <c r="AJ64" s="804">
        <f t="shared" si="34"/>
        <v>1</v>
      </c>
      <c r="AK64" s="804"/>
      <c r="AL64" s="804"/>
      <c r="AM64" s="804"/>
      <c r="AN64" s="804"/>
      <c r="AO64" s="804"/>
      <c r="AP64" s="804"/>
      <c r="AQ64" s="804"/>
      <c r="AR64" s="804"/>
      <c r="AS64" s="804"/>
      <c r="AT64" s="804"/>
      <c r="AU64" s="804">
        <f t="shared" si="35"/>
        <v>1</v>
      </c>
      <c r="AV64" s="804"/>
      <c r="AW64" s="804"/>
      <c r="AX64" s="804"/>
      <c r="AY64" s="804"/>
      <c r="AZ64" s="804"/>
      <c r="BA64" s="804"/>
      <c r="BB64" s="804"/>
      <c r="BC64" s="804"/>
      <c r="BD64" s="804"/>
      <c r="BE64" s="804"/>
      <c r="BF64" s="804">
        <f t="shared" si="36"/>
        <v>1</v>
      </c>
      <c r="BG64" s="804"/>
      <c r="BH64" s="804"/>
      <c r="BI64" s="886">
        <f t="shared" ref="BI64" si="38">+Q64+S64+U64</f>
        <v>0.67474999999999996</v>
      </c>
      <c r="BJ64" s="886">
        <f t="shared" ref="BJ64" si="39">+R64+T64+V64</f>
        <v>0.66610000000000003</v>
      </c>
      <c r="BK64" s="913">
        <f t="shared" si="12"/>
        <v>0.98718043719896265</v>
      </c>
      <c r="BL64" s="814">
        <f t="shared" ref="BL64" si="40">(IF(AND(BJ64&gt;0,$J64&gt;0),BJ64/$J64,0)/4)</f>
        <v>0.16652500000000001</v>
      </c>
      <c r="BM64" s="815">
        <f t="shared" si="25"/>
        <v>2.4978750000000001E-2</v>
      </c>
      <c r="BN64" s="1295"/>
      <c r="BO64" s="1156"/>
      <c r="BP64" s="925"/>
      <c r="BQ64" s="925"/>
    </row>
    <row r="65" spans="2:69" ht="107.4" customHeight="1">
      <c r="B65" s="1158"/>
      <c r="C65" s="1234"/>
      <c r="D65" s="1284"/>
      <c r="E65" s="1284"/>
      <c r="F65" s="990" t="str">
        <f>+'1.Informe Seguimiento POA 2021'!H69</f>
        <v>Capacitaciones realizadas sobre los Sistemas de Gestión y Evaluación del Desempeño Laboral de la Personería de Bogotá, D.C.</v>
      </c>
      <c r="G65" s="990" t="str">
        <f>+'08-G. DEL TALENTO HUMANO'!J23</f>
        <v>Número de capacitacionese realizadas sobre los Sistemas de Gestión y Evaluación del Desempeño Laboral de la Personería de Bogotá, D.C.</v>
      </c>
      <c r="H65" s="790" t="str">
        <f>+'1.Informe Seguimiento POA 2021'!D69</f>
        <v>4.3.8 Realizar 36 capacitaciones sobre los Sistemas de Gestión y Evaluación del Desempeño Laboral de la Entidad.</v>
      </c>
      <c r="I65" s="152">
        <f>+'1.Informe Seguimiento POA 2021'!E69</f>
        <v>0.1</v>
      </c>
      <c r="J65" s="791">
        <f>+'1.Informe Seguimiento POA 2021'!F69</f>
        <v>36</v>
      </c>
      <c r="K65" s="792" t="str">
        <f>+'1.Informe Seguimiento POA 2021'!I69</f>
        <v>Gestión del Talento Humano</v>
      </c>
      <c r="L65" s="793" t="str">
        <f>+'1.Informe Seguimiento POA 2021'!J69</f>
        <v>Dirección de Talento Humano</v>
      </c>
      <c r="M65" s="816">
        <f>+'1.Informe Seguimiento POA 2021'!K69</f>
        <v>9</v>
      </c>
      <c r="N65" s="816">
        <f>+'1.Informe Seguimiento POA 2021'!L69</f>
        <v>9</v>
      </c>
      <c r="O65" s="816">
        <f>+'1.Informe Seguimiento POA 2021'!M69</f>
        <v>9</v>
      </c>
      <c r="P65" s="816">
        <f>+'1.Informe Seguimiento POA 2021'!N69</f>
        <v>9</v>
      </c>
      <c r="Q65" s="816">
        <f>+'1.Informe Seguimiento POA 2021'!O69</f>
        <v>3</v>
      </c>
      <c r="R65" s="816">
        <f>+'1.Informe Seguimiento POA 2021'!P69</f>
        <v>3</v>
      </c>
      <c r="S65" s="816">
        <f>+'1.Informe Seguimiento POA 2021'!Q69</f>
        <v>0</v>
      </c>
      <c r="T65" s="816">
        <f>+'1.Informe Seguimiento POA 2021'!R69</f>
        <v>0</v>
      </c>
      <c r="U65" s="816">
        <f>+'1.Informe Seguimiento POA 2021'!S69</f>
        <v>3</v>
      </c>
      <c r="V65" s="816">
        <f>+'1.Informe Seguimiento POA 2021'!T69</f>
        <v>3</v>
      </c>
      <c r="W65" s="816">
        <f>+'1.Informe Seguimiento POA 2021'!U69</f>
        <v>3</v>
      </c>
      <c r="X65" s="816">
        <f>+'1.Informe Seguimiento POA 2021'!V69</f>
        <v>0</v>
      </c>
      <c r="Y65" s="795">
        <f>+'1.Informe Seguimiento POA 2021'!W69</f>
        <v>9</v>
      </c>
      <c r="Z65" s="795">
        <f>+'1.Informe Seguimiento POA 2021'!X69</f>
        <v>6</v>
      </c>
      <c r="AA65" s="796">
        <f>+'1.Informe Seguimiento POA 2021'!Y69</f>
        <v>0.66666666666666663</v>
      </c>
      <c r="AB65" s="815"/>
      <c r="AC65" s="815"/>
      <c r="AD65" s="815"/>
      <c r="AE65" s="815"/>
      <c r="AF65" s="815"/>
      <c r="AG65" s="815"/>
      <c r="AH65" s="815"/>
      <c r="AI65" s="815"/>
      <c r="AJ65" s="795">
        <f>+N65</f>
        <v>9</v>
      </c>
      <c r="AK65" s="795"/>
      <c r="AL65" s="796"/>
      <c r="AM65" s="796"/>
      <c r="AN65" s="796"/>
      <c r="AO65" s="796"/>
      <c r="AP65" s="796"/>
      <c r="AQ65" s="796"/>
      <c r="AR65" s="796"/>
      <c r="AS65" s="796"/>
      <c r="AT65" s="796"/>
      <c r="AU65" s="795">
        <f>+O65</f>
        <v>9</v>
      </c>
      <c r="AV65" s="795"/>
      <c r="AW65" s="796"/>
      <c r="AX65" s="796"/>
      <c r="AY65" s="796"/>
      <c r="AZ65" s="796"/>
      <c r="BA65" s="796"/>
      <c r="BB65" s="796"/>
      <c r="BC65" s="796"/>
      <c r="BD65" s="796"/>
      <c r="BE65" s="796"/>
      <c r="BF65" s="795">
        <f>+P65</f>
        <v>9</v>
      </c>
      <c r="BG65" s="795"/>
      <c r="BH65" s="796"/>
      <c r="BI65" s="795">
        <f>+Q65+S65+U65</f>
        <v>6</v>
      </c>
      <c r="BJ65" s="795">
        <f>+R65+T65+V65</f>
        <v>6</v>
      </c>
      <c r="BK65" s="913">
        <f t="shared" si="12"/>
        <v>1</v>
      </c>
      <c r="BL65" s="814">
        <f>IF(AND(BJ65&gt;0,$J65&gt;0),BJ65/$J65,0)</f>
        <v>0.16666666666666666</v>
      </c>
      <c r="BM65" s="815">
        <f t="shared" si="25"/>
        <v>1.6666666666666666E-2</v>
      </c>
      <c r="BN65" s="1296"/>
      <c r="BO65" s="1156"/>
      <c r="BP65" s="925"/>
      <c r="BQ65" s="925"/>
    </row>
    <row r="66" spans="2:69" ht="76.5" customHeight="1">
      <c r="B66" s="1158"/>
      <c r="C66" s="1229" t="str">
        <f>+'Matriz PEI 2021-2024'!C23</f>
        <v>4.4. Implementar el 100% de las acciones necesarias para la modernización de la gestión institucional a través de los procesos de apoyo, que permita una mejor prestación del servicio.</v>
      </c>
      <c r="D66" s="1226">
        <f>+'Matriz PEI 2021-2024'!E23</f>
        <v>1</v>
      </c>
      <c r="E66" s="1226">
        <f>+'Matriz PEI 2021-2024'!D23</f>
        <v>0.14000000000000001</v>
      </c>
      <c r="F66" s="1238" t="s">
        <v>1100</v>
      </c>
      <c r="G66" s="1238" t="s">
        <v>1101</v>
      </c>
      <c r="H66" s="997" t="str">
        <f>+'1.Informe Seguimiento POA 2021'!D70</f>
        <v>4.4.1 Atender el 100% de los servicios de mantenimiento, almacén, transporte. Aseo y cafetería</v>
      </c>
      <c r="I66" s="884">
        <f>+'1.Informe Seguimiento POA 2021'!E70</f>
        <v>0.1</v>
      </c>
      <c r="J66" s="880">
        <f>+'1.Informe Seguimiento POA 2021'!F70</f>
        <v>1</v>
      </c>
      <c r="K66" s="885" t="str">
        <f>+'1.Informe Seguimiento POA 2021'!I70</f>
        <v>Gestión Administrativa</v>
      </c>
      <c r="L66" s="885" t="str">
        <f>+'1.Informe Seguimiento POA 2021'!J70</f>
        <v>Subdirección de Gestión Documental y Recursos Físicos
Dirección Administrativa y Financiera</v>
      </c>
      <c r="M66" s="806">
        <f>+'1.Informe Seguimiento POA 2021'!K70</f>
        <v>1</v>
      </c>
      <c r="N66" s="806">
        <f>+'1.Informe Seguimiento POA 2021'!L70</f>
        <v>1</v>
      </c>
      <c r="O66" s="806">
        <f>+'1.Informe Seguimiento POA 2021'!M70</f>
        <v>1</v>
      </c>
      <c r="P66" s="806">
        <f>+'1.Informe Seguimiento POA 2021'!N70</f>
        <v>1</v>
      </c>
      <c r="Q66" s="887">
        <f>+'1.Informe Seguimiento POA 2021'!O70</f>
        <v>1</v>
      </c>
      <c r="R66" s="887">
        <f>+'1.Informe Seguimiento POA 2021'!P70</f>
        <v>0.99633333333333329</v>
      </c>
      <c r="S66" s="887">
        <f>+'1.Informe Seguimiento POA 2021'!Q70</f>
        <v>1</v>
      </c>
      <c r="T66" s="887">
        <f>+'1.Informe Seguimiento POA 2021'!R70</f>
        <v>1</v>
      </c>
      <c r="U66" s="887">
        <f>+'1.Informe Seguimiento POA 2021'!S70</f>
        <v>1</v>
      </c>
      <c r="V66" s="887">
        <f>+'1.Informe Seguimiento POA 2021'!T70</f>
        <v>1</v>
      </c>
      <c r="W66" s="887">
        <f>+'1.Informe Seguimiento POA 2021'!U70</f>
        <v>1</v>
      </c>
      <c r="X66" s="887">
        <f>+'1.Informe Seguimiento POA 2021'!V70</f>
        <v>0</v>
      </c>
      <c r="Y66" s="788">
        <f>+'1.Informe Seguimiento POA 2021'!W70</f>
        <v>1</v>
      </c>
      <c r="Z66" s="788">
        <f>+'1.Informe Seguimiento POA 2021'!X70</f>
        <v>0.998</v>
      </c>
      <c r="AA66" s="788">
        <f>+'1.Informe Seguimiento POA 2021'!Y70</f>
        <v>0.74849999999999994</v>
      </c>
      <c r="AB66" s="785"/>
      <c r="AC66" s="785"/>
      <c r="AD66" s="785"/>
      <c r="AE66" s="785"/>
      <c r="AF66" s="785"/>
      <c r="AG66" s="785"/>
      <c r="AH66" s="785"/>
      <c r="AI66" s="785"/>
      <c r="AJ66" s="880">
        <f t="shared" ref="AJ66:AJ88" si="41">+N66</f>
        <v>1</v>
      </c>
      <c r="AK66" s="880"/>
      <c r="AL66" s="896"/>
      <c r="AM66" s="896"/>
      <c r="AN66" s="896"/>
      <c r="AO66" s="896"/>
      <c r="AP66" s="896"/>
      <c r="AQ66" s="896"/>
      <c r="AR66" s="896"/>
      <c r="AS66" s="896"/>
      <c r="AT66" s="896"/>
      <c r="AU66" s="880">
        <f t="shared" ref="AU66:AU88" si="42">+O66</f>
        <v>1</v>
      </c>
      <c r="AV66" s="880"/>
      <c r="AW66" s="896"/>
      <c r="AX66" s="896"/>
      <c r="AY66" s="896"/>
      <c r="AZ66" s="896"/>
      <c r="BA66" s="896"/>
      <c r="BB66" s="896"/>
      <c r="BC66" s="896"/>
      <c r="BD66" s="896"/>
      <c r="BE66" s="896"/>
      <c r="BF66" s="880">
        <f t="shared" ref="BF66:BF88" si="43">+P66</f>
        <v>1</v>
      </c>
      <c r="BG66" s="880"/>
      <c r="BH66" s="896"/>
      <c r="BI66" s="787">
        <f>IFERROR(AVERAGE(Q66,S66,U66),0)</f>
        <v>1</v>
      </c>
      <c r="BJ66" s="787">
        <f>IFERROR(AVERAGE(R66,T66,V66),0)</f>
        <v>0.99877777777777776</v>
      </c>
      <c r="BK66" s="785">
        <f t="shared" si="12"/>
        <v>0.99877777777777776</v>
      </c>
      <c r="BL66" s="785">
        <f>(IF(AND(BJ66&gt;0,$J66&gt;0),BJ66/$J66,0)/4)*0.5</f>
        <v>0.12484722222222222</v>
      </c>
      <c r="BM66" s="785">
        <f t="shared" si="25"/>
        <v>1.2484722222222223E-2</v>
      </c>
      <c r="BN66" s="1222">
        <f>SUM(BM66:BM83)</f>
        <v>0.14313455736971017</v>
      </c>
      <c r="BO66" s="1156"/>
      <c r="BP66" s="930"/>
      <c r="BQ66" s="930"/>
    </row>
    <row r="67" spans="2:69" ht="62.25" customHeight="1">
      <c r="B67" s="1158"/>
      <c r="C67" s="1239"/>
      <c r="D67" s="1227"/>
      <c r="E67" s="1227"/>
      <c r="F67" s="1238"/>
      <c r="G67" s="1238"/>
      <c r="H67" s="997" t="str">
        <f>+'1.Informe Seguimiento POA 2021'!D71</f>
        <v>4.4.2 Ejecutar el 97% de las actividades del Plan Estratégico de Seguridad Vial (PESV)</v>
      </c>
      <c r="I67" s="884">
        <f>+'1.Informe Seguimiento POA 2021'!E71</f>
        <v>0.1</v>
      </c>
      <c r="J67" s="880">
        <f>+'1.Informe Seguimiento POA 2021'!F71</f>
        <v>0.97</v>
      </c>
      <c r="K67" s="885" t="str">
        <f>+'1.Informe Seguimiento POA 2021'!I71</f>
        <v>Gestión Administrativa</v>
      </c>
      <c r="L67" s="885" t="str">
        <f>+'1.Informe Seguimiento POA 2021'!J71</f>
        <v>Subdirección de Gestión Documental y Recursos Físicos
Dirección Administrativa y Financiera</v>
      </c>
      <c r="M67" s="806">
        <f>+'1.Informe Seguimiento POA 2021'!K71</f>
        <v>0.97</v>
      </c>
      <c r="N67" s="806">
        <f>+'1.Informe Seguimiento POA 2021'!L71</f>
        <v>0.97</v>
      </c>
      <c r="O67" s="806">
        <f>+'1.Informe Seguimiento POA 2021'!M71</f>
        <v>0.97</v>
      </c>
      <c r="P67" s="806">
        <f>+'1.Informe Seguimiento POA 2021'!N71</f>
        <v>0.97</v>
      </c>
      <c r="Q67" s="887">
        <f>+'1.Informe Seguimiento POA 2021'!O71</f>
        <v>0.97000000000000008</v>
      </c>
      <c r="R67" s="887">
        <f>+'1.Informe Seguimiento POA 2021'!P71</f>
        <v>1</v>
      </c>
      <c r="S67" s="887">
        <f>+'1.Informe Seguimiento POA 2021'!Q71</f>
        <v>0.97000000000000008</v>
      </c>
      <c r="T67" s="887">
        <f>+'1.Informe Seguimiento POA 2021'!R71</f>
        <v>1.037037037037037</v>
      </c>
      <c r="U67" s="887">
        <f>+'1.Informe Seguimiento POA 2021'!S71</f>
        <v>0.97000000000000008</v>
      </c>
      <c r="V67" s="887">
        <f>+'1.Informe Seguimiento POA 2021'!T71</f>
        <v>1.1609999999999998</v>
      </c>
      <c r="W67" s="887">
        <f>+'1.Informe Seguimiento POA 2021'!U71</f>
        <v>0.97000000000000008</v>
      </c>
      <c r="X67" s="887">
        <f>+'1.Informe Seguimiento POA 2021'!V71</f>
        <v>0</v>
      </c>
      <c r="Y67" s="788">
        <f>+'1.Informe Seguimiento POA 2021'!W71</f>
        <v>0.97000000000000008</v>
      </c>
      <c r="Z67" s="788">
        <f>+'1.Informe Seguimiento POA 2021'!X71</f>
        <v>1.0660000000000001</v>
      </c>
      <c r="AA67" s="788">
        <f>+'1.Informe Seguimiento POA 2021'!Y71</f>
        <v>0.8242268041237113</v>
      </c>
      <c r="AB67" s="785"/>
      <c r="AC67" s="785"/>
      <c r="AD67" s="785"/>
      <c r="AE67" s="785"/>
      <c r="AF67" s="785"/>
      <c r="AG67" s="785"/>
      <c r="AH67" s="785"/>
      <c r="AI67" s="785"/>
      <c r="AJ67" s="880">
        <f t="shared" si="41"/>
        <v>0.97</v>
      </c>
      <c r="AK67" s="880"/>
      <c r="AL67" s="896"/>
      <c r="AM67" s="896"/>
      <c r="AN67" s="896"/>
      <c r="AO67" s="896"/>
      <c r="AP67" s="896"/>
      <c r="AQ67" s="896"/>
      <c r="AR67" s="896"/>
      <c r="AS67" s="896"/>
      <c r="AT67" s="896"/>
      <c r="AU67" s="880">
        <f t="shared" si="42"/>
        <v>0.97</v>
      </c>
      <c r="AV67" s="880"/>
      <c r="AW67" s="896"/>
      <c r="AX67" s="896"/>
      <c r="AY67" s="896"/>
      <c r="AZ67" s="896"/>
      <c r="BA67" s="896"/>
      <c r="BB67" s="896"/>
      <c r="BC67" s="896"/>
      <c r="BD67" s="896"/>
      <c r="BE67" s="896"/>
      <c r="BF67" s="880">
        <f t="shared" si="43"/>
        <v>0.97</v>
      </c>
      <c r="BG67" s="880"/>
      <c r="BH67" s="896"/>
      <c r="BI67" s="787">
        <f>IFERROR(AVERAGE(Q67,S67,U67),0)</f>
        <v>0.97000000000000008</v>
      </c>
      <c r="BJ67" s="785">
        <f>IFERROR(AVERAGE(R67,T67),0)</f>
        <v>1.0185185185185186</v>
      </c>
      <c r="BK67" s="785">
        <f t="shared" si="12"/>
        <v>1.0500190912562046</v>
      </c>
      <c r="BL67" s="785">
        <f>(IF(AND(BJ67&gt;0,$J67&gt;0),BJ67/$J67,0)/4)*0.5</f>
        <v>0.13125238640702561</v>
      </c>
      <c r="BM67" s="785">
        <f t="shared" si="25"/>
        <v>1.3125238640702561E-2</v>
      </c>
      <c r="BN67" s="1223"/>
      <c r="BO67" s="1156"/>
      <c r="BP67" s="930"/>
      <c r="BQ67" s="930"/>
    </row>
    <row r="68" spans="2:69" ht="64.5" customHeight="1">
      <c r="B68" s="1158"/>
      <c r="C68" s="1239"/>
      <c r="D68" s="1227"/>
      <c r="E68" s="1227"/>
      <c r="F68" s="1238" t="s">
        <v>1102</v>
      </c>
      <c r="G68" s="1229" t="s">
        <v>1103</v>
      </c>
      <c r="H68" s="997" t="str">
        <f>+'1.Informe Seguimiento POA 2021'!D72</f>
        <v>4.4.3 Ejecutar el 95% del presupuesto aprobado para la Entidad</v>
      </c>
      <c r="I68" s="884">
        <f>+'1.Informe Seguimiento POA 2021'!E72</f>
        <v>7.0000000000000007E-2</v>
      </c>
      <c r="J68" s="880">
        <f>+'1.Informe Seguimiento POA 2021'!F72</f>
        <v>0.95</v>
      </c>
      <c r="K68" s="885" t="str">
        <f>+'1.Informe Seguimiento POA 2021'!I72</f>
        <v>Gestión Financiera</v>
      </c>
      <c r="L68" s="885" t="str">
        <f>+'1.Informe Seguimiento POA 2021'!J72</f>
        <v>Subdirección de Gestión Financiera
Dirección Administrativa y Financiera</v>
      </c>
      <c r="M68" s="806">
        <f>+'1.Informe Seguimiento POA 2021'!K72</f>
        <v>0.95</v>
      </c>
      <c r="N68" s="806">
        <f>+'1.Informe Seguimiento POA 2021'!L72</f>
        <v>0.95</v>
      </c>
      <c r="O68" s="806">
        <f>+'1.Informe Seguimiento POA 2021'!M72</f>
        <v>0.95</v>
      </c>
      <c r="P68" s="806">
        <f>+'1.Informe Seguimiento POA 2021'!N72</f>
        <v>0.95</v>
      </c>
      <c r="Q68" s="887">
        <f>+'1.Informe Seguimiento POA 2021'!O72</f>
        <v>0.22000000000000003</v>
      </c>
      <c r="R68" s="887">
        <f>+'1.Informe Seguimiento POA 2021'!P72</f>
        <v>0.20400000000000001</v>
      </c>
      <c r="S68" s="887">
        <f>+'1.Informe Seguimiento POA 2021'!Q72</f>
        <v>0.25</v>
      </c>
      <c r="T68" s="887">
        <f>+'1.Informe Seguimiento POA 2021'!R72</f>
        <v>0.25800000000000001</v>
      </c>
      <c r="U68" s="887">
        <f>+'1.Informe Seguimiento POA 2021'!S72</f>
        <v>0.25</v>
      </c>
      <c r="V68" s="887">
        <f>+'1.Informe Seguimiento POA 2021'!T72</f>
        <v>0.19900000000000001</v>
      </c>
      <c r="W68" s="887">
        <f>+'1.Informe Seguimiento POA 2021'!U72</f>
        <v>0.23</v>
      </c>
      <c r="X68" s="887">
        <f>+'1.Informe Seguimiento POA 2021'!V72</f>
        <v>0</v>
      </c>
      <c r="Y68" s="788">
        <f>+'1.Informe Seguimiento POA 2021'!W72</f>
        <v>0.95</v>
      </c>
      <c r="Z68" s="788">
        <f>+'1.Informe Seguimiento POA 2021'!X72</f>
        <v>0.66100000000000003</v>
      </c>
      <c r="AA68" s="788">
        <f>+'1.Informe Seguimiento POA 2021'!Y72</f>
        <v>0.69578947368421062</v>
      </c>
      <c r="AB68" s="817"/>
      <c r="AC68" s="817"/>
      <c r="AD68" s="817"/>
      <c r="AE68" s="817"/>
      <c r="AF68" s="817"/>
      <c r="AG68" s="817"/>
      <c r="AH68" s="817"/>
      <c r="AI68" s="817"/>
      <c r="AJ68" s="880">
        <f t="shared" si="41"/>
        <v>0.95</v>
      </c>
      <c r="AK68" s="880"/>
      <c r="AL68" s="896"/>
      <c r="AM68" s="896"/>
      <c r="AN68" s="896"/>
      <c r="AO68" s="896"/>
      <c r="AP68" s="896"/>
      <c r="AQ68" s="896"/>
      <c r="AR68" s="896"/>
      <c r="AS68" s="896"/>
      <c r="AT68" s="896"/>
      <c r="AU68" s="880">
        <f t="shared" si="42"/>
        <v>0.95</v>
      </c>
      <c r="AV68" s="880"/>
      <c r="AW68" s="896"/>
      <c r="AX68" s="896"/>
      <c r="AY68" s="896"/>
      <c r="AZ68" s="896"/>
      <c r="BA68" s="896"/>
      <c r="BB68" s="896"/>
      <c r="BC68" s="896"/>
      <c r="BD68" s="896"/>
      <c r="BE68" s="896"/>
      <c r="BF68" s="880">
        <f t="shared" si="43"/>
        <v>0.95</v>
      </c>
      <c r="BG68" s="880"/>
      <c r="BH68" s="896"/>
      <c r="BI68" s="1061">
        <f t="shared" ref="BI68:BJ71" si="44">+Q68+S68+U68</f>
        <v>0.72</v>
      </c>
      <c r="BJ68" s="1061">
        <f t="shared" si="44"/>
        <v>0.66100000000000003</v>
      </c>
      <c r="BK68" s="785">
        <f t="shared" si="12"/>
        <v>0.91805555555555562</v>
      </c>
      <c r="BL68" s="785">
        <f>(IF(AND(BJ68&gt;0,$J68&gt;0),BJ68/$J68,0)/4)</f>
        <v>0.17394736842105266</v>
      </c>
      <c r="BM68" s="817">
        <f t="shared" si="25"/>
        <v>1.2176315789473688E-2</v>
      </c>
      <c r="BN68" s="1223"/>
      <c r="BO68" s="1156"/>
      <c r="BP68" s="930"/>
      <c r="BQ68" s="930"/>
    </row>
    <row r="69" spans="2:69" ht="64.5" customHeight="1">
      <c r="B69" s="1158"/>
      <c r="C69" s="1239"/>
      <c r="D69" s="1227"/>
      <c r="E69" s="1227"/>
      <c r="F69" s="1238"/>
      <c r="G69" s="1239"/>
      <c r="H69" s="997" t="str">
        <f>+'1.Informe Seguimiento POA 2021'!D73</f>
        <v>4.4.4 Programar y ejecutar el 95% de los compromisos de pago adquiridos por la Entidad</v>
      </c>
      <c r="I69" s="884">
        <f>+'1.Informe Seguimiento POA 2021'!E73</f>
        <v>7.0000000000000007E-2</v>
      </c>
      <c r="J69" s="880">
        <f>+'1.Informe Seguimiento POA 2021'!F73</f>
        <v>0.95</v>
      </c>
      <c r="K69" s="885" t="str">
        <f>+'1.Informe Seguimiento POA 2021'!I73</f>
        <v>Gestión Financiera</v>
      </c>
      <c r="L69" s="885" t="str">
        <f>+'1.Informe Seguimiento POA 2021'!J73</f>
        <v>Subdirección de Gestión Financiera
Dirección Administrativa y Financiera</v>
      </c>
      <c r="M69" s="806">
        <f>+'1.Informe Seguimiento POA 2021'!K73</f>
        <v>0.95</v>
      </c>
      <c r="N69" s="806">
        <f>+'1.Informe Seguimiento POA 2021'!L73</f>
        <v>0.95</v>
      </c>
      <c r="O69" s="806">
        <f>+'1.Informe Seguimiento POA 2021'!M73</f>
        <v>0.95</v>
      </c>
      <c r="P69" s="806">
        <f>+'1.Informe Seguimiento POA 2021'!N73</f>
        <v>0.95</v>
      </c>
      <c r="Q69" s="887">
        <f>+'1.Informe Seguimiento POA 2021'!O73</f>
        <v>0.14000000000000001</v>
      </c>
      <c r="R69" s="887">
        <f>+'1.Informe Seguimiento POA 2021'!P73</f>
        <v>9.7397917127575201E-2</v>
      </c>
      <c r="S69" s="887">
        <f>+'1.Informe Seguimiento POA 2021'!Q73</f>
        <v>0.25</v>
      </c>
      <c r="T69" s="887">
        <f>+'1.Informe Seguimiento POA 2021'!R73</f>
        <v>0.23532220306748558</v>
      </c>
      <c r="U69" s="887">
        <f>+'1.Informe Seguimiento POA 2021'!S73</f>
        <v>0.23000000000000004</v>
      </c>
      <c r="V69" s="887">
        <f>+'1.Informe Seguimiento POA 2021'!T73</f>
        <v>0.22679170604630311</v>
      </c>
      <c r="W69" s="887">
        <f>+'1.Informe Seguimiento POA 2021'!U73</f>
        <v>0.32999999999999996</v>
      </c>
      <c r="X69" s="887">
        <f>+'1.Informe Seguimiento POA 2021'!V73</f>
        <v>0</v>
      </c>
      <c r="Y69" s="788">
        <f>+'1.Informe Seguimiento POA 2021'!W73</f>
        <v>0.95000000000000007</v>
      </c>
      <c r="Z69" s="788">
        <f>+'1.Informe Seguimiento POA 2021'!X73</f>
        <v>0.55951182624136386</v>
      </c>
      <c r="AA69" s="788">
        <f>+'1.Informe Seguimiento POA 2021'!Y73</f>
        <v>0.5889598170961724</v>
      </c>
      <c r="AB69" s="817"/>
      <c r="AC69" s="817"/>
      <c r="AD69" s="817"/>
      <c r="AE69" s="817"/>
      <c r="AF69" s="817"/>
      <c r="AG69" s="817"/>
      <c r="AH69" s="817"/>
      <c r="AI69" s="817"/>
      <c r="AJ69" s="880">
        <f t="shared" si="41"/>
        <v>0.95</v>
      </c>
      <c r="AK69" s="880"/>
      <c r="AL69" s="896"/>
      <c r="AM69" s="896"/>
      <c r="AN69" s="896"/>
      <c r="AO69" s="896"/>
      <c r="AP69" s="896"/>
      <c r="AQ69" s="896"/>
      <c r="AR69" s="896"/>
      <c r="AS69" s="896"/>
      <c r="AT69" s="896"/>
      <c r="AU69" s="880">
        <f t="shared" si="42"/>
        <v>0.95</v>
      </c>
      <c r="AV69" s="880"/>
      <c r="AW69" s="896"/>
      <c r="AX69" s="896"/>
      <c r="AY69" s="896"/>
      <c r="AZ69" s="896"/>
      <c r="BA69" s="896"/>
      <c r="BB69" s="896"/>
      <c r="BC69" s="896"/>
      <c r="BD69" s="896"/>
      <c r="BE69" s="896"/>
      <c r="BF69" s="880">
        <f t="shared" si="43"/>
        <v>0.95</v>
      </c>
      <c r="BG69" s="880"/>
      <c r="BH69" s="896"/>
      <c r="BI69" s="1061">
        <f t="shared" si="44"/>
        <v>0.62000000000000011</v>
      </c>
      <c r="BJ69" s="1061">
        <f t="shared" si="44"/>
        <v>0.55951182624136386</v>
      </c>
      <c r="BK69" s="785">
        <f t="shared" si="12"/>
        <v>0.9024384294215545</v>
      </c>
      <c r="BL69" s="785">
        <f t="shared" ref="BL69:BL70" si="45">(IF(AND(BJ69&gt;0,$J69&gt;0),BJ69/$J69,0)/4)</f>
        <v>0.14723995427404313</v>
      </c>
      <c r="BM69" s="817">
        <f t="shared" si="25"/>
        <v>1.030679679918302E-2</v>
      </c>
      <c r="BN69" s="1223"/>
      <c r="BO69" s="1156"/>
      <c r="BP69" s="930"/>
      <c r="BQ69" s="930"/>
    </row>
    <row r="70" spans="2:69" ht="64.5" customHeight="1">
      <c r="B70" s="1158"/>
      <c r="C70" s="1239"/>
      <c r="D70" s="1227"/>
      <c r="E70" s="1227"/>
      <c r="F70" s="1238"/>
      <c r="G70" s="1230"/>
      <c r="H70" s="997" t="str">
        <f>+'1.Informe Seguimiento POA 2021'!D74</f>
        <v>4.4.5 Elaborar y presentar el 100% de los estados financieros de la Entidad</v>
      </c>
      <c r="I70" s="884">
        <f>+'1.Informe Seguimiento POA 2021'!E74</f>
        <v>0.06</v>
      </c>
      <c r="J70" s="880">
        <f>+'1.Informe Seguimiento POA 2021'!F74</f>
        <v>1</v>
      </c>
      <c r="K70" s="885" t="str">
        <f>+'1.Informe Seguimiento POA 2021'!I74</f>
        <v>Gestión Financiera</v>
      </c>
      <c r="L70" s="885" t="str">
        <f>+'1.Informe Seguimiento POA 2021'!J74</f>
        <v>Subdirección de Gestión Financiera
Dirección Administrativa y Financiera</v>
      </c>
      <c r="M70" s="806">
        <f>+'1.Informe Seguimiento POA 2021'!K74</f>
        <v>1</v>
      </c>
      <c r="N70" s="806">
        <f>+'1.Informe Seguimiento POA 2021'!L74</f>
        <v>1</v>
      </c>
      <c r="O70" s="806">
        <f>+'1.Informe Seguimiento POA 2021'!M74</f>
        <v>1</v>
      </c>
      <c r="P70" s="806">
        <f>+'1.Informe Seguimiento POA 2021'!N74</f>
        <v>1</v>
      </c>
      <c r="Q70" s="887">
        <f>+'1.Informe Seguimiento POA 2021'!O74</f>
        <v>0.25</v>
      </c>
      <c r="R70" s="887">
        <f>+'1.Informe Seguimiento POA 2021'!P74</f>
        <v>0.25</v>
      </c>
      <c r="S70" s="887">
        <f>+'1.Informe Seguimiento POA 2021'!Q74</f>
        <v>0.25</v>
      </c>
      <c r="T70" s="887">
        <f>+'1.Informe Seguimiento POA 2021'!R74</f>
        <v>0.25</v>
      </c>
      <c r="U70" s="887">
        <f>+'1.Informe Seguimiento POA 2021'!S74</f>
        <v>0.25</v>
      </c>
      <c r="V70" s="887">
        <f>+'1.Informe Seguimiento POA 2021'!T74</f>
        <v>0.25</v>
      </c>
      <c r="W70" s="887">
        <f>+'1.Informe Seguimiento POA 2021'!U74</f>
        <v>0.25</v>
      </c>
      <c r="X70" s="887">
        <f>+'1.Informe Seguimiento POA 2021'!V74</f>
        <v>0</v>
      </c>
      <c r="Y70" s="788">
        <f>+'1.Informe Seguimiento POA 2021'!W74</f>
        <v>1</v>
      </c>
      <c r="Z70" s="788">
        <f>+'1.Informe Seguimiento POA 2021'!X74</f>
        <v>0.75</v>
      </c>
      <c r="AA70" s="788">
        <f>+'1.Informe Seguimiento POA 2021'!Y74</f>
        <v>0.75</v>
      </c>
      <c r="AB70" s="817"/>
      <c r="AC70" s="817"/>
      <c r="AD70" s="817"/>
      <c r="AE70" s="817"/>
      <c r="AF70" s="817"/>
      <c r="AG70" s="817"/>
      <c r="AH70" s="817"/>
      <c r="AI70" s="817"/>
      <c r="AJ70" s="880">
        <f t="shared" si="41"/>
        <v>1</v>
      </c>
      <c r="AK70" s="880"/>
      <c r="AL70" s="896"/>
      <c r="AM70" s="896"/>
      <c r="AN70" s="896"/>
      <c r="AO70" s="896"/>
      <c r="AP70" s="896"/>
      <c r="AQ70" s="896"/>
      <c r="AR70" s="896"/>
      <c r="AS70" s="896"/>
      <c r="AT70" s="896"/>
      <c r="AU70" s="880">
        <f t="shared" si="42"/>
        <v>1</v>
      </c>
      <c r="AV70" s="880"/>
      <c r="AW70" s="896"/>
      <c r="AX70" s="896"/>
      <c r="AY70" s="896"/>
      <c r="AZ70" s="896"/>
      <c r="BA70" s="896"/>
      <c r="BB70" s="896"/>
      <c r="BC70" s="896"/>
      <c r="BD70" s="896"/>
      <c r="BE70" s="896"/>
      <c r="BF70" s="880">
        <f t="shared" si="43"/>
        <v>1</v>
      </c>
      <c r="BG70" s="880"/>
      <c r="BH70" s="896"/>
      <c r="BI70" s="1061">
        <f t="shared" si="44"/>
        <v>0.75</v>
      </c>
      <c r="BJ70" s="1061">
        <f t="shared" si="44"/>
        <v>0.75</v>
      </c>
      <c r="BK70" s="785">
        <f t="shared" si="12"/>
        <v>1</v>
      </c>
      <c r="BL70" s="785">
        <f t="shared" si="45"/>
        <v>0.1875</v>
      </c>
      <c r="BM70" s="817">
        <f t="shared" si="25"/>
        <v>1.125E-2</v>
      </c>
      <c r="BN70" s="1223"/>
      <c r="BO70" s="1156"/>
      <c r="BP70" s="930"/>
      <c r="BQ70" s="930"/>
    </row>
    <row r="71" spans="2:69" ht="78" customHeight="1">
      <c r="B71" s="1158"/>
      <c r="C71" s="1239"/>
      <c r="D71" s="1227"/>
      <c r="E71" s="1227"/>
      <c r="F71" s="995" t="str">
        <f>+'1.Informe Seguimiento POA 2021'!H75</f>
        <v xml:space="preserve">Porcentaje del Plan Anual de Adquisiciones ejecutado </v>
      </c>
      <c r="G71" s="995" t="str">
        <f>+'11-GESTIÓN CONTRACTUAL'!J16</f>
        <v>No. de adquisiciones realizadas /Total de adquisiciones planeadas *100</v>
      </c>
      <c r="H71" s="997" t="str">
        <f>+'1.Informe Seguimiento POA 2021'!D75</f>
        <v>4.4.6 Ejecutar el 95% del Plan Anual de Adquisiciones respecto de gastos generales</v>
      </c>
      <c r="I71" s="884">
        <f>+'1.Informe Seguimiento POA 2021'!E75</f>
        <v>0.1</v>
      </c>
      <c r="J71" s="880">
        <f>+'1.Informe Seguimiento POA 2021'!F75</f>
        <v>0.95</v>
      </c>
      <c r="K71" s="885" t="str">
        <f>+'1.Informe Seguimiento POA 2021'!I75</f>
        <v>Gestión Contractual</v>
      </c>
      <c r="L71" s="885" t="str">
        <f>+'1.Informe Seguimiento POA 2021'!J75</f>
        <v>Subdirección de Gestión Contractual
Dirección Administrativa y Financiera</v>
      </c>
      <c r="M71" s="806">
        <f>+'1.Informe Seguimiento POA 2021'!K75</f>
        <v>0.95</v>
      </c>
      <c r="N71" s="806">
        <f>+'1.Informe Seguimiento POA 2021'!L75</f>
        <v>0.95</v>
      </c>
      <c r="O71" s="806">
        <f>+'1.Informe Seguimiento POA 2021'!M75</f>
        <v>0.95</v>
      </c>
      <c r="P71" s="806">
        <f>+'1.Informe Seguimiento POA 2021'!N75</f>
        <v>0.95</v>
      </c>
      <c r="Q71" s="887">
        <f>+'1.Informe Seguimiento POA 2021'!O75</f>
        <v>0.56999999999999995</v>
      </c>
      <c r="R71" s="887">
        <f>+'1.Informe Seguimiento POA 2021'!P75</f>
        <v>0.33</v>
      </c>
      <c r="S71" s="887">
        <f>+'1.Informe Seguimiento POA 2021'!Q75</f>
        <v>0.24</v>
      </c>
      <c r="T71" s="887">
        <f>+'1.Informe Seguimiento POA 2021'!R75</f>
        <v>0.16999999999999998</v>
      </c>
      <c r="U71" s="887">
        <f>+'1.Informe Seguimiento POA 2021'!S75</f>
        <v>0.08</v>
      </c>
      <c r="V71" s="887">
        <f>+'1.Informe Seguimiento POA 2021'!T75</f>
        <v>0.21000000000000002</v>
      </c>
      <c r="W71" s="887">
        <f>+'1.Informe Seguimiento POA 2021'!U75</f>
        <v>0.06</v>
      </c>
      <c r="X71" s="887">
        <f>+'1.Informe Seguimiento POA 2021'!V75</f>
        <v>0</v>
      </c>
      <c r="Y71" s="788">
        <f>+'1.Informe Seguimiento POA 2021'!W75</f>
        <v>0.95</v>
      </c>
      <c r="Z71" s="788">
        <f>+'1.Informe Seguimiento POA 2021'!X75</f>
        <v>0.71</v>
      </c>
      <c r="AA71" s="788">
        <f>+'1.Informe Seguimiento POA 2021'!Y75</f>
        <v>0.74736842105263157</v>
      </c>
      <c r="AB71" s="817"/>
      <c r="AC71" s="817"/>
      <c r="AD71" s="817"/>
      <c r="AE71" s="817"/>
      <c r="AF71" s="817"/>
      <c r="AG71" s="817"/>
      <c r="AH71" s="817"/>
      <c r="AI71" s="817"/>
      <c r="AJ71" s="880">
        <f t="shared" si="41"/>
        <v>0.95</v>
      </c>
      <c r="AK71" s="880"/>
      <c r="AL71" s="896"/>
      <c r="AM71" s="896"/>
      <c r="AN71" s="896"/>
      <c r="AO71" s="896"/>
      <c r="AP71" s="896"/>
      <c r="AQ71" s="896"/>
      <c r="AR71" s="896"/>
      <c r="AS71" s="896"/>
      <c r="AT71" s="896"/>
      <c r="AU71" s="880">
        <f t="shared" si="42"/>
        <v>0.95</v>
      </c>
      <c r="AV71" s="880"/>
      <c r="AW71" s="896"/>
      <c r="AX71" s="896"/>
      <c r="AY71" s="896"/>
      <c r="AZ71" s="896"/>
      <c r="BA71" s="896"/>
      <c r="BB71" s="896"/>
      <c r="BC71" s="896"/>
      <c r="BD71" s="896"/>
      <c r="BE71" s="896"/>
      <c r="BF71" s="880">
        <f t="shared" si="43"/>
        <v>0.95</v>
      </c>
      <c r="BG71" s="880"/>
      <c r="BH71" s="896"/>
      <c r="BI71" s="1061">
        <f t="shared" si="44"/>
        <v>0.8899999999999999</v>
      </c>
      <c r="BJ71" s="1061">
        <f t="shared" si="44"/>
        <v>0.71</v>
      </c>
      <c r="BK71" s="785">
        <f t="shared" si="12"/>
        <v>0.79775280898876411</v>
      </c>
      <c r="BL71" s="785">
        <f>(IF(AND(BJ71&gt;0,$J71&gt;0),BJ71/$J71,0)/4)</f>
        <v>0.18684210526315789</v>
      </c>
      <c r="BM71" s="817">
        <f t="shared" si="25"/>
        <v>1.8684210526315789E-2</v>
      </c>
      <c r="BN71" s="1223"/>
      <c r="BO71" s="1156"/>
      <c r="BP71" s="930"/>
      <c r="BQ71" s="930"/>
    </row>
    <row r="72" spans="2:69" ht="96.75" customHeight="1">
      <c r="B72" s="1158"/>
      <c r="C72" s="1239"/>
      <c r="D72" s="1227"/>
      <c r="E72" s="1227"/>
      <c r="F72" s="995" t="str">
        <f>+'1.Informe Seguimiento POA 2021'!H76</f>
        <v>Porcentaje de Comunicaciones oficiales con reparto realizado dentro de los 3 días hábiles desde su radicación</v>
      </c>
      <c r="G72" s="995" t="str">
        <f>+'09-G.  ADMINISTRATIVA'!J16</f>
        <v>No. Servicios realizados /Total de servicios solicitados *100</v>
      </c>
      <c r="H72" s="997" t="str">
        <f>+'1.Informe Seguimiento POA 2021'!D76</f>
        <v>4.4.7 Realizar el 95% del reparto, dentro de un término no superior a tres (3) días hábiles, de las comunicaciones oficiales institucionales recibidas por el Grupo de Correspondencia.</v>
      </c>
      <c r="I72" s="884">
        <f>+'1.Informe Seguimiento POA 2021'!E76</f>
        <v>0.05</v>
      </c>
      <c r="J72" s="880">
        <f>+'1.Informe Seguimiento POA 2021'!F76</f>
        <v>0.95</v>
      </c>
      <c r="K72" s="885" t="str">
        <f>+'1.Informe Seguimiento POA 2021'!I76</f>
        <v>Gestión Documental</v>
      </c>
      <c r="L72" s="885" t="str">
        <f>+'1.Informe Seguimiento POA 2021'!J76</f>
        <v>Subdirección de Gestión Documental y Recursos Físicos - Grupo de Correspondencia</v>
      </c>
      <c r="M72" s="806">
        <f>+'1.Informe Seguimiento POA 2021'!K76</f>
        <v>0.95</v>
      </c>
      <c r="N72" s="806">
        <f>+'1.Informe Seguimiento POA 2021'!L76</f>
        <v>0.95</v>
      </c>
      <c r="O72" s="806">
        <f>+'1.Informe Seguimiento POA 2021'!M76</f>
        <v>0.95</v>
      </c>
      <c r="P72" s="806">
        <f>+'1.Informe Seguimiento POA 2021'!N76</f>
        <v>0.95</v>
      </c>
      <c r="Q72" s="887">
        <f>+'1.Informe Seguimiento POA 2021'!O76</f>
        <v>0.94999999999999984</v>
      </c>
      <c r="R72" s="887">
        <f>+'1.Informe Seguimiento POA 2021'!P76</f>
        <v>0.96200000000000008</v>
      </c>
      <c r="S72" s="887">
        <f>+'1.Informe Seguimiento POA 2021'!Q76</f>
        <v>0.94999999999999984</v>
      </c>
      <c r="T72" s="887">
        <f>+'1.Informe Seguimiento POA 2021'!R76</f>
        <v>0.97633333333333328</v>
      </c>
      <c r="U72" s="887">
        <f>+'1.Informe Seguimiento POA 2021'!S76</f>
        <v>0.94999999999999984</v>
      </c>
      <c r="V72" s="887">
        <f>+'1.Informe Seguimiento POA 2021'!T76</f>
        <v>0.98399999999999999</v>
      </c>
      <c r="W72" s="887">
        <f>+'1.Informe Seguimiento POA 2021'!U76</f>
        <v>0.94999999999999984</v>
      </c>
      <c r="X72" s="887">
        <f>+'1.Informe Seguimiento POA 2021'!V76</f>
        <v>0</v>
      </c>
      <c r="Y72" s="788">
        <f>+'1.Informe Seguimiento POA 2021'!W76</f>
        <v>0.94999999999999984</v>
      </c>
      <c r="Z72" s="788">
        <f>+'1.Informe Seguimiento POA 2021'!X76</f>
        <v>0.97399999999999998</v>
      </c>
      <c r="AA72" s="788">
        <f>+'1.Informe Seguimiento POA 2021'!Y76</f>
        <v>0.7689473684210526</v>
      </c>
      <c r="AB72" s="785"/>
      <c r="AC72" s="785"/>
      <c r="AD72" s="785"/>
      <c r="AE72" s="785"/>
      <c r="AF72" s="785"/>
      <c r="AG72" s="785"/>
      <c r="AH72" s="785"/>
      <c r="AI72" s="785"/>
      <c r="AJ72" s="880">
        <f t="shared" si="41"/>
        <v>0.95</v>
      </c>
      <c r="AK72" s="880"/>
      <c r="AL72" s="896"/>
      <c r="AM72" s="896"/>
      <c r="AN72" s="896"/>
      <c r="AO72" s="896"/>
      <c r="AP72" s="896"/>
      <c r="AQ72" s="896"/>
      <c r="AR72" s="896"/>
      <c r="AS72" s="896"/>
      <c r="AT72" s="896"/>
      <c r="AU72" s="880">
        <f t="shared" si="42"/>
        <v>0.95</v>
      </c>
      <c r="AV72" s="880"/>
      <c r="AW72" s="896"/>
      <c r="AX72" s="896"/>
      <c r="AY72" s="896"/>
      <c r="AZ72" s="896"/>
      <c r="BA72" s="896"/>
      <c r="BB72" s="896"/>
      <c r="BC72" s="896"/>
      <c r="BD72" s="896"/>
      <c r="BE72" s="896"/>
      <c r="BF72" s="880">
        <f t="shared" si="43"/>
        <v>0.95</v>
      </c>
      <c r="BG72" s="880"/>
      <c r="BH72" s="896"/>
      <c r="BI72" s="787">
        <f>IFERROR(AVERAGE(Q72,S72,U72),0)</f>
        <v>0.94999999999999984</v>
      </c>
      <c r="BJ72" s="785">
        <f>IFERROR(AVERAGE(R72,T72,V72),0)</f>
        <v>0.97411111111111115</v>
      </c>
      <c r="BK72" s="785">
        <f t="shared" si="12"/>
        <v>1.0253801169590646</v>
      </c>
      <c r="BL72" s="785">
        <f>(IF(AND(BJ72&gt;0,$J72&gt;0),BJ72/$J72,0)/4)*0.5</f>
        <v>0.12817251461988305</v>
      </c>
      <c r="BM72" s="785">
        <f t="shared" si="25"/>
        <v>6.4086257309941526E-3</v>
      </c>
      <c r="BN72" s="1223"/>
      <c r="BO72" s="1156"/>
      <c r="BP72" s="930"/>
      <c r="BQ72" s="930"/>
    </row>
    <row r="73" spans="2:69" ht="76.5" customHeight="1">
      <c r="B73" s="1158"/>
      <c r="C73" s="1239"/>
      <c r="D73" s="1227"/>
      <c r="E73" s="1227"/>
      <c r="F73" s="995" t="str">
        <f>+'1.Informe Seguimiento POA 2021'!H77</f>
        <v>Porcentaje de documentación incorporada en el archivo central durante la vigencia.</v>
      </c>
      <c r="G73" s="995" t="str">
        <f>+'09-G.  ADMINISTRATIVA'!J17</f>
        <v>N° de actividades ejecutadas en el periodo/N° de actividades programadas en el PESV para la vigencia*100</v>
      </c>
      <c r="H73" s="997" t="str">
        <f>+'1.Informe Seguimiento POA 2021'!D77</f>
        <v>4.4.8 Incorporar el 80% al archivo central de las transferencias documentales provenientes de las dependencias, en razón a que cumplen los requisitos exigidos para ello.</v>
      </c>
      <c r="I73" s="884">
        <f>+'1.Informe Seguimiento POA 2021'!E77</f>
        <v>0.05</v>
      </c>
      <c r="J73" s="880">
        <f>+'1.Informe Seguimiento POA 2021'!F77</f>
        <v>0.8</v>
      </c>
      <c r="K73" s="885" t="str">
        <f>+'1.Informe Seguimiento POA 2021'!I77</f>
        <v>Gestión Documental</v>
      </c>
      <c r="L73" s="885" t="str">
        <f>+'1.Informe Seguimiento POA 2021'!J77</f>
        <v>Subdirección de Gestión Documental y Recursos Físicos - Archivo central</v>
      </c>
      <c r="M73" s="806">
        <f>+'1.Informe Seguimiento POA 2021'!K77</f>
        <v>0.8</v>
      </c>
      <c r="N73" s="806">
        <f>+'1.Informe Seguimiento POA 2021'!L77</f>
        <v>0.8</v>
      </c>
      <c r="O73" s="806">
        <f>+'1.Informe Seguimiento POA 2021'!M77</f>
        <v>0.8</v>
      </c>
      <c r="P73" s="806">
        <f>+'1.Informe Seguimiento POA 2021'!N77</f>
        <v>0.8</v>
      </c>
      <c r="Q73" s="887">
        <f>+'1.Informe Seguimiento POA 2021'!O77</f>
        <v>0.80000000000000016</v>
      </c>
      <c r="R73" s="887">
        <f>+'1.Informe Seguimiento POA 2021'!P77</f>
        <v>0.80000000000000016</v>
      </c>
      <c r="S73" s="887">
        <f>+'1.Informe Seguimiento POA 2021'!Q77</f>
        <v>0.80000000000000016</v>
      </c>
      <c r="T73" s="887">
        <f>+'1.Informe Seguimiento POA 2021'!R77</f>
        <v>0.80000000000000016</v>
      </c>
      <c r="U73" s="887">
        <f>+'1.Informe Seguimiento POA 2021'!S77</f>
        <v>0.80000000000000016</v>
      </c>
      <c r="V73" s="887">
        <f>+'1.Informe Seguimiento POA 2021'!T77</f>
        <v>0.81733333333333336</v>
      </c>
      <c r="W73" s="887">
        <f>+'1.Informe Seguimiento POA 2021'!U77</f>
        <v>0.80000000000000016</v>
      </c>
      <c r="X73" s="887">
        <f>+'1.Informe Seguimiento POA 2021'!V77</f>
        <v>0</v>
      </c>
      <c r="Y73" s="788">
        <f>+'1.Informe Seguimiento POA 2021'!W77</f>
        <v>0.79999999999999993</v>
      </c>
      <c r="Z73" s="788">
        <f>+'1.Informe Seguimiento POA 2021'!X77</f>
        <v>0.80500000000000005</v>
      </c>
      <c r="AA73" s="788">
        <f>+'1.Informe Seguimiento POA 2021'!Y77</f>
        <v>0.75468750000000007</v>
      </c>
      <c r="AB73" s="785"/>
      <c r="AC73" s="785"/>
      <c r="AD73" s="785"/>
      <c r="AE73" s="785"/>
      <c r="AF73" s="785"/>
      <c r="AG73" s="785"/>
      <c r="AH73" s="785"/>
      <c r="AI73" s="785"/>
      <c r="AJ73" s="880">
        <f t="shared" si="41"/>
        <v>0.8</v>
      </c>
      <c r="AK73" s="880"/>
      <c r="AL73" s="896"/>
      <c r="AM73" s="896"/>
      <c r="AN73" s="896"/>
      <c r="AO73" s="896"/>
      <c r="AP73" s="896"/>
      <c r="AQ73" s="896"/>
      <c r="AR73" s="896"/>
      <c r="AS73" s="896"/>
      <c r="AT73" s="896"/>
      <c r="AU73" s="880">
        <f t="shared" si="42"/>
        <v>0.8</v>
      </c>
      <c r="AV73" s="880"/>
      <c r="AW73" s="896"/>
      <c r="AX73" s="896"/>
      <c r="AY73" s="896"/>
      <c r="AZ73" s="896"/>
      <c r="BA73" s="896"/>
      <c r="BB73" s="896"/>
      <c r="BC73" s="896"/>
      <c r="BD73" s="896"/>
      <c r="BE73" s="896"/>
      <c r="BF73" s="880">
        <f t="shared" si="43"/>
        <v>0.8</v>
      </c>
      <c r="BG73" s="880"/>
      <c r="BH73" s="896"/>
      <c r="BI73" s="787">
        <f>IFERROR(AVERAGE(Q73,S73,U73),0)</f>
        <v>0.80000000000000016</v>
      </c>
      <c r="BJ73" s="785">
        <f>IFERROR(AVERAGE(R73,T73,V73),0)</f>
        <v>0.80577777777777781</v>
      </c>
      <c r="BK73" s="785">
        <f t="shared" si="12"/>
        <v>1.007222222222222</v>
      </c>
      <c r="BL73" s="785">
        <f>(IF(AND(BJ73&gt;0,$J73&gt;0),BJ73/$J73,0)/4)*0.5</f>
        <v>0.12590277777777778</v>
      </c>
      <c r="BM73" s="785">
        <f t="shared" si="25"/>
        <v>6.2951388888888892E-3</v>
      </c>
      <c r="BN73" s="1223"/>
      <c r="BO73" s="1156"/>
      <c r="BP73" s="930"/>
      <c r="BQ73" s="930"/>
    </row>
    <row r="74" spans="2:69" ht="120" customHeight="1">
      <c r="B74" s="1158"/>
      <c r="C74" s="1239"/>
      <c r="D74" s="1227"/>
      <c r="E74" s="1227"/>
      <c r="F74" s="1238" t="s">
        <v>1116</v>
      </c>
      <c r="G74" s="1229" t="s">
        <v>1104</v>
      </c>
      <c r="H74" s="997" t="str">
        <f>+'1.Informe Seguimiento POA 2021'!D78</f>
        <v>4.4.9 Realizar 100 actividades de diseño, actualización o ajuste de los instrumentos archivísticos establecidos por norma.</v>
      </c>
      <c r="I74" s="884">
        <f>+'1.Informe Seguimiento POA 2021'!E78</f>
        <v>0.05</v>
      </c>
      <c r="J74" s="782">
        <f>+'1.Informe Seguimiento POA 2021'!F78</f>
        <v>100</v>
      </c>
      <c r="K74" s="885" t="str">
        <f>+'1.Informe Seguimiento POA 2021'!I78</f>
        <v>Gestión Documental</v>
      </c>
      <c r="L74" s="885" t="str">
        <f>+'1.Informe Seguimiento POA 2021'!J78</f>
        <v xml:space="preserve">Subdirección de Gestión Documental y Recursos Físicos </v>
      </c>
      <c r="M74" s="809">
        <f>+'1.Informe Seguimiento POA 2021'!K78</f>
        <v>25</v>
      </c>
      <c r="N74" s="809">
        <f>+'1.Informe Seguimiento POA 2021'!L78</f>
        <v>25</v>
      </c>
      <c r="O74" s="809">
        <f>+'1.Informe Seguimiento POA 2021'!M78</f>
        <v>25</v>
      </c>
      <c r="P74" s="809">
        <f>+'1.Informe Seguimiento POA 2021'!N78</f>
        <v>25</v>
      </c>
      <c r="Q74" s="783">
        <f>+'1.Informe Seguimiento POA 2021'!O78</f>
        <v>5</v>
      </c>
      <c r="R74" s="783">
        <f>+'1.Informe Seguimiento POA 2021'!P78</f>
        <v>7</v>
      </c>
      <c r="S74" s="783">
        <f>+'1.Informe Seguimiento POA 2021'!Q78</f>
        <v>7</v>
      </c>
      <c r="T74" s="783">
        <f>+'1.Informe Seguimiento POA 2021'!R78</f>
        <v>6</v>
      </c>
      <c r="U74" s="783">
        <f>+'1.Informe Seguimiento POA 2021'!S78</f>
        <v>7</v>
      </c>
      <c r="V74" s="783">
        <f>+'1.Informe Seguimiento POA 2021'!T78</f>
        <v>10</v>
      </c>
      <c r="W74" s="783">
        <f>+'1.Informe Seguimiento POA 2021'!U78</f>
        <v>6</v>
      </c>
      <c r="X74" s="783">
        <f>+'1.Informe Seguimiento POA 2021'!V78</f>
        <v>0</v>
      </c>
      <c r="Y74" s="809">
        <f>+'1.Informe Seguimiento POA 2021'!W78</f>
        <v>25</v>
      </c>
      <c r="Z74" s="809">
        <f>+'1.Informe Seguimiento POA 2021'!X78</f>
        <v>23</v>
      </c>
      <c r="AA74" s="818">
        <f>+'1.Informe Seguimiento POA 2021'!Y78</f>
        <v>0.92</v>
      </c>
      <c r="AB74" s="807"/>
      <c r="AC74" s="807"/>
      <c r="AD74" s="807"/>
      <c r="AE74" s="807"/>
      <c r="AF74" s="807"/>
      <c r="AG74" s="807"/>
      <c r="AH74" s="807"/>
      <c r="AI74" s="807"/>
      <c r="AJ74" s="809">
        <f t="shared" si="41"/>
        <v>25</v>
      </c>
      <c r="AK74" s="809"/>
      <c r="AL74" s="896"/>
      <c r="AM74" s="896"/>
      <c r="AN74" s="896"/>
      <c r="AO74" s="896"/>
      <c r="AP74" s="896"/>
      <c r="AQ74" s="896"/>
      <c r="AR74" s="896"/>
      <c r="AS74" s="896"/>
      <c r="AT74" s="896"/>
      <c r="AU74" s="809">
        <f t="shared" si="42"/>
        <v>25</v>
      </c>
      <c r="AV74" s="809"/>
      <c r="AW74" s="896"/>
      <c r="AX74" s="896"/>
      <c r="AY74" s="896"/>
      <c r="AZ74" s="896"/>
      <c r="BA74" s="896"/>
      <c r="BB74" s="896"/>
      <c r="BC74" s="896"/>
      <c r="BD74" s="896"/>
      <c r="BE74" s="896"/>
      <c r="BF74" s="809">
        <f t="shared" si="43"/>
        <v>25</v>
      </c>
      <c r="BG74" s="809"/>
      <c r="BH74" s="896"/>
      <c r="BI74" s="899">
        <f>+Q74+S74+U74</f>
        <v>19</v>
      </c>
      <c r="BJ74" s="899">
        <f>+R74+T74+V74</f>
        <v>23</v>
      </c>
      <c r="BK74" s="785">
        <f t="shared" si="12"/>
        <v>1.2105263157894737</v>
      </c>
      <c r="BL74" s="785">
        <f>IF(AND(Z74&gt;0,$J74&gt;0),Z74/$J74,0)</f>
        <v>0.23</v>
      </c>
      <c r="BM74" s="786">
        <f t="shared" si="25"/>
        <v>1.1500000000000002E-2</v>
      </c>
      <c r="BN74" s="1223"/>
      <c r="BO74" s="1156"/>
      <c r="BP74" s="930"/>
      <c r="BQ74" s="930"/>
    </row>
    <row r="75" spans="2:69" ht="87" customHeight="1">
      <c r="B75" s="1158"/>
      <c r="C75" s="1239"/>
      <c r="D75" s="1227"/>
      <c r="E75" s="1227"/>
      <c r="F75" s="1238"/>
      <c r="G75" s="1230"/>
      <c r="H75" s="997" t="str">
        <f>+'1.Informe Seguimiento POA 2021'!D79</f>
        <v>4.4.10 Realizar 100 actividades de implementación de los instrumentos archivísticos establecidos por norma, y de las herramientas de apoyo a la gestión documental.</v>
      </c>
      <c r="I75" s="884">
        <f>+'1.Informe Seguimiento POA 2021'!E79</f>
        <v>0.05</v>
      </c>
      <c r="J75" s="782">
        <f>+'1.Informe Seguimiento POA 2021'!F79</f>
        <v>100</v>
      </c>
      <c r="K75" s="885" t="str">
        <f>+'1.Informe Seguimiento POA 2021'!I79</f>
        <v>Gestión Documental
Direccionamiento TIC</v>
      </c>
      <c r="L75" s="885" t="str">
        <f>+'1.Informe Seguimiento POA 2021'!J79</f>
        <v>Subdirección de Gestión Documental y Recursos Físicos
Dirección de Tecnologías de la Información y Comunicaciones</v>
      </c>
      <c r="M75" s="809">
        <f>+'1.Informe Seguimiento POA 2021'!K79</f>
        <v>25</v>
      </c>
      <c r="N75" s="809">
        <f>+'1.Informe Seguimiento POA 2021'!L79</f>
        <v>25</v>
      </c>
      <c r="O75" s="809">
        <f>+'1.Informe Seguimiento POA 2021'!M79</f>
        <v>25</v>
      </c>
      <c r="P75" s="809">
        <f>+'1.Informe Seguimiento POA 2021'!N79</f>
        <v>25</v>
      </c>
      <c r="Q75" s="783">
        <f>+'1.Informe Seguimiento POA 2021'!O79</f>
        <v>5</v>
      </c>
      <c r="R75" s="783">
        <f>+'1.Informe Seguimiento POA 2021'!P79</f>
        <v>6</v>
      </c>
      <c r="S75" s="783">
        <f>+'1.Informe Seguimiento POA 2021'!Q79</f>
        <v>7</v>
      </c>
      <c r="T75" s="783">
        <f>+'1.Informe Seguimiento POA 2021'!R79</f>
        <v>5</v>
      </c>
      <c r="U75" s="783">
        <f>+'1.Informe Seguimiento POA 2021'!S79</f>
        <v>7</v>
      </c>
      <c r="V75" s="783">
        <f>+'1.Informe Seguimiento POA 2021'!T79</f>
        <v>6</v>
      </c>
      <c r="W75" s="783">
        <f>+'1.Informe Seguimiento POA 2021'!U79</f>
        <v>6</v>
      </c>
      <c r="X75" s="783">
        <f>+'1.Informe Seguimiento POA 2021'!V79</f>
        <v>0</v>
      </c>
      <c r="Y75" s="809">
        <f>+'1.Informe Seguimiento POA 2021'!W79</f>
        <v>25</v>
      </c>
      <c r="Z75" s="809">
        <f>+'1.Informe Seguimiento POA 2021'!X79</f>
        <v>17</v>
      </c>
      <c r="AA75" s="818">
        <f>+'1.Informe Seguimiento POA 2021'!Y79</f>
        <v>0.68</v>
      </c>
      <c r="AB75" s="807"/>
      <c r="AC75" s="807"/>
      <c r="AD75" s="807"/>
      <c r="AE75" s="807"/>
      <c r="AF75" s="807"/>
      <c r="AG75" s="807"/>
      <c r="AH75" s="807"/>
      <c r="AI75" s="807"/>
      <c r="AJ75" s="809">
        <f t="shared" si="41"/>
        <v>25</v>
      </c>
      <c r="AK75" s="809"/>
      <c r="AL75" s="896"/>
      <c r="AM75" s="896"/>
      <c r="AN75" s="896"/>
      <c r="AO75" s="896"/>
      <c r="AP75" s="896"/>
      <c r="AQ75" s="896"/>
      <c r="AR75" s="896"/>
      <c r="AS75" s="896"/>
      <c r="AT75" s="896"/>
      <c r="AU75" s="809">
        <f t="shared" si="42"/>
        <v>25</v>
      </c>
      <c r="AV75" s="809"/>
      <c r="AW75" s="896"/>
      <c r="AX75" s="896"/>
      <c r="AY75" s="896"/>
      <c r="AZ75" s="896"/>
      <c r="BA75" s="896"/>
      <c r="BB75" s="896"/>
      <c r="BC75" s="896"/>
      <c r="BD75" s="896"/>
      <c r="BE75" s="896"/>
      <c r="BF75" s="809">
        <f t="shared" si="43"/>
        <v>25</v>
      </c>
      <c r="BG75" s="809"/>
      <c r="BH75" s="896"/>
      <c r="BI75" s="899">
        <f>+Q75+S75+U75</f>
        <v>19</v>
      </c>
      <c r="BJ75" s="899">
        <f>+R75+T75+V75</f>
        <v>17</v>
      </c>
      <c r="BK75" s="785">
        <f t="shared" si="12"/>
        <v>0.89473684210526316</v>
      </c>
      <c r="BL75" s="785">
        <f>IF(AND(Z75&gt;0,$J75&gt;0),Z75/$J75,0)</f>
        <v>0.17</v>
      </c>
      <c r="BM75" s="786">
        <f t="shared" si="25"/>
        <v>8.5000000000000006E-3</v>
      </c>
      <c r="BN75" s="1223"/>
      <c r="BO75" s="1156"/>
      <c r="BP75" s="930"/>
      <c r="BQ75" s="930"/>
    </row>
    <row r="76" spans="2:69" ht="63" customHeight="1">
      <c r="B76" s="1158"/>
      <c r="C76" s="1239"/>
      <c r="D76" s="1227"/>
      <c r="E76" s="1227"/>
      <c r="F76" s="1229" t="s">
        <v>1105</v>
      </c>
      <c r="G76" s="1229" t="s">
        <v>1101</v>
      </c>
      <c r="H76" s="997" t="str">
        <f>+'1.Informe Seguimiento POA 2021'!D80</f>
        <v>4.4.11  Representar a la Entidad en el 100% de los procesos judiciales en los cuales la sea vinculada o demandada.</v>
      </c>
      <c r="I76" s="884">
        <f>+'1.Informe Seguimiento POA 2021'!E80</f>
        <v>0.05</v>
      </c>
      <c r="J76" s="880">
        <f>+'1.Informe Seguimiento POA 2021'!F80</f>
        <v>1</v>
      </c>
      <c r="K76" s="885" t="str">
        <f>+'1.Informe Seguimiento POA 2021'!I80</f>
        <v xml:space="preserve"> Gestión Jurídica</v>
      </c>
      <c r="L76" s="885" t="str">
        <f>+'1.Informe Seguimiento POA 2021'!J80</f>
        <v>Oficina Asesora Jurídica</v>
      </c>
      <c r="M76" s="806">
        <f>+'1.Informe Seguimiento POA 2021'!K80</f>
        <v>1</v>
      </c>
      <c r="N76" s="806">
        <f>+'1.Informe Seguimiento POA 2021'!L80</f>
        <v>1</v>
      </c>
      <c r="O76" s="806">
        <f>+'1.Informe Seguimiento POA 2021'!M80</f>
        <v>1</v>
      </c>
      <c r="P76" s="806">
        <f>+'1.Informe Seguimiento POA 2021'!N80</f>
        <v>1</v>
      </c>
      <c r="Q76" s="887">
        <f>+'1.Informe Seguimiento POA 2021'!O80</f>
        <v>1</v>
      </c>
      <c r="R76" s="887">
        <f>+'1.Informe Seguimiento POA 2021'!P80</f>
        <v>1</v>
      </c>
      <c r="S76" s="887">
        <f>+'1.Informe Seguimiento POA 2021'!Q80</f>
        <v>1</v>
      </c>
      <c r="T76" s="887">
        <f>+'1.Informe Seguimiento POA 2021'!R80</f>
        <v>1</v>
      </c>
      <c r="U76" s="887">
        <f>+'1.Informe Seguimiento POA 2021'!S80</f>
        <v>1</v>
      </c>
      <c r="V76" s="887">
        <f>+'1.Informe Seguimiento POA 2021'!T80</f>
        <v>1</v>
      </c>
      <c r="W76" s="887">
        <f>+'1.Informe Seguimiento POA 2021'!U80</f>
        <v>1</v>
      </c>
      <c r="X76" s="887">
        <f>+'1.Informe Seguimiento POA 2021'!V80</f>
        <v>0</v>
      </c>
      <c r="Y76" s="788">
        <f>+'1.Informe Seguimiento POA 2021'!W80</f>
        <v>1</v>
      </c>
      <c r="Z76" s="788">
        <f>+'1.Informe Seguimiento POA 2021'!X80</f>
        <v>1</v>
      </c>
      <c r="AA76" s="788">
        <f>+'1.Informe Seguimiento POA 2021'!Y80</f>
        <v>0.75</v>
      </c>
      <c r="AB76" s="785"/>
      <c r="AC76" s="785"/>
      <c r="AD76" s="785"/>
      <c r="AE76" s="785"/>
      <c r="AF76" s="785"/>
      <c r="AG76" s="785"/>
      <c r="AH76" s="785"/>
      <c r="AI76" s="785"/>
      <c r="AJ76" s="880">
        <f t="shared" si="41"/>
        <v>1</v>
      </c>
      <c r="AK76" s="880"/>
      <c r="AL76" s="896"/>
      <c r="AM76" s="896"/>
      <c r="AN76" s="896"/>
      <c r="AO76" s="896"/>
      <c r="AP76" s="896"/>
      <c r="AQ76" s="896"/>
      <c r="AR76" s="896"/>
      <c r="AS76" s="896"/>
      <c r="AT76" s="896"/>
      <c r="AU76" s="880">
        <f t="shared" si="42"/>
        <v>1</v>
      </c>
      <c r="AV76" s="880"/>
      <c r="AW76" s="896"/>
      <c r="AX76" s="896"/>
      <c r="AY76" s="896"/>
      <c r="AZ76" s="896"/>
      <c r="BA76" s="896"/>
      <c r="BB76" s="896"/>
      <c r="BC76" s="896"/>
      <c r="BD76" s="896"/>
      <c r="BE76" s="896"/>
      <c r="BF76" s="880">
        <f t="shared" si="43"/>
        <v>1</v>
      </c>
      <c r="BG76" s="880"/>
      <c r="BH76" s="896"/>
      <c r="BI76" s="787">
        <f>IFERROR(AVERAGE(Q76,S76,U76),0)</f>
        <v>1</v>
      </c>
      <c r="BJ76" s="787">
        <f>IFERROR(AVERAGE(R76,T76,V76),0)</f>
        <v>1</v>
      </c>
      <c r="BK76" s="785">
        <f t="shared" si="12"/>
        <v>1</v>
      </c>
      <c r="BL76" s="785">
        <f t="shared" ref="BL76:BL83" si="46">(IF(AND(BJ76&gt;0,$J76&gt;0),BJ76/$J76,0)/4)*0.5</f>
        <v>0.125</v>
      </c>
      <c r="BM76" s="786">
        <f t="shared" si="25"/>
        <v>6.2500000000000003E-3</v>
      </c>
      <c r="BN76" s="1223"/>
      <c r="BO76" s="1156"/>
      <c r="BP76" s="930"/>
      <c r="BQ76" s="930"/>
    </row>
    <row r="77" spans="2:69" ht="54.75" customHeight="1">
      <c r="B77" s="1158"/>
      <c r="C77" s="1239"/>
      <c r="D77" s="1227"/>
      <c r="E77" s="1227"/>
      <c r="F77" s="1239"/>
      <c r="G77" s="1239"/>
      <c r="H77" s="997" t="str">
        <f>+'1.Informe Seguimiento POA 2021'!D81</f>
        <v xml:space="preserve">4.4.12 Defender judicialmente a la Entidad en el 100% de las acciones de tutela en las cuales sea vinculada o accionada </v>
      </c>
      <c r="I77" s="884">
        <f>+'1.Informe Seguimiento POA 2021'!E81</f>
        <v>0.05</v>
      </c>
      <c r="J77" s="880">
        <f>+'1.Informe Seguimiento POA 2021'!F81</f>
        <v>1</v>
      </c>
      <c r="K77" s="885" t="str">
        <f>+'1.Informe Seguimiento POA 2021'!I81</f>
        <v xml:space="preserve"> Gestión Jurídica</v>
      </c>
      <c r="L77" s="885" t="str">
        <f>+'1.Informe Seguimiento POA 2021'!J81</f>
        <v>Oficina Asesora Jurídica</v>
      </c>
      <c r="M77" s="806">
        <f>+'1.Informe Seguimiento POA 2021'!K81</f>
        <v>1</v>
      </c>
      <c r="N77" s="806">
        <f>+'1.Informe Seguimiento POA 2021'!L81</f>
        <v>1</v>
      </c>
      <c r="O77" s="806">
        <f>+'1.Informe Seguimiento POA 2021'!M81</f>
        <v>1</v>
      </c>
      <c r="P77" s="806">
        <f>+'1.Informe Seguimiento POA 2021'!N81</f>
        <v>1</v>
      </c>
      <c r="Q77" s="887">
        <f>+'1.Informe Seguimiento POA 2021'!O81</f>
        <v>1</v>
      </c>
      <c r="R77" s="887">
        <f>+'1.Informe Seguimiento POA 2021'!P81</f>
        <v>1</v>
      </c>
      <c r="S77" s="887">
        <f>+'1.Informe Seguimiento POA 2021'!Q81</f>
        <v>1</v>
      </c>
      <c r="T77" s="887">
        <f>+'1.Informe Seguimiento POA 2021'!R81</f>
        <v>1</v>
      </c>
      <c r="U77" s="887">
        <f>+'1.Informe Seguimiento POA 2021'!S81</f>
        <v>1</v>
      </c>
      <c r="V77" s="887">
        <f>+'1.Informe Seguimiento POA 2021'!T81</f>
        <v>1</v>
      </c>
      <c r="W77" s="887">
        <f>+'1.Informe Seguimiento POA 2021'!U81</f>
        <v>1</v>
      </c>
      <c r="X77" s="887">
        <f>+'1.Informe Seguimiento POA 2021'!V81</f>
        <v>0</v>
      </c>
      <c r="Y77" s="788">
        <f>+'1.Informe Seguimiento POA 2021'!W81</f>
        <v>1</v>
      </c>
      <c r="Z77" s="788">
        <f>+'1.Informe Seguimiento POA 2021'!X81</f>
        <v>1</v>
      </c>
      <c r="AA77" s="788">
        <f>+'1.Informe Seguimiento POA 2021'!Y81</f>
        <v>0.75</v>
      </c>
      <c r="AB77" s="785"/>
      <c r="AC77" s="785"/>
      <c r="AD77" s="785"/>
      <c r="AE77" s="785"/>
      <c r="AF77" s="785"/>
      <c r="AG77" s="785"/>
      <c r="AH77" s="785"/>
      <c r="AI77" s="785"/>
      <c r="AJ77" s="880">
        <f t="shared" si="41"/>
        <v>1</v>
      </c>
      <c r="AK77" s="880"/>
      <c r="AL77" s="896"/>
      <c r="AM77" s="896"/>
      <c r="AN77" s="896"/>
      <c r="AO77" s="896"/>
      <c r="AP77" s="896"/>
      <c r="AQ77" s="896"/>
      <c r="AR77" s="896"/>
      <c r="AS77" s="896"/>
      <c r="AT77" s="896"/>
      <c r="AU77" s="880">
        <f t="shared" si="42"/>
        <v>1</v>
      </c>
      <c r="AV77" s="880"/>
      <c r="AW77" s="896"/>
      <c r="AX77" s="896"/>
      <c r="AY77" s="896"/>
      <c r="AZ77" s="896"/>
      <c r="BA77" s="896"/>
      <c r="BB77" s="896"/>
      <c r="BC77" s="896"/>
      <c r="BD77" s="896"/>
      <c r="BE77" s="896"/>
      <c r="BF77" s="880">
        <f t="shared" si="43"/>
        <v>1</v>
      </c>
      <c r="BG77" s="880"/>
      <c r="BH77" s="896"/>
      <c r="BI77" s="787">
        <f>IFERROR(AVERAGE(Q77,S77,U77),0)</f>
        <v>1</v>
      </c>
      <c r="BJ77" s="787">
        <f>IFERROR(AVERAGE(R77,T77,V77),0)</f>
        <v>1</v>
      </c>
      <c r="BK77" s="785">
        <f t="shared" si="12"/>
        <v>1</v>
      </c>
      <c r="BL77" s="785">
        <f t="shared" si="46"/>
        <v>0.125</v>
      </c>
      <c r="BM77" s="786">
        <f t="shared" si="25"/>
        <v>6.2500000000000003E-3</v>
      </c>
      <c r="BN77" s="1223"/>
      <c r="BO77" s="1156"/>
      <c r="BP77" s="930"/>
      <c r="BQ77" s="930"/>
    </row>
    <row r="78" spans="2:69" ht="78.75" customHeight="1">
      <c r="B78" s="1158"/>
      <c r="C78" s="1239"/>
      <c r="D78" s="1227"/>
      <c r="E78" s="1227"/>
      <c r="F78" s="1239"/>
      <c r="G78" s="1239"/>
      <c r="H78" s="997" t="str">
        <f>+'1.Informe Seguimiento POA 2021'!D82</f>
        <v>4.4.13 Emitir oportunamente el 100% de los conceptos jurídicos solicitados por el Despacho del Personero de Bogotá o sus delegados.</v>
      </c>
      <c r="I78" s="884">
        <f>+'1.Informe Seguimiento POA 2021'!E82</f>
        <v>0.05</v>
      </c>
      <c r="J78" s="880">
        <f>+'1.Informe Seguimiento POA 2021'!F82</f>
        <v>1</v>
      </c>
      <c r="K78" s="885" t="str">
        <f>+'1.Informe Seguimiento POA 2021'!I82</f>
        <v xml:space="preserve"> Gestión Jurídica</v>
      </c>
      <c r="L78" s="885" t="str">
        <f>+'1.Informe Seguimiento POA 2021'!J82</f>
        <v>Oficina Asesora Jurídica</v>
      </c>
      <c r="M78" s="806">
        <f>+'1.Informe Seguimiento POA 2021'!K82</f>
        <v>1</v>
      </c>
      <c r="N78" s="806">
        <f>+'1.Informe Seguimiento POA 2021'!L82</f>
        <v>1</v>
      </c>
      <c r="O78" s="806">
        <f>+'1.Informe Seguimiento POA 2021'!M82</f>
        <v>1</v>
      </c>
      <c r="P78" s="806">
        <f>+'1.Informe Seguimiento POA 2021'!N82</f>
        <v>1</v>
      </c>
      <c r="Q78" s="887">
        <f>+'1.Informe Seguimiento POA 2021'!O82</f>
        <v>1</v>
      </c>
      <c r="R78" s="887">
        <f>+'1.Informe Seguimiento POA 2021'!P82</f>
        <v>1</v>
      </c>
      <c r="S78" s="887">
        <f>+'1.Informe Seguimiento POA 2021'!Q82</f>
        <v>1</v>
      </c>
      <c r="T78" s="887">
        <f>+'1.Informe Seguimiento POA 2021'!R82</f>
        <v>1</v>
      </c>
      <c r="U78" s="887">
        <f>+'1.Informe Seguimiento POA 2021'!S82</f>
        <v>1</v>
      </c>
      <c r="V78" s="887">
        <f>+'1.Informe Seguimiento POA 2021'!T82</f>
        <v>1</v>
      </c>
      <c r="W78" s="887">
        <f>+'1.Informe Seguimiento POA 2021'!U82</f>
        <v>1</v>
      </c>
      <c r="X78" s="887">
        <f>+'1.Informe Seguimiento POA 2021'!V82</f>
        <v>0</v>
      </c>
      <c r="Y78" s="788">
        <f>+'1.Informe Seguimiento POA 2021'!W82</f>
        <v>1</v>
      </c>
      <c r="Z78" s="788">
        <f>+'1.Informe Seguimiento POA 2021'!X82</f>
        <v>1</v>
      </c>
      <c r="AA78" s="788">
        <f>+'1.Informe Seguimiento POA 2021'!Y82</f>
        <v>0.75</v>
      </c>
      <c r="AB78" s="785"/>
      <c r="AC78" s="785"/>
      <c r="AD78" s="785"/>
      <c r="AE78" s="785"/>
      <c r="AF78" s="785"/>
      <c r="AG78" s="785"/>
      <c r="AH78" s="785"/>
      <c r="AI78" s="785"/>
      <c r="AJ78" s="880">
        <f t="shared" si="41"/>
        <v>1</v>
      </c>
      <c r="AK78" s="880"/>
      <c r="AL78" s="896"/>
      <c r="AM78" s="896"/>
      <c r="AN78" s="896"/>
      <c r="AO78" s="896"/>
      <c r="AP78" s="896"/>
      <c r="AQ78" s="896"/>
      <c r="AR78" s="896"/>
      <c r="AS78" s="896"/>
      <c r="AT78" s="896"/>
      <c r="AU78" s="880">
        <f t="shared" si="42"/>
        <v>1</v>
      </c>
      <c r="AV78" s="880"/>
      <c r="AW78" s="896"/>
      <c r="AX78" s="896"/>
      <c r="AY78" s="896"/>
      <c r="AZ78" s="896"/>
      <c r="BA78" s="896"/>
      <c r="BB78" s="896"/>
      <c r="BC78" s="896"/>
      <c r="BD78" s="896"/>
      <c r="BE78" s="896"/>
      <c r="BF78" s="880">
        <f t="shared" si="43"/>
        <v>1</v>
      </c>
      <c r="BG78" s="880"/>
      <c r="BH78" s="896"/>
      <c r="BI78" s="787">
        <f t="shared" ref="BI78:BJ80" si="47">IFERROR(AVERAGE(Q78,S78,U78),0)</f>
        <v>1</v>
      </c>
      <c r="BJ78" s="787">
        <f t="shared" si="47"/>
        <v>1</v>
      </c>
      <c r="BK78" s="785">
        <f t="shared" si="12"/>
        <v>1</v>
      </c>
      <c r="BL78" s="785">
        <f t="shared" si="46"/>
        <v>0.125</v>
      </c>
      <c r="BM78" s="786">
        <f t="shared" si="25"/>
        <v>6.2500000000000003E-3</v>
      </c>
      <c r="BN78" s="1223"/>
      <c r="BO78" s="1156"/>
      <c r="BP78" s="930"/>
      <c r="BQ78" s="930"/>
    </row>
    <row r="79" spans="2:69" ht="76.5" customHeight="1">
      <c r="B79" s="1158"/>
      <c r="C79" s="1239"/>
      <c r="D79" s="1227"/>
      <c r="E79" s="1227"/>
      <c r="F79" s="1239"/>
      <c r="G79" s="1239"/>
      <c r="H79" s="1297" t="str">
        <f>+'1.Informe Seguimiento POA 2021'!D83</f>
        <v>4.4.14 Registrar el 100% de los reportes de las sanciones disciplinarias de los servidores públicos distritales.</v>
      </c>
      <c r="I79" s="1285">
        <f>+'1.Informe Seguimiento POA 2021'!E83</f>
        <v>0.05</v>
      </c>
      <c r="J79" s="880">
        <f>+'1.Informe Seguimiento POA 2021'!F83</f>
        <v>1</v>
      </c>
      <c r="K79" s="885" t="str">
        <f>+'1.Informe Seguimiento POA 2021'!I83</f>
        <v xml:space="preserve"> Gestión Jurídica</v>
      </c>
      <c r="L79" s="885" t="str">
        <f>+'1.Informe Seguimiento POA 2021'!J83</f>
        <v>Oficina Asesora Jurídica</v>
      </c>
      <c r="M79" s="806">
        <f>+'1.Informe Seguimiento POA 2021'!K83</f>
        <v>1</v>
      </c>
      <c r="N79" s="806">
        <f>+'1.Informe Seguimiento POA 2021'!L83</f>
        <v>1</v>
      </c>
      <c r="O79" s="806">
        <f>+'1.Informe Seguimiento POA 2021'!M83</f>
        <v>1</v>
      </c>
      <c r="P79" s="806">
        <f>+'1.Informe Seguimiento POA 2021'!N83</f>
        <v>1</v>
      </c>
      <c r="Q79" s="887">
        <f>+'1.Informe Seguimiento POA 2021'!O83</f>
        <v>1</v>
      </c>
      <c r="R79" s="887">
        <f>+'1.Informe Seguimiento POA 2021'!P83</f>
        <v>1</v>
      </c>
      <c r="S79" s="887">
        <f>+'1.Informe Seguimiento POA 2021'!Q83</f>
        <v>1</v>
      </c>
      <c r="T79" s="887">
        <f>+'1.Informe Seguimiento POA 2021'!R83</f>
        <v>1</v>
      </c>
      <c r="U79" s="887">
        <f>+'1.Informe Seguimiento POA 2021'!S83</f>
        <v>1</v>
      </c>
      <c r="V79" s="887">
        <f>+'1.Informe Seguimiento POA 2021'!T83</f>
        <v>1</v>
      </c>
      <c r="W79" s="887">
        <f>+'1.Informe Seguimiento POA 2021'!U83</f>
        <v>1</v>
      </c>
      <c r="X79" s="887">
        <f>+'1.Informe Seguimiento POA 2021'!V83</f>
        <v>0</v>
      </c>
      <c r="Y79" s="788">
        <f>+'1.Informe Seguimiento POA 2021'!W83</f>
        <v>1</v>
      </c>
      <c r="Z79" s="788">
        <f>+'1.Informe Seguimiento POA 2021'!X83</f>
        <v>1</v>
      </c>
      <c r="AA79" s="788">
        <f>+'1.Informe Seguimiento POA 2021'!Y83</f>
        <v>0.75</v>
      </c>
      <c r="AB79" s="785"/>
      <c r="AC79" s="785"/>
      <c r="AD79" s="785"/>
      <c r="AE79" s="785"/>
      <c r="AF79" s="785"/>
      <c r="AG79" s="785"/>
      <c r="AH79" s="785"/>
      <c r="AI79" s="785"/>
      <c r="AJ79" s="880">
        <f t="shared" si="41"/>
        <v>1</v>
      </c>
      <c r="AK79" s="880"/>
      <c r="AL79" s="896"/>
      <c r="AM79" s="896"/>
      <c r="AN79" s="896"/>
      <c r="AO79" s="896"/>
      <c r="AP79" s="896"/>
      <c r="AQ79" s="896"/>
      <c r="AR79" s="896"/>
      <c r="AS79" s="896"/>
      <c r="AT79" s="896"/>
      <c r="AU79" s="880">
        <f t="shared" si="42"/>
        <v>1</v>
      </c>
      <c r="AV79" s="880"/>
      <c r="AW79" s="896"/>
      <c r="AX79" s="896"/>
      <c r="AY79" s="896"/>
      <c r="AZ79" s="896"/>
      <c r="BA79" s="896"/>
      <c r="BB79" s="896"/>
      <c r="BC79" s="896"/>
      <c r="BD79" s="896"/>
      <c r="BE79" s="896"/>
      <c r="BF79" s="880">
        <f t="shared" si="43"/>
        <v>1</v>
      </c>
      <c r="BG79" s="880"/>
      <c r="BH79" s="896"/>
      <c r="BI79" s="787">
        <f t="shared" si="47"/>
        <v>1</v>
      </c>
      <c r="BJ79" s="787">
        <f t="shared" si="47"/>
        <v>1</v>
      </c>
      <c r="BK79" s="785">
        <f t="shared" si="12"/>
        <v>1</v>
      </c>
      <c r="BL79" s="785">
        <f t="shared" si="46"/>
        <v>0.125</v>
      </c>
      <c r="BM79" s="1219">
        <f>AVERAGE((IF(AND(BL79&gt;0,I79&gt;0),BL79*I79,0)),(IF(AND(BL80&gt;0,I79&gt;0),BL80*I79,0)))</f>
        <v>6.2500000000000003E-3</v>
      </c>
      <c r="BN79" s="1223"/>
      <c r="BO79" s="1156"/>
      <c r="BP79" s="930"/>
      <c r="BQ79" s="930"/>
    </row>
    <row r="80" spans="2:69" ht="76.5" customHeight="1">
      <c r="B80" s="1158"/>
      <c r="C80" s="1239"/>
      <c r="D80" s="1227"/>
      <c r="E80" s="1227"/>
      <c r="F80" s="1230"/>
      <c r="G80" s="1239"/>
      <c r="H80" s="1298"/>
      <c r="I80" s="1299"/>
      <c r="J80" s="880">
        <f>+'1.Informe Seguimiento POA 2021'!F84</f>
        <v>1</v>
      </c>
      <c r="K80" s="885" t="str">
        <f>+'1.Informe Seguimiento POA 2021'!I84</f>
        <v xml:space="preserve"> Gestión Jurídica</v>
      </c>
      <c r="L80" s="885" t="str">
        <f>+'1.Informe Seguimiento POA 2021'!J84</f>
        <v>Oficina Asesora Jurídica</v>
      </c>
      <c r="M80" s="806">
        <f>+'1.Informe Seguimiento POA 2021'!K84</f>
        <v>1</v>
      </c>
      <c r="N80" s="806">
        <f>+'1.Informe Seguimiento POA 2021'!L84</f>
        <v>1</v>
      </c>
      <c r="O80" s="806">
        <f>+'1.Informe Seguimiento POA 2021'!M84</f>
        <v>1</v>
      </c>
      <c r="P80" s="806">
        <f>+'1.Informe Seguimiento POA 2021'!N84</f>
        <v>1</v>
      </c>
      <c r="Q80" s="887">
        <f>+'1.Informe Seguimiento POA 2021'!O84</f>
        <v>1</v>
      </c>
      <c r="R80" s="887">
        <f>+'1.Informe Seguimiento POA 2021'!P84</f>
        <v>1</v>
      </c>
      <c r="S80" s="887">
        <f>+'1.Informe Seguimiento POA 2021'!Q84</f>
        <v>1</v>
      </c>
      <c r="T80" s="887">
        <f>+'1.Informe Seguimiento POA 2021'!R84</f>
        <v>1</v>
      </c>
      <c r="U80" s="887">
        <f>+'1.Informe Seguimiento POA 2021'!S84</f>
        <v>1</v>
      </c>
      <c r="V80" s="887">
        <f>+'1.Informe Seguimiento POA 2021'!T84</f>
        <v>1</v>
      </c>
      <c r="W80" s="887">
        <f>+'1.Informe Seguimiento POA 2021'!U84</f>
        <v>1</v>
      </c>
      <c r="X80" s="887">
        <f>+'1.Informe Seguimiento POA 2021'!V84</f>
        <v>0</v>
      </c>
      <c r="Y80" s="788">
        <f>+'1.Informe Seguimiento POA 2021'!W84</f>
        <v>1</v>
      </c>
      <c r="Z80" s="788">
        <f>+'1.Informe Seguimiento POA 2021'!X84</f>
        <v>1</v>
      </c>
      <c r="AA80" s="788">
        <f>+'1.Informe Seguimiento POA 2021'!Y84</f>
        <v>0.75</v>
      </c>
      <c r="AB80" s="785"/>
      <c r="AC80" s="785"/>
      <c r="AD80" s="785"/>
      <c r="AE80" s="785"/>
      <c r="AF80" s="785"/>
      <c r="AG80" s="785"/>
      <c r="AH80" s="785"/>
      <c r="AI80" s="785"/>
      <c r="AJ80" s="880">
        <f t="shared" si="41"/>
        <v>1</v>
      </c>
      <c r="AK80" s="880"/>
      <c r="AL80" s="896"/>
      <c r="AM80" s="896"/>
      <c r="AN80" s="896"/>
      <c r="AO80" s="896"/>
      <c r="AP80" s="896"/>
      <c r="AQ80" s="896"/>
      <c r="AR80" s="896"/>
      <c r="AS80" s="896"/>
      <c r="AT80" s="896"/>
      <c r="AU80" s="880">
        <f t="shared" si="42"/>
        <v>1</v>
      </c>
      <c r="AV80" s="880"/>
      <c r="AW80" s="896"/>
      <c r="AX80" s="896"/>
      <c r="AY80" s="896"/>
      <c r="AZ80" s="896"/>
      <c r="BA80" s="896"/>
      <c r="BB80" s="896"/>
      <c r="BC80" s="896"/>
      <c r="BD80" s="896"/>
      <c r="BE80" s="896"/>
      <c r="BF80" s="880">
        <f t="shared" si="43"/>
        <v>1</v>
      </c>
      <c r="BG80" s="880"/>
      <c r="BH80" s="896"/>
      <c r="BI80" s="787">
        <f t="shared" si="47"/>
        <v>1</v>
      </c>
      <c r="BJ80" s="787">
        <f t="shared" si="47"/>
        <v>1</v>
      </c>
      <c r="BK80" s="785">
        <f t="shared" si="12"/>
        <v>1</v>
      </c>
      <c r="BL80" s="785">
        <f t="shared" si="46"/>
        <v>0.125</v>
      </c>
      <c r="BM80" s="1300"/>
      <c r="BN80" s="1223"/>
      <c r="BO80" s="1156"/>
      <c r="BP80" s="930"/>
      <c r="BQ80" s="930"/>
    </row>
    <row r="81" spans="2:69" ht="76.5" customHeight="1">
      <c r="B81" s="1158"/>
      <c r="C81" s="1239"/>
      <c r="D81" s="1227"/>
      <c r="E81" s="1227"/>
      <c r="F81" s="1229" t="s">
        <v>1117</v>
      </c>
      <c r="G81" s="1238" t="s">
        <v>1108</v>
      </c>
      <c r="H81" s="1279" t="str">
        <f>+'1.Informe Seguimiento POA 2021'!D85</f>
        <v>4.4.15 Elaborar el 95% de los contratos en cada una de las modalidades de selección en los tiempos óptimos</v>
      </c>
      <c r="I81" s="1285">
        <f>+'1.Informe Seguimiento POA 2021'!E85</f>
        <v>0.1</v>
      </c>
      <c r="J81" s="880">
        <f>+'1.Informe Seguimiento POA 2021'!F85</f>
        <v>0.95</v>
      </c>
      <c r="K81" s="885" t="str">
        <f>+'1.Informe Seguimiento POA 2021'!I85</f>
        <v>Gestión Contractual</v>
      </c>
      <c r="L81" s="885" t="str">
        <f>+'1.Informe Seguimiento POA 2021'!J85</f>
        <v>Subdirección de Gestión Contractual
Dirección Administrativa y Financiera</v>
      </c>
      <c r="M81" s="806">
        <f>+'1.Informe Seguimiento POA 2021'!K85</f>
        <v>0.6</v>
      </c>
      <c r="N81" s="806">
        <f>+'1.Informe Seguimiento POA 2021'!L85</f>
        <v>0.8</v>
      </c>
      <c r="O81" s="806">
        <f>+'1.Informe Seguimiento POA 2021'!M85</f>
        <v>0.9</v>
      </c>
      <c r="P81" s="806">
        <f>+'1.Informe Seguimiento POA 2021'!N85</f>
        <v>0.95</v>
      </c>
      <c r="Q81" s="887">
        <f>+'1.Informe Seguimiento POA 2021'!O85</f>
        <v>0</v>
      </c>
      <c r="R81" s="887">
        <f>+'1.Informe Seguimiento POA 2021'!P85</f>
        <v>0</v>
      </c>
      <c r="S81" s="887">
        <f>+'1.Informe Seguimiento POA 2021'!Q85</f>
        <v>0</v>
      </c>
      <c r="T81" s="887">
        <f>+'1.Informe Seguimiento POA 2021'!R85</f>
        <v>0</v>
      </c>
      <c r="U81" s="887">
        <f>+'1.Informe Seguimiento POA 2021'!S85</f>
        <v>0.6</v>
      </c>
      <c r="V81" s="887">
        <f>+'1.Informe Seguimiento POA 2021'!T85</f>
        <v>0.505</v>
      </c>
      <c r="W81" s="887">
        <f>+'1.Informe Seguimiento POA 2021'!U85</f>
        <v>0.6</v>
      </c>
      <c r="X81" s="887">
        <f>+'1.Informe Seguimiento POA 2021'!V85</f>
        <v>0</v>
      </c>
      <c r="Y81" s="788">
        <f>+'1.Informe Seguimiento POA 2021'!W85</f>
        <v>0.6</v>
      </c>
      <c r="Z81" s="788">
        <f>+'1.Informe Seguimiento POA 2021'!X85</f>
        <v>0.505</v>
      </c>
      <c r="AA81" s="788">
        <f>+'1.Informe Seguimiento POA 2021'!Y85</f>
        <v>0.63124999999999998</v>
      </c>
      <c r="AB81" s="785"/>
      <c r="AC81" s="785"/>
      <c r="AD81" s="785"/>
      <c r="AE81" s="785"/>
      <c r="AF81" s="785"/>
      <c r="AG81" s="785"/>
      <c r="AH81" s="785"/>
      <c r="AI81" s="785"/>
      <c r="AJ81" s="880">
        <f t="shared" si="41"/>
        <v>0.8</v>
      </c>
      <c r="AK81" s="880"/>
      <c r="AL81" s="896"/>
      <c r="AM81" s="896"/>
      <c r="AN81" s="896"/>
      <c r="AO81" s="896"/>
      <c r="AP81" s="896"/>
      <c r="AQ81" s="896"/>
      <c r="AR81" s="896"/>
      <c r="AS81" s="896"/>
      <c r="AT81" s="896"/>
      <c r="AU81" s="880">
        <f t="shared" si="42"/>
        <v>0.9</v>
      </c>
      <c r="AV81" s="880"/>
      <c r="AW81" s="896"/>
      <c r="AX81" s="896"/>
      <c r="AY81" s="896"/>
      <c r="AZ81" s="896"/>
      <c r="BA81" s="896"/>
      <c r="BB81" s="896"/>
      <c r="BC81" s="896"/>
      <c r="BD81" s="896"/>
      <c r="BE81" s="896"/>
      <c r="BF81" s="880">
        <f t="shared" si="43"/>
        <v>0.95</v>
      </c>
      <c r="BG81" s="880"/>
      <c r="BH81" s="896"/>
      <c r="BI81" s="787">
        <f>IFERROR(AVERAGE(U81),0)</f>
        <v>0.6</v>
      </c>
      <c r="BJ81" s="787">
        <f>IFERROR(AVERAGE(V81),0)</f>
        <v>0.505</v>
      </c>
      <c r="BK81" s="785">
        <f t="shared" si="12"/>
        <v>0.84166666666666667</v>
      </c>
      <c r="BL81" s="785">
        <f t="shared" si="46"/>
        <v>6.644736842105263E-2</v>
      </c>
      <c r="BM81" s="1219">
        <f>AVERAGE((IF(AND(BL81&gt;0,I81&gt;0),BL81*I81,0)),(IF(AND(BL82&gt;0,I81&gt;0),BL82*I81,0)),(IF(AND(BL83&gt;0,I81&gt;0),BL83*I81,0)))</f>
        <v>7.4035087719298252E-3</v>
      </c>
      <c r="BN81" s="1223"/>
      <c r="BO81" s="1156"/>
      <c r="BP81" s="930"/>
      <c r="BQ81" s="930"/>
    </row>
    <row r="82" spans="2:69" ht="76.5" customHeight="1">
      <c r="B82" s="1158"/>
      <c r="C82" s="1239"/>
      <c r="D82" s="1227"/>
      <c r="E82" s="1227"/>
      <c r="F82" s="1239"/>
      <c r="G82" s="1238"/>
      <c r="H82" s="1280"/>
      <c r="I82" s="1286"/>
      <c r="J82" s="880">
        <f>+'1.Informe Seguimiento POA 2021'!F86</f>
        <v>0.95</v>
      </c>
      <c r="K82" s="885" t="str">
        <f>+'1.Informe Seguimiento POA 2021'!I86</f>
        <v>Gestión Contractual</v>
      </c>
      <c r="L82" s="885" t="str">
        <f>+'1.Informe Seguimiento POA 2021'!J86</f>
        <v>Subdirección de Gestión Contractual
Dirección Administrativa y Financiera</v>
      </c>
      <c r="M82" s="806">
        <f>+'1.Informe Seguimiento POA 2021'!K86</f>
        <v>0.6</v>
      </c>
      <c r="N82" s="806">
        <f>+'1.Informe Seguimiento POA 2021'!L86</f>
        <v>0.8</v>
      </c>
      <c r="O82" s="806">
        <f>+'1.Informe Seguimiento POA 2021'!M86</f>
        <v>0.9</v>
      </c>
      <c r="P82" s="806">
        <f>+'1.Informe Seguimiento POA 2021'!N86</f>
        <v>0.95</v>
      </c>
      <c r="Q82" s="887">
        <f>+'1.Informe Seguimiento POA 2021'!O86</f>
        <v>0</v>
      </c>
      <c r="R82" s="887">
        <f>+'1.Informe Seguimiento POA 2021'!P86</f>
        <v>0</v>
      </c>
      <c r="S82" s="887">
        <f>+'1.Informe Seguimiento POA 2021'!Q86</f>
        <v>0</v>
      </c>
      <c r="T82" s="887">
        <f>+'1.Informe Seguimiento POA 2021'!R86</f>
        <v>0</v>
      </c>
      <c r="U82" s="887">
        <f>+'1.Informe Seguimiento POA 2021'!S86</f>
        <v>0.6</v>
      </c>
      <c r="V82" s="887">
        <f>+'1.Informe Seguimiento POA 2021'!T86</f>
        <v>0.58299999999999996</v>
      </c>
      <c r="W82" s="887">
        <f>+'1.Informe Seguimiento POA 2021'!U86</f>
        <v>0.6</v>
      </c>
      <c r="X82" s="887">
        <f>+'1.Informe Seguimiento POA 2021'!V86</f>
        <v>0</v>
      </c>
      <c r="Y82" s="788">
        <f>+'1.Informe Seguimiento POA 2021'!W86</f>
        <v>0.6</v>
      </c>
      <c r="Z82" s="788">
        <f>+'1.Informe Seguimiento POA 2021'!X86</f>
        <v>0.58299999999999996</v>
      </c>
      <c r="AA82" s="788">
        <f>+'1.Informe Seguimiento POA 2021'!Y86</f>
        <v>0.72875000000000001</v>
      </c>
      <c r="AB82" s="785"/>
      <c r="AC82" s="785"/>
      <c r="AD82" s="785"/>
      <c r="AE82" s="785"/>
      <c r="AF82" s="785"/>
      <c r="AG82" s="785"/>
      <c r="AH82" s="785"/>
      <c r="AI82" s="785"/>
      <c r="AJ82" s="880">
        <f t="shared" si="41"/>
        <v>0.8</v>
      </c>
      <c r="AK82" s="880"/>
      <c r="AL82" s="896"/>
      <c r="AM82" s="896"/>
      <c r="AN82" s="896"/>
      <c r="AO82" s="896"/>
      <c r="AP82" s="896"/>
      <c r="AQ82" s="896"/>
      <c r="AR82" s="896"/>
      <c r="AS82" s="896"/>
      <c r="AT82" s="896"/>
      <c r="AU82" s="880">
        <f t="shared" si="42"/>
        <v>0.9</v>
      </c>
      <c r="AV82" s="880"/>
      <c r="AW82" s="896"/>
      <c r="AX82" s="896"/>
      <c r="AY82" s="896"/>
      <c r="AZ82" s="896"/>
      <c r="BA82" s="896"/>
      <c r="BB82" s="896"/>
      <c r="BC82" s="896"/>
      <c r="BD82" s="896"/>
      <c r="BE82" s="896"/>
      <c r="BF82" s="880">
        <f t="shared" si="43"/>
        <v>0.95</v>
      </c>
      <c r="BG82" s="880"/>
      <c r="BH82" s="896"/>
      <c r="BI82" s="787">
        <f t="shared" ref="BI82:BJ83" si="48">IFERROR(AVERAGE(U82),0)</f>
        <v>0.6</v>
      </c>
      <c r="BJ82" s="787">
        <f t="shared" si="48"/>
        <v>0.58299999999999996</v>
      </c>
      <c r="BK82" s="785">
        <f t="shared" si="12"/>
        <v>0.97166666666666668</v>
      </c>
      <c r="BL82" s="785">
        <f t="shared" si="46"/>
        <v>7.6710526315789479E-2</v>
      </c>
      <c r="BM82" s="1220"/>
      <c r="BN82" s="1223"/>
      <c r="BO82" s="1156"/>
      <c r="BP82" s="930"/>
      <c r="BQ82" s="930"/>
    </row>
    <row r="83" spans="2:69" ht="76.5" customHeight="1">
      <c r="B83" s="1158"/>
      <c r="C83" s="1230"/>
      <c r="D83" s="1228"/>
      <c r="E83" s="1228"/>
      <c r="F83" s="1230"/>
      <c r="G83" s="1238"/>
      <c r="H83" s="1281"/>
      <c r="I83" s="1287"/>
      <c r="J83" s="880">
        <f>+'1.Informe Seguimiento POA 2021'!F87</f>
        <v>0.95</v>
      </c>
      <c r="K83" s="885" t="str">
        <f>+'1.Informe Seguimiento POA 2021'!I87</f>
        <v>Gestión Contractual</v>
      </c>
      <c r="L83" s="885" t="str">
        <f>+'1.Informe Seguimiento POA 2021'!J87</f>
        <v>Subdirección de Gestión Contractual
Dirección Administrativa y Financiera</v>
      </c>
      <c r="M83" s="806">
        <f>+'1.Informe Seguimiento POA 2021'!K87</f>
        <v>0.6</v>
      </c>
      <c r="N83" s="806">
        <f>+'1.Informe Seguimiento POA 2021'!L87</f>
        <v>0.8</v>
      </c>
      <c r="O83" s="806">
        <f>+'1.Informe Seguimiento POA 2021'!M87</f>
        <v>0.9</v>
      </c>
      <c r="P83" s="806">
        <f>+'1.Informe Seguimiento POA 2021'!N87</f>
        <v>0.95</v>
      </c>
      <c r="Q83" s="887">
        <f>+'1.Informe Seguimiento POA 2021'!O87</f>
        <v>0</v>
      </c>
      <c r="R83" s="887">
        <f>+'1.Informe Seguimiento POA 2021'!P87</f>
        <v>0</v>
      </c>
      <c r="S83" s="887">
        <f>+'1.Informe Seguimiento POA 2021'!Q87</f>
        <v>0</v>
      </c>
      <c r="T83" s="887">
        <f>+'1.Informe Seguimiento POA 2021'!R87</f>
        <v>0</v>
      </c>
      <c r="U83" s="887">
        <f>+'1.Informe Seguimiento POA 2021'!S87</f>
        <v>0.6</v>
      </c>
      <c r="V83" s="887">
        <f>+'1.Informe Seguimiento POA 2021'!T87</f>
        <v>0.6</v>
      </c>
      <c r="W83" s="887">
        <f>+'1.Informe Seguimiento POA 2021'!U87</f>
        <v>0.6</v>
      </c>
      <c r="X83" s="887">
        <f>+'1.Informe Seguimiento POA 2021'!V87</f>
        <v>0</v>
      </c>
      <c r="Y83" s="788">
        <f>+'1.Informe Seguimiento POA 2021'!W87</f>
        <v>0.6</v>
      </c>
      <c r="Z83" s="788">
        <f>+'1.Informe Seguimiento POA 2021'!X87</f>
        <v>0.6</v>
      </c>
      <c r="AA83" s="788">
        <f>+'1.Informe Seguimiento POA 2021'!Y87</f>
        <v>0.75</v>
      </c>
      <c r="AB83" s="785"/>
      <c r="AC83" s="785"/>
      <c r="AD83" s="785"/>
      <c r="AE83" s="785"/>
      <c r="AF83" s="785"/>
      <c r="AG83" s="785"/>
      <c r="AH83" s="785"/>
      <c r="AI83" s="785"/>
      <c r="AJ83" s="880">
        <f t="shared" si="41"/>
        <v>0.8</v>
      </c>
      <c r="AK83" s="880"/>
      <c r="AL83" s="896"/>
      <c r="AM83" s="896"/>
      <c r="AN83" s="896"/>
      <c r="AO83" s="896"/>
      <c r="AP83" s="896"/>
      <c r="AQ83" s="896"/>
      <c r="AR83" s="896"/>
      <c r="AS83" s="896"/>
      <c r="AT83" s="896"/>
      <c r="AU83" s="880">
        <f t="shared" si="42"/>
        <v>0.9</v>
      </c>
      <c r="AV83" s="880"/>
      <c r="AW83" s="896"/>
      <c r="AX83" s="896"/>
      <c r="AY83" s="896"/>
      <c r="AZ83" s="896"/>
      <c r="BA83" s="896"/>
      <c r="BB83" s="896"/>
      <c r="BC83" s="896"/>
      <c r="BD83" s="896"/>
      <c r="BE83" s="896"/>
      <c r="BF83" s="880">
        <f t="shared" si="43"/>
        <v>0.95</v>
      </c>
      <c r="BG83" s="880"/>
      <c r="BH83" s="896"/>
      <c r="BI83" s="787">
        <f t="shared" si="48"/>
        <v>0.6</v>
      </c>
      <c r="BJ83" s="787">
        <f t="shared" si="48"/>
        <v>0.6</v>
      </c>
      <c r="BK83" s="785">
        <f t="shared" si="12"/>
        <v>1</v>
      </c>
      <c r="BL83" s="785">
        <f t="shared" si="46"/>
        <v>7.8947368421052627E-2</v>
      </c>
      <c r="BM83" s="1221"/>
      <c r="BN83" s="1224"/>
      <c r="BO83" s="1156"/>
      <c r="BP83" s="930"/>
      <c r="BQ83" s="930"/>
    </row>
    <row r="84" spans="2:69" ht="73.5" customHeight="1">
      <c r="B84" s="1158"/>
      <c r="C84" s="1179" t="str">
        <f>+'Matriz PEI 2021-2024'!C24</f>
        <v>4.5. Desarrollar el 100% de las acciones relacionadas con el fomento de la Cultura del Autocontrol, la Autorregulación y la Autogestión institucional.</v>
      </c>
      <c r="D84" s="1282">
        <f>+'Matriz PEI 2021-2024'!E24</f>
        <v>1</v>
      </c>
      <c r="E84" s="1282">
        <f>+'Matriz PEI 2021-2024'!D24</f>
        <v>0.14000000000000001</v>
      </c>
      <c r="F84" s="1179" t="s">
        <v>1118</v>
      </c>
      <c r="G84" s="1179" t="s">
        <v>1119</v>
      </c>
      <c r="H84" s="790" t="str">
        <f>+'1.Informe Seguimiento POA 2021'!D88</f>
        <v xml:space="preserve">4.5.1 Emitir 96 solicitudes de aplicación de medidas de preservación del orden interno, con el fin de prevenir la materialización de conductas con alcance disciplinario. </v>
      </c>
      <c r="I84" s="152">
        <f>+'1.Informe Seguimiento POA 2021'!E88</f>
        <v>0.05</v>
      </c>
      <c r="J84" s="791">
        <f>+'1.Informe Seguimiento POA 2021'!F88</f>
        <v>96</v>
      </c>
      <c r="K84" s="792" t="str">
        <f>+'1.Informe Seguimiento POA 2021'!I88</f>
        <v>Control Disciplinario Interno</v>
      </c>
      <c r="L84" s="793" t="str">
        <f>+'1.Informe Seguimiento POA 2021'!J88</f>
        <v>Oficina Control Interno Disciplinario</v>
      </c>
      <c r="M84" s="816">
        <f>+'1.Informe Seguimiento POA 2021'!K88</f>
        <v>24</v>
      </c>
      <c r="N84" s="816">
        <f>+'1.Informe Seguimiento POA 2021'!L88</f>
        <v>24</v>
      </c>
      <c r="O84" s="816">
        <f>+'1.Informe Seguimiento POA 2021'!M88</f>
        <v>24</v>
      </c>
      <c r="P84" s="816">
        <f>+'1.Informe Seguimiento POA 2021'!N88</f>
        <v>24</v>
      </c>
      <c r="Q84" s="816">
        <f>+'1.Informe Seguimiento POA 2021'!O88</f>
        <v>6</v>
      </c>
      <c r="R84" s="816">
        <f>+'1.Informe Seguimiento POA 2021'!P88</f>
        <v>10</v>
      </c>
      <c r="S84" s="816">
        <f>+'1.Informe Seguimiento POA 2021'!Q88</f>
        <v>6</v>
      </c>
      <c r="T84" s="816">
        <f>+'1.Informe Seguimiento POA 2021'!R88</f>
        <v>9</v>
      </c>
      <c r="U84" s="816">
        <f>+'1.Informe Seguimiento POA 2021'!S88</f>
        <v>6</v>
      </c>
      <c r="V84" s="816">
        <f>+'1.Informe Seguimiento POA 2021'!T88</f>
        <v>9</v>
      </c>
      <c r="W84" s="816">
        <f>+'1.Informe Seguimiento POA 2021'!U88</f>
        <v>6</v>
      </c>
      <c r="X84" s="816">
        <f>+'1.Informe Seguimiento POA 2021'!V88</f>
        <v>0</v>
      </c>
      <c r="Y84" s="795">
        <f>+'1.Informe Seguimiento POA 2021'!W88</f>
        <v>24</v>
      </c>
      <c r="Z84" s="795">
        <f>+'1.Informe Seguimiento POA 2021'!X88</f>
        <v>28</v>
      </c>
      <c r="AA84" s="796">
        <f>+'1.Informe Seguimiento POA 2021'!Y88</f>
        <v>1.1666666666666667</v>
      </c>
      <c r="AB84" s="796"/>
      <c r="AC84" s="796"/>
      <c r="AD84" s="796"/>
      <c r="AE84" s="796"/>
      <c r="AF84" s="796"/>
      <c r="AG84" s="796"/>
      <c r="AH84" s="796"/>
      <c r="AI84" s="796"/>
      <c r="AJ84" s="795">
        <f t="shared" si="41"/>
        <v>24</v>
      </c>
      <c r="AK84" s="795"/>
      <c r="AL84" s="796"/>
      <c r="AM84" s="796"/>
      <c r="AN84" s="796"/>
      <c r="AO84" s="796"/>
      <c r="AP84" s="796"/>
      <c r="AQ84" s="796"/>
      <c r="AR84" s="796"/>
      <c r="AS84" s="796"/>
      <c r="AT84" s="796"/>
      <c r="AU84" s="795">
        <f t="shared" si="42"/>
        <v>24</v>
      </c>
      <c r="AV84" s="795"/>
      <c r="AW84" s="796"/>
      <c r="AX84" s="796"/>
      <c r="AY84" s="796"/>
      <c r="AZ84" s="796"/>
      <c r="BA84" s="796"/>
      <c r="BB84" s="796"/>
      <c r="BC84" s="796"/>
      <c r="BD84" s="796"/>
      <c r="BE84" s="796"/>
      <c r="BF84" s="795">
        <f t="shared" si="43"/>
        <v>24</v>
      </c>
      <c r="BG84" s="795"/>
      <c r="BH84" s="796"/>
      <c r="BI84" s="795">
        <f t="shared" ref="BI84:BJ89" si="49">+Q84+S84+U84</f>
        <v>18</v>
      </c>
      <c r="BJ84" s="795">
        <f t="shared" si="49"/>
        <v>28</v>
      </c>
      <c r="BK84" s="913">
        <f t="shared" si="12"/>
        <v>1.5555555555555556</v>
      </c>
      <c r="BL84" s="814">
        <f t="shared" ref="BL84:BL89" si="50">IF(AND(BJ84&gt;0,$J84&gt;0),BJ84/$J84,0)</f>
        <v>0.29166666666666669</v>
      </c>
      <c r="BM84" s="796">
        <f t="shared" ref="BM84:BM95" si="51">IF(AND(BL84&gt;0,I84&gt;0),BL84*I84,0)</f>
        <v>1.4583333333333335E-2</v>
      </c>
      <c r="BN84" s="1231">
        <f>SUM(BM84:BM89)</f>
        <v>0.19811904761904764</v>
      </c>
      <c r="BO84" s="1156"/>
      <c r="BP84" s="922"/>
      <c r="BQ84" s="922"/>
    </row>
    <row r="85" spans="2:69" ht="86.25" customHeight="1">
      <c r="B85" s="1158"/>
      <c r="C85" s="1180"/>
      <c r="D85" s="1283"/>
      <c r="E85" s="1283"/>
      <c r="F85" s="1180"/>
      <c r="G85" s="1180"/>
      <c r="H85" s="790" t="str">
        <f>+'1.Informe Seguimiento POA 2021'!D89</f>
        <v>4.5.2 Realizar 8 jornadas de sensibilización a funcionarios de la Personería de Bogotá D.C. sobre la prevención de las faltas disciplinarias más recurrentes en la Entidad.</v>
      </c>
      <c r="I85" s="152">
        <f>+'1.Informe Seguimiento POA 2021'!E89</f>
        <v>0.05</v>
      </c>
      <c r="J85" s="791">
        <f>+'1.Informe Seguimiento POA 2021'!F89</f>
        <v>7</v>
      </c>
      <c r="K85" s="792" t="str">
        <f>+'1.Informe Seguimiento POA 2021'!I89</f>
        <v>Control Disciplinario Interno</v>
      </c>
      <c r="L85" s="793" t="str">
        <f>+'1.Informe Seguimiento POA 2021'!J89</f>
        <v>Oficina Control Interno Disciplinario</v>
      </c>
      <c r="M85" s="816">
        <f>+'1.Informe Seguimiento POA 2021'!K89</f>
        <v>2</v>
      </c>
      <c r="N85" s="816">
        <f>+'1.Informe Seguimiento POA 2021'!L89</f>
        <v>2</v>
      </c>
      <c r="O85" s="816">
        <f>+'1.Informe Seguimiento POA 2021'!M89</f>
        <v>2</v>
      </c>
      <c r="P85" s="816">
        <f>+'1.Informe Seguimiento POA 2021'!N89</f>
        <v>2</v>
      </c>
      <c r="Q85" s="816">
        <f>+'1.Informe Seguimiento POA 2021'!O89</f>
        <v>0</v>
      </c>
      <c r="R85" s="816">
        <f>+'1.Informe Seguimiento POA 2021'!P89</f>
        <v>0</v>
      </c>
      <c r="S85" s="816">
        <f>+'1.Informe Seguimiento POA 2021'!Q89</f>
        <v>1</v>
      </c>
      <c r="T85" s="816">
        <f>+'1.Informe Seguimiento POA 2021'!R89</f>
        <v>1</v>
      </c>
      <c r="U85" s="816">
        <f>+'1.Informe Seguimiento POA 2021'!S89</f>
        <v>1</v>
      </c>
      <c r="V85" s="816">
        <f>+'1.Informe Seguimiento POA 2021'!T89</f>
        <v>1</v>
      </c>
      <c r="W85" s="816">
        <f>+'1.Informe Seguimiento POA 2021'!U89</f>
        <v>0</v>
      </c>
      <c r="X85" s="816">
        <f>+'1.Informe Seguimiento POA 2021'!V89</f>
        <v>0</v>
      </c>
      <c r="Y85" s="795">
        <f>+'1.Informe Seguimiento POA 2021'!W89</f>
        <v>2</v>
      </c>
      <c r="Z85" s="795">
        <f>+'1.Informe Seguimiento POA 2021'!X89</f>
        <v>2</v>
      </c>
      <c r="AA85" s="796">
        <f>+'1.Informe Seguimiento POA 2021'!Y89</f>
        <v>1</v>
      </c>
      <c r="AB85" s="796"/>
      <c r="AC85" s="796"/>
      <c r="AD85" s="796"/>
      <c r="AE85" s="796"/>
      <c r="AF85" s="796"/>
      <c r="AG85" s="796"/>
      <c r="AH85" s="796"/>
      <c r="AI85" s="796"/>
      <c r="AJ85" s="795">
        <f t="shared" si="41"/>
        <v>2</v>
      </c>
      <c r="AK85" s="795"/>
      <c r="AL85" s="796"/>
      <c r="AM85" s="796"/>
      <c r="AN85" s="796"/>
      <c r="AO85" s="796"/>
      <c r="AP85" s="796"/>
      <c r="AQ85" s="796"/>
      <c r="AR85" s="796"/>
      <c r="AS85" s="796"/>
      <c r="AT85" s="796"/>
      <c r="AU85" s="795">
        <f t="shared" si="42"/>
        <v>2</v>
      </c>
      <c r="AV85" s="795"/>
      <c r="AW85" s="796"/>
      <c r="AX85" s="796"/>
      <c r="AY85" s="796"/>
      <c r="AZ85" s="796"/>
      <c r="BA85" s="796"/>
      <c r="BB85" s="796"/>
      <c r="BC85" s="796"/>
      <c r="BD85" s="796"/>
      <c r="BE85" s="796"/>
      <c r="BF85" s="795">
        <f t="shared" si="43"/>
        <v>2</v>
      </c>
      <c r="BG85" s="795"/>
      <c r="BH85" s="796"/>
      <c r="BI85" s="795">
        <f t="shared" si="49"/>
        <v>2</v>
      </c>
      <c r="BJ85" s="795">
        <f t="shared" si="49"/>
        <v>2</v>
      </c>
      <c r="BK85" s="913">
        <f t="shared" si="12"/>
        <v>1</v>
      </c>
      <c r="BL85" s="814">
        <f t="shared" si="50"/>
        <v>0.2857142857142857</v>
      </c>
      <c r="BM85" s="796">
        <f t="shared" si="51"/>
        <v>1.4285714285714285E-2</v>
      </c>
      <c r="BN85" s="1232"/>
      <c r="BO85" s="1156"/>
      <c r="BP85" s="923"/>
      <c r="BQ85" s="923"/>
    </row>
    <row r="86" spans="2:69" ht="96.75" customHeight="1">
      <c r="B86" s="1158"/>
      <c r="C86" s="1180"/>
      <c r="D86" s="1283"/>
      <c r="E86" s="1283"/>
      <c r="F86" s="1180"/>
      <c r="G86" s="1180"/>
      <c r="H86" s="790" t="str">
        <f>+'1.Informe Seguimiento POA 2021'!D90</f>
        <v>4.5.3 Decidir de fondo 400 procesos disciplinarios que se encuentren en términos o con periodos vencidos, dando prelación a aquellos con mayor antigüedad o aquellos próximos a prescribir o caducar.</v>
      </c>
      <c r="I86" s="152">
        <f>+'1.Informe Seguimiento POA 2021'!E90</f>
        <v>0.2</v>
      </c>
      <c r="J86" s="791">
        <f>+'1.Informe Seguimiento POA 2021'!F90</f>
        <v>400</v>
      </c>
      <c r="K86" s="792" t="str">
        <f>+'1.Informe Seguimiento POA 2021'!I90</f>
        <v>Control Disciplinario Interno</v>
      </c>
      <c r="L86" s="793" t="str">
        <f>+'1.Informe Seguimiento POA 2021'!J90</f>
        <v>Oficina Control Interno Disciplinario</v>
      </c>
      <c r="M86" s="816">
        <f>+'1.Informe Seguimiento POA 2021'!K90</f>
        <v>100</v>
      </c>
      <c r="N86" s="816">
        <f>+'1.Informe Seguimiento POA 2021'!L90</f>
        <v>100</v>
      </c>
      <c r="O86" s="816">
        <f>+'1.Informe Seguimiento POA 2021'!M90</f>
        <v>100</v>
      </c>
      <c r="P86" s="816">
        <f>+'1.Informe Seguimiento POA 2021'!N90</f>
        <v>100</v>
      </c>
      <c r="Q86" s="816">
        <f>+'1.Informe Seguimiento POA 2021'!O90</f>
        <v>23</v>
      </c>
      <c r="R86" s="816">
        <f>+'1.Informe Seguimiento POA 2021'!P90</f>
        <v>38</v>
      </c>
      <c r="S86" s="816">
        <f>+'1.Informe Seguimiento POA 2021'!Q90</f>
        <v>30</v>
      </c>
      <c r="T86" s="816">
        <f>+'1.Informe Seguimiento POA 2021'!R90</f>
        <v>30</v>
      </c>
      <c r="U86" s="816">
        <f>+'1.Informe Seguimiento POA 2021'!S90</f>
        <v>30</v>
      </c>
      <c r="V86" s="816">
        <f>+'1.Informe Seguimiento POA 2021'!T90</f>
        <v>48</v>
      </c>
      <c r="W86" s="816">
        <f>+'1.Informe Seguimiento POA 2021'!U90</f>
        <v>17</v>
      </c>
      <c r="X86" s="816">
        <f>+'1.Informe Seguimiento POA 2021'!V90</f>
        <v>0</v>
      </c>
      <c r="Y86" s="795">
        <f>+'1.Informe Seguimiento POA 2021'!W90</f>
        <v>100</v>
      </c>
      <c r="Z86" s="795">
        <f>+'1.Informe Seguimiento POA 2021'!X90</f>
        <v>116</v>
      </c>
      <c r="AA86" s="796">
        <f>+'1.Informe Seguimiento POA 2021'!Y90</f>
        <v>1.1599999999999999</v>
      </c>
      <c r="AB86" s="796"/>
      <c r="AC86" s="796"/>
      <c r="AD86" s="796"/>
      <c r="AE86" s="796"/>
      <c r="AF86" s="796"/>
      <c r="AG86" s="796"/>
      <c r="AH86" s="796"/>
      <c r="AI86" s="796"/>
      <c r="AJ86" s="795">
        <f t="shared" si="41"/>
        <v>100</v>
      </c>
      <c r="AK86" s="795"/>
      <c r="AL86" s="796"/>
      <c r="AM86" s="796"/>
      <c r="AN86" s="796"/>
      <c r="AO86" s="796"/>
      <c r="AP86" s="796"/>
      <c r="AQ86" s="796"/>
      <c r="AR86" s="796"/>
      <c r="AS86" s="796"/>
      <c r="AT86" s="796"/>
      <c r="AU86" s="795">
        <f t="shared" si="42"/>
        <v>100</v>
      </c>
      <c r="AV86" s="795"/>
      <c r="AW86" s="796"/>
      <c r="AX86" s="796"/>
      <c r="AY86" s="796"/>
      <c r="AZ86" s="796"/>
      <c r="BA86" s="796"/>
      <c r="BB86" s="796"/>
      <c r="BC86" s="796"/>
      <c r="BD86" s="796"/>
      <c r="BE86" s="796"/>
      <c r="BF86" s="795">
        <f t="shared" si="43"/>
        <v>100</v>
      </c>
      <c r="BG86" s="795"/>
      <c r="BH86" s="796"/>
      <c r="BI86" s="795">
        <f t="shared" si="49"/>
        <v>83</v>
      </c>
      <c r="BJ86" s="795">
        <f t="shared" si="49"/>
        <v>116</v>
      </c>
      <c r="BK86" s="913">
        <f t="shared" si="12"/>
        <v>1.3975903614457832</v>
      </c>
      <c r="BL86" s="814">
        <f t="shared" si="50"/>
        <v>0.28999999999999998</v>
      </c>
      <c r="BM86" s="796">
        <f t="shared" si="51"/>
        <v>5.7999999999999996E-2</v>
      </c>
      <c r="BN86" s="1232"/>
      <c r="BO86" s="1156"/>
      <c r="BP86" s="923"/>
      <c r="BQ86" s="923"/>
    </row>
    <row r="87" spans="2:69" ht="69.75" customHeight="1">
      <c r="B87" s="1158"/>
      <c r="C87" s="1180"/>
      <c r="D87" s="1283"/>
      <c r="E87" s="1283"/>
      <c r="F87" s="1180"/>
      <c r="G87" s="1180"/>
      <c r="H87" s="790" t="str">
        <f>+'1.Informe Seguimiento POA 2021'!D91</f>
        <v>4.5.4 Ejecutar  4 programas anuales de auditorias, aprobados por el Comité Institucional de Coordinación del Sistema de Control Interno.</v>
      </c>
      <c r="I87" s="152">
        <f>+'1.Informe Seguimiento POA 2021'!E91</f>
        <v>0.5</v>
      </c>
      <c r="J87" s="791">
        <f>+'1.Informe Seguimiento POA 2021'!F91</f>
        <v>4</v>
      </c>
      <c r="K87" s="792" t="str">
        <f>+'1.Informe Seguimiento POA 2021'!I91</f>
        <v>Evaluación y Seguimiento</v>
      </c>
      <c r="L87" s="793" t="str">
        <f>+'1.Informe Seguimiento POA 2021'!J91</f>
        <v>Oficina de Control Interno</v>
      </c>
      <c r="M87" s="816">
        <f>+'1.Informe Seguimiento POA 2021'!K91</f>
        <v>1</v>
      </c>
      <c r="N87" s="816">
        <f>+'1.Informe Seguimiento POA 2021'!L91</f>
        <v>1</v>
      </c>
      <c r="O87" s="816">
        <f>+'1.Informe Seguimiento POA 2021'!M91</f>
        <v>1</v>
      </c>
      <c r="P87" s="816">
        <f>+'1.Informe Seguimiento POA 2021'!N91</f>
        <v>1</v>
      </c>
      <c r="Q87" s="893">
        <f>+'1.Informe Seguimiento POA 2021'!O91</f>
        <v>0.51</v>
      </c>
      <c r="R87" s="893">
        <f>+'1.Informe Seguimiento POA 2021'!P91</f>
        <v>0.51</v>
      </c>
      <c r="S87" s="893">
        <f>+'1.Informe Seguimiento POA 2021'!Q91</f>
        <v>0.12</v>
      </c>
      <c r="T87" s="893">
        <f>+'1.Informe Seguimiento POA 2021'!R91</f>
        <v>0.12</v>
      </c>
      <c r="U87" s="893">
        <f>+'1.Informe Seguimiento POA 2021'!S91</f>
        <v>0.26</v>
      </c>
      <c r="V87" s="893">
        <f>+'1.Informe Seguimiento POA 2021'!T91</f>
        <v>0.26</v>
      </c>
      <c r="W87" s="893">
        <f>+'1.Informe Seguimiento POA 2021'!U91</f>
        <v>0.11</v>
      </c>
      <c r="X87" s="893">
        <f>+'1.Informe Seguimiento POA 2021'!V91</f>
        <v>0</v>
      </c>
      <c r="Y87" s="795">
        <f>+'1.Informe Seguimiento POA 2021'!W91</f>
        <v>1</v>
      </c>
      <c r="Z87" s="894">
        <f>+'1.Informe Seguimiento POA 2021'!X91</f>
        <v>0.89</v>
      </c>
      <c r="AA87" s="796">
        <f>+'1.Informe Seguimiento POA 2021'!Y91</f>
        <v>0.89</v>
      </c>
      <c r="AB87" s="796"/>
      <c r="AC87" s="796"/>
      <c r="AD87" s="796"/>
      <c r="AE87" s="796"/>
      <c r="AF87" s="796"/>
      <c r="AG87" s="796"/>
      <c r="AH87" s="796"/>
      <c r="AI87" s="796"/>
      <c r="AJ87" s="894">
        <f t="shared" si="41"/>
        <v>1</v>
      </c>
      <c r="AK87" s="894"/>
      <c r="AL87" s="898"/>
      <c r="AM87" s="898"/>
      <c r="AN87" s="898"/>
      <c r="AO87" s="898"/>
      <c r="AP87" s="898"/>
      <c r="AQ87" s="898"/>
      <c r="AR87" s="898"/>
      <c r="AS87" s="898"/>
      <c r="AT87" s="898"/>
      <c r="AU87" s="894">
        <f t="shared" si="42"/>
        <v>1</v>
      </c>
      <c r="AV87" s="894"/>
      <c r="AW87" s="898"/>
      <c r="AX87" s="898"/>
      <c r="AY87" s="898"/>
      <c r="AZ87" s="898"/>
      <c r="BA87" s="898"/>
      <c r="BB87" s="898"/>
      <c r="BC87" s="898"/>
      <c r="BD87" s="898"/>
      <c r="BE87" s="898"/>
      <c r="BF87" s="894">
        <f t="shared" si="43"/>
        <v>1</v>
      </c>
      <c r="BG87" s="894"/>
      <c r="BH87" s="898"/>
      <c r="BI87" s="894">
        <f t="shared" si="49"/>
        <v>0.89</v>
      </c>
      <c r="BJ87" s="894">
        <f t="shared" si="49"/>
        <v>0.89</v>
      </c>
      <c r="BK87" s="913">
        <f t="shared" si="12"/>
        <v>1</v>
      </c>
      <c r="BL87" s="814">
        <f t="shared" si="50"/>
        <v>0.2225</v>
      </c>
      <c r="BM87" s="796">
        <f t="shared" si="51"/>
        <v>0.11125</v>
      </c>
      <c r="BN87" s="1232"/>
      <c r="BO87" s="1156"/>
      <c r="BP87" s="923"/>
      <c r="BQ87" s="923"/>
    </row>
    <row r="88" spans="2:69" ht="56.25" customHeight="1">
      <c r="B88" s="1158"/>
      <c r="C88" s="1180"/>
      <c r="D88" s="1283"/>
      <c r="E88" s="1283"/>
      <c r="F88" s="1180"/>
      <c r="G88" s="1180"/>
      <c r="H88" s="790" t="str">
        <f>+'1.Informe Seguimiento POA 2021'!D92</f>
        <v>4.5.5 Desarrollar 4 estrategias de sensibilización acerca de la cultura del control.</v>
      </c>
      <c r="I88" s="152">
        <f>+'1.Informe Seguimiento POA 2021'!E92</f>
        <v>0.1</v>
      </c>
      <c r="J88" s="791">
        <f>+'1.Informe Seguimiento POA 2021'!F92</f>
        <v>4</v>
      </c>
      <c r="K88" s="792" t="str">
        <f>+'1.Informe Seguimiento POA 2021'!I92</f>
        <v>Evaluación y Seguimiento</v>
      </c>
      <c r="L88" s="793" t="str">
        <f>+'1.Informe Seguimiento POA 2021'!J92</f>
        <v>Oficina de Control Interno</v>
      </c>
      <c r="M88" s="816">
        <f>+'1.Informe Seguimiento POA 2021'!K92</f>
        <v>1</v>
      </c>
      <c r="N88" s="816">
        <f>+'1.Informe Seguimiento POA 2021'!L92</f>
        <v>1</v>
      </c>
      <c r="O88" s="816">
        <f>+'1.Informe Seguimiento POA 2021'!M92</f>
        <v>1</v>
      </c>
      <c r="P88" s="816">
        <f>+'1.Informe Seguimiento POA 2021'!N92</f>
        <v>1</v>
      </c>
      <c r="Q88" s="816">
        <f>+'1.Informe Seguimiento POA 2021'!O92</f>
        <v>0</v>
      </c>
      <c r="R88" s="816">
        <f>+'1.Informe Seguimiento POA 2021'!P92</f>
        <v>0</v>
      </c>
      <c r="S88" s="816">
        <f>+'1.Informe Seguimiento POA 2021'!Q92</f>
        <v>0</v>
      </c>
      <c r="T88" s="816">
        <f>+'1.Informe Seguimiento POA 2021'!R92</f>
        <v>0</v>
      </c>
      <c r="U88" s="816">
        <f>+'1.Informe Seguimiento POA 2021'!S92</f>
        <v>0</v>
      </c>
      <c r="V88" s="816">
        <f>+'1.Informe Seguimiento POA 2021'!T92</f>
        <v>0</v>
      </c>
      <c r="W88" s="816">
        <f>+'1.Informe Seguimiento POA 2021'!U92</f>
        <v>1</v>
      </c>
      <c r="X88" s="816">
        <f>+'1.Informe Seguimiento POA 2021'!V92</f>
        <v>0</v>
      </c>
      <c r="Y88" s="795">
        <f>+'1.Informe Seguimiento POA 2021'!W92</f>
        <v>1</v>
      </c>
      <c r="Z88" s="795">
        <f>+'1.Informe Seguimiento POA 2021'!X92</f>
        <v>0</v>
      </c>
      <c r="AA88" s="796">
        <f>+'1.Informe Seguimiento POA 2021'!Y92</f>
        <v>0</v>
      </c>
      <c r="AB88" s="796"/>
      <c r="AC88" s="796"/>
      <c r="AD88" s="796"/>
      <c r="AE88" s="796"/>
      <c r="AF88" s="796"/>
      <c r="AG88" s="796"/>
      <c r="AH88" s="796"/>
      <c r="AI88" s="796"/>
      <c r="AJ88" s="795">
        <f t="shared" si="41"/>
        <v>1</v>
      </c>
      <c r="AK88" s="795"/>
      <c r="AL88" s="796"/>
      <c r="AM88" s="796"/>
      <c r="AN88" s="796"/>
      <c r="AO88" s="796"/>
      <c r="AP88" s="796"/>
      <c r="AQ88" s="796"/>
      <c r="AR88" s="796"/>
      <c r="AS88" s="796"/>
      <c r="AT88" s="796"/>
      <c r="AU88" s="795">
        <f t="shared" si="42"/>
        <v>1</v>
      </c>
      <c r="AV88" s="795"/>
      <c r="AW88" s="796"/>
      <c r="AX88" s="796"/>
      <c r="AY88" s="796"/>
      <c r="AZ88" s="796"/>
      <c r="BA88" s="796"/>
      <c r="BB88" s="796"/>
      <c r="BC88" s="796"/>
      <c r="BD88" s="796"/>
      <c r="BE88" s="796"/>
      <c r="BF88" s="795">
        <f t="shared" si="43"/>
        <v>1</v>
      </c>
      <c r="BG88" s="795"/>
      <c r="BH88" s="796"/>
      <c r="BI88" s="795">
        <f t="shared" si="49"/>
        <v>0</v>
      </c>
      <c r="BJ88" s="795">
        <f t="shared" si="49"/>
        <v>0</v>
      </c>
      <c r="BK88" s="913" t="str">
        <f t="shared" si="12"/>
        <v>No programado</v>
      </c>
      <c r="BL88" s="814">
        <f t="shared" si="50"/>
        <v>0</v>
      </c>
      <c r="BM88" s="796">
        <f t="shared" si="51"/>
        <v>0</v>
      </c>
      <c r="BN88" s="1232"/>
      <c r="BO88" s="1156"/>
      <c r="BP88" s="923"/>
      <c r="BQ88" s="923"/>
    </row>
    <row r="89" spans="2:69" ht="61.5" customHeight="1">
      <c r="B89" s="1158"/>
      <c r="C89" s="1234"/>
      <c r="D89" s="1284"/>
      <c r="E89" s="1284"/>
      <c r="F89" s="1181"/>
      <c r="G89" s="1181"/>
      <c r="H89" s="790" t="str">
        <f>+'1.Informe Seguimiento POA 2021'!D93</f>
        <v>4.5.6 Realizar 4 jornadas de sensibilización a Directivos y Referentes de proceso sobre la Séptima Dimensión.</v>
      </c>
      <c r="I89" s="152">
        <f>+'1.Informe Seguimiento POA 2021'!E93</f>
        <v>0.1</v>
      </c>
      <c r="J89" s="791">
        <f>+'1.Informe Seguimiento POA 2021'!F93</f>
        <v>4</v>
      </c>
      <c r="K89" s="792" t="str">
        <f>+'1.Informe Seguimiento POA 2021'!I93</f>
        <v>Evaluación y Seguimiento</v>
      </c>
      <c r="L89" s="793" t="str">
        <f>+'1.Informe Seguimiento POA 2021'!J93</f>
        <v>Oficina de Control Interno</v>
      </c>
      <c r="M89" s="816">
        <f>+'1.Informe Seguimiento POA 2021'!K93</f>
        <v>1</v>
      </c>
      <c r="N89" s="816">
        <f>+'1.Informe Seguimiento POA 2021'!L93</f>
        <v>1</v>
      </c>
      <c r="O89" s="816">
        <f>+'1.Informe Seguimiento POA 2021'!M93</f>
        <v>1</v>
      </c>
      <c r="P89" s="816">
        <f>+'1.Informe Seguimiento POA 2021'!N93</f>
        <v>1</v>
      </c>
      <c r="Q89" s="816">
        <f>+'1.Informe Seguimiento POA 2021'!O93</f>
        <v>0</v>
      </c>
      <c r="R89" s="816">
        <f>+'1.Informe Seguimiento POA 2021'!P93</f>
        <v>0</v>
      </c>
      <c r="S89" s="816">
        <f>+'1.Informe Seguimiento POA 2021'!Q93</f>
        <v>0</v>
      </c>
      <c r="T89" s="816">
        <f>+'1.Informe Seguimiento POA 2021'!R93</f>
        <v>0</v>
      </c>
      <c r="U89" s="816">
        <f>+'1.Informe Seguimiento POA 2021'!S93</f>
        <v>0</v>
      </c>
      <c r="V89" s="816">
        <f>+'1.Informe Seguimiento POA 2021'!T93</f>
        <v>0</v>
      </c>
      <c r="W89" s="816">
        <f>+'1.Informe Seguimiento POA 2021'!U93</f>
        <v>1</v>
      </c>
      <c r="X89" s="816">
        <f>+'1.Informe Seguimiento POA 2021'!V93</f>
        <v>0</v>
      </c>
      <c r="Y89" s="795">
        <f>+'1.Informe Seguimiento POA 2021'!W93</f>
        <v>1</v>
      </c>
      <c r="Z89" s="795">
        <f>+'1.Informe Seguimiento POA 2021'!X93</f>
        <v>0</v>
      </c>
      <c r="AA89" s="796">
        <f>+'1.Informe Seguimiento POA 2021'!Y93</f>
        <v>0</v>
      </c>
      <c r="AB89" s="796"/>
      <c r="AC89" s="796"/>
      <c r="AD89" s="796"/>
      <c r="AE89" s="796"/>
      <c r="AF89" s="796"/>
      <c r="AG89" s="796"/>
      <c r="AH89" s="796"/>
      <c r="AI89" s="796"/>
      <c r="AJ89" s="795">
        <f>+N89</f>
        <v>1</v>
      </c>
      <c r="AK89" s="795"/>
      <c r="AL89" s="796"/>
      <c r="AM89" s="796"/>
      <c r="AN89" s="796"/>
      <c r="AO89" s="796"/>
      <c r="AP89" s="796"/>
      <c r="AQ89" s="796"/>
      <c r="AR89" s="796"/>
      <c r="AS89" s="796"/>
      <c r="AT89" s="796"/>
      <c r="AU89" s="795">
        <f>+O89</f>
        <v>1</v>
      </c>
      <c r="AV89" s="795"/>
      <c r="AW89" s="796"/>
      <c r="AX89" s="796"/>
      <c r="AY89" s="796"/>
      <c r="AZ89" s="796"/>
      <c r="BA89" s="796"/>
      <c r="BB89" s="796"/>
      <c r="BC89" s="796"/>
      <c r="BD89" s="796"/>
      <c r="BE89" s="796"/>
      <c r="BF89" s="795">
        <f>+P89</f>
        <v>1</v>
      </c>
      <c r="BG89" s="795"/>
      <c r="BH89" s="796"/>
      <c r="BI89" s="795">
        <f t="shared" si="49"/>
        <v>0</v>
      </c>
      <c r="BJ89" s="795">
        <f t="shared" si="49"/>
        <v>0</v>
      </c>
      <c r="BK89" s="913" t="str">
        <f t="shared" si="12"/>
        <v>No programado</v>
      </c>
      <c r="BL89" s="814">
        <f t="shared" si="50"/>
        <v>0</v>
      </c>
      <c r="BM89" s="796">
        <f t="shared" si="51"/>
        <v>0</v>
      </c>
      <c r="BN89" s="1233"/>
      <c r="BO89" s="1156"/>
      <c r="BP89" s="923"/>
      <c r="BQ89" s="923"/>
    </row>
    <row r="90" spans="2:69" ht="60" customHeight="1">
      <c r="B90" s="1158"/>
      <c r="C90" s="1229" t="str">
        <f>+'Matriz PEI 2021-2024'!C25</f>
        <v>4.6. Desarrollar el 100% de las estrategias de comunicación organizacional y de medios que contribuyan al logro de los objetivos institucionales y al posicionamiento de la Entidad.</v>
      </c>
      <c r="D90" s="1290">
        <f>+'Matriz PEI 2021-2024'!E25</f>
        <v>1</v>
      </c>
      <c r="E90" s="1290">
        <f>+'Matriz PEI 2021-2024'!D25</f>
        <v>0.14000000000000001</v>
      </c>
      <c r="F90" s="1229" t="s">
        <v>1027</v>
      </c>
      <c r="G90" s="1229" t="s">
        <v>1028</v>
      </c>
      <c r="H90" s="820" t="str">
        <f>+'1.Informe Seguimiento POA 2021'!D94</f>
        <v>4.6.1  Desarrollar el 100% de los productos para comunicación y divulgación externa que promuevan y difundan la gestión institucional</v>
      </c>
      <c r="I90" s="789">
        <f>+'1.Informe Seguimiento POA 2021'!E94</f>
        <v>0.5</v>
      </c>
      <c r="J90" s="880">
        <f>+'1.Informe Seguimiento POA 2021'!F94</f>
        <v>1</v>
      </c>
      <c r="K90" s="885" t="str">
        <f>+'1.Informe Seguimiento POA 2021'!I94</f>
        <v>Comunicación Estratégica</v>
      </c>
      <c r="L90" s="885" t="str">
        <f>+'1.Informe Seguimiento POA 2021'!J94</f>
        <v>Oficina Asesora de Comunicaciones</v>
      </c>
      <c r="M90" s="806">
        <f>+'1.Informe Seguimiento POA 2021'!K94</f>
        <v>1</v>
      </c>
      <c r="N90" s="806">
        <f>+'1.Informe Seguimiento POA 2021'!L94</f>
        <v>1</v>
      </c>
      <c r="O90" s="806">
        <f>+'1.Informe Seguimiento POA 2021'!M94</f>
        <v>1</v>
      </c>
      <c r="P90" s="806">
        <f>+'1.Informe Seguimiento POA 2021'!N94</f>
        <v>1</v>
      </c>
      <c r="Q90" s="887">
        <f>+'1.Informe Seguimiento POA 2021'!O94</f>
        <v>1</v>
      </c>
      <c r="R90" s="887">
        <f>+'1.Informe Seguimiento POA 2021'!P94</f>
        <v>1</v>
      </c>
      <c r="S90" s="887">
        <f>+'1.Informe Seguimiento POA 2021'!Q94</f>
        <v>1</v>
      </c>
      <c r="T90" s="887">
        <f>+'1.Informe Seguimiento POA 2021'!R94</f>
        <v>1</v>
      </c>
      <c r="U90" s="887">
        <f>+'1.Informe Seguimiento POA 2021'!S94</f>
        <v>1</v>
      </c>
      <c r="V90" s="887">
        <f>+'1.Informe Seguimiento POA 2021'!T94</f>
        <v>1</v>
      </c>
      <c r="W90" s="887">
        <f>+'1.Informe Seguimiento POA 2021'!U94</f>
        <v>1</v>
      </c>
      <c r="X90" s="887">
        <f>+'1.Informe Seguimiento POA 2021'!V94</f>
        <v>0</v>
      </c>
      <c r="Y90" s="788">
        <f>+'1.Informe Seguimiento POA 2021'!W94</f>
        <v>1</v>
      </c>
      <c r="Z90" s="788">
        <f>+'1.Informe Seguimiento POA 2021'!X94</f>
        <v>1</v>
      </c>
      <c r="AA90" s="788">
        <f>+'1.Informe Seguimiento POA 2021'!Y94</f>
        <v>0.75</v>
      </c>
      <c r="AB90" s="785"/>
      <c r="AC90" s="785"/>
      <c r="AD90" s="785"/>
      <c r="AE90" s="785"/>
      <c r="AF90" s="785"/>
      <c r="AG90" s="785"/>
      <c r="AH90" s="785"/>
      <c r="AI90" s="785"/>
      <c r="AJ90" s="880">
        <f t="shared" ref="AJ90:AJ91" si="52">+N90</f>
        <v>1</v>
      </c>
      <c r="AK90" s="880"/>
      <c r="AL90" s="896"/>
      <c r="AM90" s="896"/>
      <c r="AN90" s="896"/>
      <c r="AO90" s="896"/>
      <c r="AP90" s="896"/>
      <c r="AQ90" s="896"/>
      <c r="AR90" s="896"/>
      <c r="AS90" s="896"/>
      <c r="AT90" s="896"/>
      <c r="AU90" s="880">
        <f t="shared" ref="AU90:AU91" si="53">+O90</f>
        <v>1</v>
      </c>
      <c r="AV90" s="880"/>
      <c r="AW90" s="896"/>
      <c r="AX90" s="896"/>
      <c r="AY90" s="896"/>
      <c r="AZ90" s="896"/>
      <c r="BA90" s="896"/>
      <c r="BB90" s="896"/>
      <c r="BC90" s="896"/>
      <c r="BD90" s="896"/>
      <c r="BE90" s="896"/>
      <c r="BF90" s="880">
        <f t="shared" ref="BF90:BF91" si="54">+P90</f>
        <v>1</v>
      </c>
      <c r="BG90" s="880"/>
      <c r="BH90" s="896"/>
      <c r="BI90" s="787">
        <f t="shared" ref="BI90:BJ91" si="55">IFERROR(AVERAGE(Q90,S90,U90),0)</f>
        <v>1</v>
      </c>
      <c r="BJ90" s="787">
        <f t="shared" si="55"/>
        <v>1</v>
      </c>
      <c r="BK90" s="785">
        <f t="shared" si="12"/>
        <v>1</v>
      </c>
      <c r="BL90" s="785">
        <f t="shared" ref="BL90:BL91" si="56">(IF(AND(BJ90&gt;0,$J90&gt;0),BJ90/$J90,0)/4)*0.5</f>
        <v>0.125</v>
      </c>
      <c r="BM90" s="786">
        <f t="shared" si="51"/>
        <v>6.25E-2</v>
      </c>
      <c r="BN90" s="1292">
        <f>SUM(BM90:BM91)</f>
        <v>0.125</v>
      </c>
      <c r="BO90" s="1156"/>
      <c r="BP90" s="924"/>
      <c r="BQ90" s="924"/>
    </row>
    <row r="91" spans="2:69" ht="69.75" customHeight="1">
      <c r="B91" s="1158"/>
      <c r="C91" s="1272"/>
      <c r="D91" s="1291"/>
      <c r="E91" s="1291"/>
      <c r="F91" s="1230"/>
      <c r="G91" s="1230"/>
      <c r="H91" s="820" t="str">
        <f>+'1.Informe Seguimiento POA 2021'!D95</f>
        <v>4.6.2 Desarrollar el 100% de los productos para comunicación y divulgación interna que contribuyan a la consecución de objetivos institucionales</v>
      </c>
      <c r="I91" s="819">
        <f>+'1.Informe Seguimiento POA 2021'!E95</f>
        <v>0.5</v>
      </c>
      <c r="J91" s="880">
        <f>+'1.Informe Seguimiento POA 2021'!F95</f>
        <v>1</v>
      </c>
      <c r="K91" s="885" t="str">
        <f>+'1.Informe Seguimiento POA 2021'!I95</f>
        <v>Comunicación Estratégica</v>
      </c>
      <c r="L91" s="885" t="str">
        <f>+'1.Informe Seguimiento POA 2021'!J95</f>
        <v>Oficina Asesora de Comunicaciones</v>
      </c>
      <c r="M91" s="806">
        <f>+'1.Informe Seguimiento POA 2021'!K95</f>
        <v>1</v>
      </c>
      <c r="N91" s="806">
        <f>+'1.Informe Seguimiento POA 2021'!L95</f>
        <v>1</v>
      </c>
      <c r="O91" s="806">
        <f>+'1.Informe Seguimiento POA 2021'!M95</f>
        <v>1</v>
      </c>
      <c r="P91" s="806">
        <f>+'1.Informe Seguimiento POA 2021'!N95</f>
        <v>1</v>
      </c>
      <c r="Q91" s="887">
        <f>+'1.Informe Seguimiento POA 2021'!O95</f>
        <v>1</v>
      </c>
      <c r="R91" s="887">
        <f>+'1.Informe Seguimiento POA 2021'!P95</f>
        <v>1</v>
      </c>
      <c r="S91" s="887">
        <f>+'1.Informe Seguimiento POA 2021'!Q95</f>
        <v>1</v>
      </c>
      <c r="T91" s="887">
        <f>+'1.Informe Seguimiento POA 2021'!R95</f>
        <v>1</v>
      </c>
      <c r="U91" s="887">
        <f>+'1.Informe Seguimiento POA 2021'!S95</f>
        <v>1</v>
      </c>
      <c r="V91" s="887">
        <f>+'1.Informe Seguimiento POA 2021'!T95</f>
        <v>1</v>
      </c>
      <c r="W91" s="887">
        <f>+'1.Informe Seguimiento POA 2021'!U95</f>
        <v>1</v>
      </c>
      <c r="X91" s="887">
        <f>+'1.Informe Seguimiento POA 2021'!V95</f>
        <v>0</v>
      </c>
      <c r="Y91" s="788">
        <f>+'1.Informe Seguimiento POA 2021'!W95</f>
        <v>1</v>
      </c>
      <c r="Z91" s="788">
        <f>+'1.Informe Seguimiento POA 2021'!X95</f>
        <v>1</v>
      </c>
      <c r="AA91" s="788">
        <f>+'1.Informe Seguimiento POA 2021'!Y95</f>
        <v>0.75</v>
      </c>
      <c r="AB91" s="785"/>
      <c r="AC91" s="785"/>
      <c r="AD91" s="785"/>
      <c r="AE91" s="785"/>
      <c r="AF91" s="785"/>
      <c r="AG91" s="785"/>
      <c r="AH91" s="785"/>
      <c r="AI91" s="785"/>
      <c r="AJ91" s="880">
        <f t="shared" si="52"/>
        <v>1</v>
      </c>
      <c r="AK91" s="880"/>
      <c r="AL91" s="896"/>
      <c r="AM91" s="896"/>
      <c r="AN91" s="896"/>
      <c r="AO91" s="896"/>
      <c r="AP91" s="896"/>
      <c r="AQ91" s="896"/>
      <c r="AR91" s="896"/>
      <c r="AS91" s="896"/>
      <c r="AT91" s="896"/>
      <c r="AU91" s="880">
        <f t="shared" si="53"/>
        <v>1</v>
      </c>
      <c r="AV91" s="880"/>
      <c r="AW91" s="896"/>
      <c r="AX91" s="896"/>
      <c r="AY91" s="896"/>
      <c r="AZ91" s="896"/>
      <c r="BA91" s="896"/>
      <c r="BB91" s="896"/>
      <c r="BC91" s="896"/>
      <c r="BD91" s="896"/>
      <c r="BE91" s="896"/>
      <c r="BF91" s="880">
        <f t="shared" si="54"/>
        <v>1</v>
      </c>
      <c r="BG91" s="880"/>
      <c r="BH91" s="896"/>
      <c r="BI91" s="787">
        <f t="shared" si="55"/>
        <v>1</v>
      </c>
      <c r="BJ91" s="787">
        <f t="shared" si="55"/>
        <v>1</v>
      </c>
      <c r="BK91" s="785">
        <f t="shared" si="12"/>
        <v>1</v>
      </c>
      <c r="BL91" s="785">
        <f t="shared" si="56"/>
        <v>0.125</v>
      </c>
      <c r="BM91" s="786">
        <f t="shared" si="51"/>
        <v>6.25E-2</v>
      </c>
      <c r="BN91" s="1293"/>
      <c r="BO91" s="1156"/>
      <c r="BP91" s="925"/>
      <c r="BQ91" s="925"/>
    </row>
    <row r="92" spans="2:69" ht="114" customHeight="1">
      <c r="B92" s="1159"/>
      <c r="C92" s="821" t="str">
        <f>+'Matriz PEI 2021-2024'!C26</f>
        <v>4.7. Articular el 100% de las acciones de trabajo interinstitucional y cooperación nacional e internacional que permita aunar esfuerzos para el cumplimiento de la misión institucional.</v>
      </c>
      <c r="D92" s="822">
        <f>+'Matriz PEI 2021-2024'!E26</f>
        <v>1</v>
      </c>
      <c r="E92" s="822">
        <f>+'Matriz PEI 2021-2024'!D26</f>
        <v>0.14000000000000001</v>
      </c>
      <c r="F92" s="821" t="s">
        <v>1029</v>
      </c>
      <c r="G92" s="821" t="s">
        <v>1030</v>
      </c>
      <c r="H92" s="790" t="str">
        <f>+'1.Informe Seguimiento POA 2021'!D96</f>
        <v>4.7.1 Gestionar 3 acuerdos interinstitucionales o de cooperación nacional y/o internacional para garantizar el enfoque social, en el marco de un estado pluralista, para el fortalecimiento de la prestación del servicio al usuario</v>
      </c>
      <c r="I92" s="152">
        <f>+'1.Informe Seguimiento POA 2021'!E96</f>
        <v>1</v>
      </c>
      <c r="J92" s="791">
        <f>+'1.Informe Seguimiento POA 2021'!F96</f>
        <v>3</v>
      </c>
      <c r="K92" s="792" t="str">
        <f>+'1.Informe Seguimiento POA 2021'!I96</f>
        <v>Servicio al Usuario</v>
      </c>
      <c r="L92" s="793" t="str">
        <f>+'1.Informe Seguimiento POA 2021'!J96</f>
        <v>Secretaría General</v>
      </c>
      <c r="M92" s="816">
        <f>+'1.Informe Seguimiento POA 2021'!K96</f>
        <v>1</v>
      </c>
      <c r="N92" s="816">
        <f>+'1.Informe Seguimiento POA 2021'!L96</f>
        <v>1</v>
      </c>
      <c r="O92" s="816">
        <f>+'1.Informe Seguimiento POA 2021'!M96</f>
        <v>1</v>
      </c>
      <c r="P92" s="816">
        <f>+'1.Informe Seguimiento POA 2021'!N96</f>
        <v>0</v>
      </c>
      <c r="Q92" s="816">
        <f>+'1.Informe Seguimiento POA 2021'!O96</f>
        <v>0</v>
      </c>
      <c r="R92" s="816">
        <f>+'1.Informe Seguimiento POA 2021'!P96</f>
        <v>0</v>
      </c>
      <c r="S92" s="816">
        <f>+'1.Informe Seguimiento POA 2021'!Q96</f>
        <v>0</v>
      </c>
      <c r="T92" s="816">
        <f>+'1.Informe Seguimiento POA 2021'!R96</f>
        <v>0</v>
      </c>
      <c r="U92" s="816">
        <f>+'1.Informe Seguimiento POA 2021'!S96</f>
        <v>0</v>
      </c>
      <c r="V92" s="816">
        <f>+'1.Informe Seguimiento POA 2021'!T96</f>
        <v>0</v>
      </c>
      <c r="W92" s="816">
        <f>+'1.Informe Seguimiento POA 2021'!U96</f>
        <v>1</v>
      </c>
      <c r="X92" s="816">
        <f>+'1.Informe Seguimiento POA 2021'!V96</f>
        <v>0</v>
      </c>
      <c r="Y92" s="795">
        <f>+'1.Informe Seguimiento POA 2021'!W96</f>
        <v>1</v>
      </c>
      <c r="Z92" s="795">
        <f>+'1.Informe Seguimiento POA 2021'!X96</f>
        <v>0</v>
      </c>
      <c r="AA92" s="796">
        <f>+'1.Informe Seguimiento POA 2021'!Y96</f>
        <v>0</v>
      </c>
      <c r="AB92" s="796"/>
      <c r="AC92" s="796"/>
      <c r="AD92" s="796"/>
      <c r="AE92" s="796"/>
      <c r="AF92" s="796"/>
      <c r="AG92" s="796"/>
      <c r="AH92" s="796"/>
      <c r="AI92" s="796"/>
      <c r="AJ92" s="795">
        <f>+N92</f>
        <v>1</v>
      </c>
      <c r="AK92" s="795"/>
      <c r="AL92" s="796"/>
      <c r="AM92" s="796"/>
      <c r="AN92" s="796"/>
      <c r="AO92" s="796"/>
      <c r="AP92" s="796"/>
      <c r="AQ92" s="796"/>
      <c r="AR92" s="796"/>
      <c r="AS92" s="796"/>
      <c r="AT92" s="796"/>
      <c r="AU92" s="795">
        <f>+O92</f>
        <v>1</v>
      </c>
      <c r="AV92" s="795"/>
      <c r="AW92" s="796"/>
      <c r="AX92" s="796"/>
      <c r="AY92" s="796"/>
      <c r="AZ92" s="796"/>
      <c r="BA92" s="796"/>
      <c r="BB92" s="796"/>
      <c r="BC92" s="796"/>
      <c r="BD92" s="796"/>
      <c r="BE92" s="796"/>
      <c r="BF92" s="795">
        <f>+P92</f>
        <v>0</v>
      </c>
      <c r="BG92" s="795"/>
      <c r="BH92" s="796"/>
      <c r="BI92" s="795">
        <f>+Q92+S92+U92</f>
        <v>0</v>
      </c>
      <c r="BJ92" s="795">
        <f>+R92+T92+V92</f>
        <v>0</v>
      </c>
      <c r="BK92" s="913" t="str">
        <f t="shared" si="12"/>
        <v>No programado</v>
      </c>
      <c r="BL92" s="796">
        <f t="shared" ref="BL92:BL95" si="57">IF(AND(Z92&gt;0,$J92&gt;0),Z92/$J92,0)</f>
        <v>0</v>
      </c>
      <c r="BM92" s="796">
        <f t="shared" si="51"/>
        <v>0</v>
      </c>
      <c r="BN92" s="917">
        <f>+BM92</f>
        <v>0</v>
      </c>
      <c r="BO92" s="1157"/>
      <c r="BP92" s="924"/>
      <c r="BQ92" s="924"/>
    </row>
    <row r="93" spans="2:69" ht="93.75" customHeight="1">
      <c r="B93" s="1138" t="str">
        <f>+'Matriz PEI 2021-2024'!B27</f>
        <v xml:space="preserve">5. Incorporar una cultura del conocimiento y la innovación a través de actividades que permitan el desarrollo de ideas, lecciones aprendidas e investigaciones para mejorar los resultados de la gestión institucional. </v>
      </c>
      <c r="C93" s="823" t="str">
        <f>+'Matriz PEI 2021-2024'!C27</f>
        <v>5.1 Generar el 100% de productos de nuevo conocimiento o transformar los existentes, alineados con proyectos resultados de la investigación, desarrollo e innovación (I+D+I) en la Entidad.</v>
      </c>
      <c r="D93" s="824">
        <f>+'Matriz PEI 2021-2024'!E27</f>
        <v>1</v>
      </c>
      <c r="E93" s="824">
        <f>+'Matriz PEI 2021-2024'!D27</f>
        <v>0.4</v>
      </c>
      <c r="F93" s="881" t="s">
        <v>1062</v>
      </c>
      <c r="G93" s="823" t="s">
        <v>1031</v>
      </c>
      <c r="H93" s="820" t="str">
        <f>+'1.Informe Seguimiento POA 2021'!D97</f>
        <v xml:space="preserve">5.1.1 Elaborar cuatro (4) proyectos de investigación, desarrollo e innovación I+D+I para la Entidad </v>
      </c>
      <c r="I93" s="819">
        <f>+'1.Informe Seguimiento POA 2021'!E97</f>
        <v>1</v>
      </c>
      <c r="J93" s="782">
        <f>+'1.Informe Seguimiento POA 2021'!F97</f>
        <v>4</v>
      </c>
      <c r="K93" s="885" t="str">
        <f>+'1.Informe Seguimiento POA 2021'!I97</f>
        <v xml:space="preserve">Gestión del Conocimiento e Innovación </v>
      </c>
      <c r="L93" s="885" t="str">
        <f>+'1.Informe Seguimiento POA 2021'!J97</f>
        <v xml:space="preserve">Dirección de Gestión del Conocimiento e Innovación </v>
      </c>
      <c r="M93" s="809">
        <f>+'1.Informe Seguimiento POA 2021'!K97</f>
        <v>1</v>
      </c>
      <c r="N93" s="809">
        <f>+'1.Informe Seguimiento POA 2021'!L97</f>
        <v>1</v>
      </c>
      <c r="O93" s="809">
        <f>+'1.Informe Seguimiento POA 2021'!M97</f>
        <v>1</v>
      </c>
      <c r="P93" s="809">
        <f>+'1.Informe Seguimiento POA 2021'!N97</f>
        <v>1</v>
      </c>
      <c r="Q93" s="783">
        <f>+'1.Informe Seguimiento POA 2021'!O97</f>
        <v>0</v>
      </c>
      <c r="R93" s="783">
        <f>+'1.Informe Seguimiento POA 2021'!P97</f>
        <v>0</v>
      </c>
      <c r="S93" s="783">
        <f>+'1.Informe Seguimiento POA 2021'!Q97</f>
        <v>0</v>
      </c>
      <c r="T93" s="783">
        <f>+'1.Informe Seguimiento POA 2021'!R97</f>
        <v>0</v>
      </c>
      <c r="U93" s="783">
        <f>+'1.Informe Seguimiento POA 2021'!S97</f>
        <v>0</v>
      </c>
      <c r="V93" s="783">
        <f>+'1.Informe Seguimiento POA 2021'!T97</f>
        <v>0</v>
      </c>
      <c r="W93" s="783">
        <f>+'1.Informe Seguimiento POA 2021'!U97</f>
        <v>1</v>
      </c>
      <c r="X93" s="783">
        <f>+'1.Informe Seguimiento POA 2021'!V97</f>
        <v>0</v>
      </c>
      <c r="Y93" s="809">
        <f>+'1.Informe Seguimiento POA 2021'!W97</f>
        <v>1</v>
      </c>
      <c r="Z93" s="809">
        <f>+'1.Informe Seguimiento POA 2021'!X97</f>
        <v>0</v>
      </c>
      <c r="AA93" s="818">
        <f>+'1.Informe Seguimiento POA 2021'!Y97</f>
        <v>0</v>
      </c>
      <c r="AB93" s="825"/>
      <c r="AC93" s="825"/>
      <c r="AD93" s="825"/>
      <c r="AE93" s="825"/>
      <c r="AF93" s="825"/>
      <c r="AG93" s="825"/>
      <c r="AH93" s="825"/>
      <c r="AI93" s="825"/>
      <c r="AJ93" s="809">
        <f t="shared" ref="AJ93:AJ95" si="58">+N93</f>
        <v>1</v>
      </c>
      <c r="AK93" s="809"/>
      <c r="AL93" s="896"/>
      <c r="AM93" s="896"/>
      <c r="AN93" s="896"/>
      <c r="AO93" s="896"/>
      <c r="AP93" s="896"/>
      <c r="AQ93" s="896"/>
      <c r="AR93" s="896"/>
      <c r="AS93" s="896"/>
      <c r="AT93" s="896"/>
      <c r="AU93" s="809">
        <f t="shared" ref="AU93:AU95" si="59">+O93</f>
        <v>1</v>
      </c>
      <c r="AV93" s="809"/>
      <c r="AW93" s="896"/>
      <c r="AX93" s="896"/>
      <c r="AY93" s="896"/>
      <c r="AZ93" s="896"/>
      <c r="BA93" s="896"/>
      <c r="BB93" s="896"/>
      <c r="BC93" s="896"/>
      <c r="BD93" s="896"/>
      <c r="BE93" s="896"/>
      <c r="BF93" s="809">
        <f t="shared" ref="BF93:BF95" si="60">+P93</f>
        <v>1</v>
      </c>
      <c r="BG93" s="809"/>
      <c r="BH93" s="896"/>
      <c r="BI93" s="899">
        <f>+Q93+S93+U93</f>
        <v>0</v>
      </c>
      <c r="BJ93" s="899">
        <f>+R93+T93+V93</f>
        <v>0</v>
      </c>
      <c r="BK93" s="785" t="str">
        <f t="shared" si="12"/>
        <v>No programado</v>
      </c>
      <c r="BL93" s="785">
        <f t="shared" si="57"/>
        <v>0</v>
      </c>
      <c r="BM93" s="825">
        <f t="shared" si="51"/>
        <v>0</v>
      </c>
      <c r="BN93" s="918">
        <f>+BM93</f>
        <v>0</v>
      </c>
      <c r="BO93" s="1176">
        <f>(IF(AND(BN93&gt;0,E93&gt;0),BN93*E93))+(IF(AND(BN94&gt;0,E94&gt;0),BN94*E94))+(IF(AND(BN95&gt;0,E95&gt;0),BN95*E95))</f>
        <v>0.1275</v>
      </c>
      <c r="BP93" s="926"/>
      <c r="BQ93" s="926"/>
    </row>
    <row r="94" spans="2:69" ht="102" customHeight="1">
      <c r="B94" s="1139"/>
      <c r="C94" s="826" t="str">
        <f>+'Matriz PEI 2021-2024'!C28</f>
        <v>5.2 Formular el 100% de herramientas y acciones que permitan categorizar, preservar y utilizar el conocimiento para la toma de decisiones y compartir fácilmente los datos y la información de la Entidad.</v>
      </c>
      <c r="D94" s="824">
        <f>+'Matriz PEI 2021-2024'!E28</f>
        <v>1</v>
      </c>
      <c r="E94" s="824">
        <f>+'Matriz PEI 2021-2024'!D28</f>
        <v>0.3</v>
      </c>
      <c r="F94" s="881" t="s">
        <v>1032</v>
      </c>
      <c r="G94" s="826" t="s">
        <v>1033</v>
      </c>
      <c r="H94" s="820" t="str">
        <f>+'1.Informe Seguimiento POA 2021'!D98</f>
        <v xml:space="preserve">5.2.1 Construir ocho (8) informes de investigación e innovación que reflejen la analítica institucional </v>
      </c>
      <c r="I94" s="819">
        <f>+'1.Informe Seguimiento POA 2021'!E98</f>
        <v>1</v>
      </c>
      <c r="J94" s="782">
        <f>+'1.Informe Seguimiento POA 2021'!F98</f>
        <v>8</v>
      </c>
      <c r="K94" s="885" t="str">
        <f>+'1.Informe Seguimiento POA 2021'!I98</f>
        <v xml:space="preserve">Gestión del Conocimiento e Innovación </v>
      </c>
      <c r="L94" s="885" t="str">
        <f>+'1.Informe Seguimiento POA 2021'!J98</f>
        <v xml:space="preserve">Dirección de Gestión del Conocimiento e Innovación </v>
      </c>
      <c r="M94" s="809">
        <f>+'1.Informe Seguimiento POA 2021'!K98</f>
        <v>2</v>
      </c>
      <c r="N94" s="809">
        <f>+'1.Informe Seguimiento POA 2021'!L98</f>
        <v>2</v>
      </c>
      <c r="O94" s="809">
        <f>+'1.Informe Seguimiento POA 2021'!M98</f>
        <v>3</v>
      </c>
      <c r="P94" s="809">
        <f>+'1.Informe Seguimiento POA 2021'!N98</f>
        <v>1</v>
      </c>
      <c r="Q94" s="783">
        <f>+'1.Informe Seguimiento POA 2021'!O98</f>
        <v>0</v>
      </c>
      <c r="R94" s="783">
        <f>+'1.Informe Seguimiento POA 2021'!P98</f>
        <v>0</v>
      </c>
      <c r="S94" s="783">
        <f>+'1.Informe Seguimiento POA 2021'!Q98</f>
        <v>1</v>
      </c>
      <c r="T94" s="783">
        <f>+'1.Informe Seguimiento POA 2021'!R98</f>
        <v>1</v>
      </c>
      <c r="U94" s="783">
        <f>+'1.Informe Seguimiento POA 2021'!S98</f>
        <v>0</v>
      </c>
      <c r="V94" s="783">
        <f>+'1.Informe Seguimiento POA 2021'!T98</f>
        <v>0</v>
      </c>
      <c r="W94" s="783">
        <f>+'1.Informe Seguimiento POA 2021'!U98</f>
        <v>1</v>
      </c>
      <c r="X94" s="783">
        <f>+'1.Informe Seguimiento POA 2021'!V98</f>
        <v>0</v>
      </c>
      <c r="Y94" s="809">
        <f>+'1.Informe Seguimiento POA 2021'!W98</f>
        <v>2</v>
      </c>
      <c r="Z94" s="809">
        <f>+'1.Informe Seguimiento POA 2021'!X98</f>
        <v>1</v>
      </c>
      <c r="AA94" s="818">
        <f>+'1.Informe Seguimiento POA 2021'!Y98</f>
        <v>0.5</v>
      </c>
      <c r="AB94" s="825"/>
      <c r="AC94" s="825"/>
      <c r="AD94" s="825"/>
      <c r="AE94" s="825"/>
      <c r="AF94" s="825"/>
      <c r="AG94" s="825"/>
      <c r="AH94" s="825"/>
      <c r="AI94" s="825"/>
      <c r="AJ94" s="809">
        <f t="shared" si="58"/>
        <v>2</v>
      </c>
      <c r="AK94" s="809"/>
      <c r="AL94" s="896"/>
      <c r="AM94" s="896"/>
      <c r="AN94" s="896"/>
      <c r="AO94" s="896"/>
      <c r="AP94" s="896"/>
      <c r="AQ94" s="896"/>
      <c r="AR94" s="896"/>
      <c r="AS94" s="896"/>
      <c r="AT94" s="896"/>
      <c r="AU94" s="809">
        <f t="shared" si="59"/>
        <v>3</v>
      </c>
      <c r="AV94" s="809"/>
      <c r="AW94" s="896"/>
      <c r="AX94" s="896"/>
      <c r="AY94" s="896"/>
      <c r="AZ94" s="896"/>
      <c r="BA94" s="896"/>
      <c r="BB94" s="896"/>
      <c r="BC94" s="896"/>
      <c r="BD94" s="896"/>
      <c r="BE94" s="896"/>
      <c r="BF94" s="809">
        <f t="shared" si="60"/>
        <v>1</v>
      </c>
      <c r="BG94" s="809"/>
      <c r="BH94" s="896"/>
      <c r="BI94" s="899">
        <f t="shared" ref="BI94:BJ95" si="61">+Q94+S94+U94</f>
        <v>1</v>
      </c>
      <c r="BJ94" s="899">
        <f t="shared" si="61"/>
        <v>1</v>
      </c>
      <c r="BK94" s="785">
        <f t="shared" ref="BK94:BK95" si="62">IF(AND(BI94&gt;0),BJ94/BI94,"No programado")</f>
        <v>1</v>
      </c>
      <c r="BL94" s="785">
        <f t="shared" si="57"/>
        <v>0.125</v>
      </c>
      <c r="BM94" s="825">
        <f t="shared" si="51"/>
        <v>0.125</v>
      </c>
      <c r="BN94" s="918">
        <f>+BM94</f>
        <v>0.125</v>
      </c>
      <c r="BO94" s="1177"/>
      <c r="BP94" s="926"/>
      <c r="BQ94" s="926"/>
    </row>
    <row r="95" spans="2:69" ht="124.5" customHeight="1" thickBot="1">
      <c r="B95" s="1140"/>
      <c r="C95" s="827"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824">
        <f>+'Matriz PEI 2021-2024'!E29</f>
        <v>1</v>
      </c>
      <c r="E95" s="824">
        <f>+'Matriz PEI 2021-2024'!D29</f>
        <v>0.3</v>
      </c>
      <c r="F95" s="881" t="s">
        <v>1034</v>
      </c>
      <c r="G95" s="827" t="s">
        <v>1035</v>
      </c>
      <c r="H95" s="820" t="str">
        <f>+'1.Informe Seguimiento POA 2021'!D99</f>
        <v>5.3.1 Desarrollar diez (10) actividades de apropiación social del conocimiento para la creación de la cultura de la investigación e innovación.</v>
      </c>
      <c r="I95" s="819">
        <f>+'1.Informe Seguimiento POA 2021'!E99</f>
        <v>1</v>
      </c>
      <c r="J95" s="782">
        <f>+'1.Informe Seguimiento POA 2021'!F99</f>
        <v>10</v>
      </c>
      <c r="K95" s="885" t="str">
        <f>+'1.Informe Seguimiento POA 2021'!I99</f>
        <v xml:space="preserve">Gestión del Conocimiento e Innovación </v>
      </c>
      <c r="L95" s="885" t="str">
        <f>+'1.Informe Seguimiento POA 2021'!J99</f>
        <v xml:space="preserve">Dirección de Gestión del Conocimiento e Innovación </v>
      </c>
      <c r="M95" s="809">
        <f>+'1.Informe Seguimiento POA 2021'!K99</f>
        <v>3</v>
      </c>
      <c r="N95" s="809">
        <f>+'1.Informe Seguimiento POA 2021'!L99</f>
        <v>3</v>
      </c>
      <c r="O95" s="809">
        <f>+'1.Informe Seguimiento POA 2021'!M99</f>
        <v>3</v>
      </c>
      <c r="P95" s="809">
        <f>+'1.Informe Seguimiento POA 2021'!N99</f>
        <v>1</v>
      </c>
      <c r="Q95" s="783">
        <f>+'1.Informe Seguimiento POA 2021'!O99</f>
        <v>0</v>
      </c>
      <c r="R95" s="783">
        <f>+'1.Informe Seguimiento POA 2021'!P99</f>
        <v>1</v>
      </c>
      <c r="S95" s="783">
        <f>+'1.Informe Seguimiento POA 2021'!Q99</f>
        <v>1</v>
      </c>
      <c r="T95" s="783">
        <f>+'1.Informe Seguimiento POA 2021'!R99</f>
        <v>2</v>
      </c>
      <c r="U95" s="783">
        <f>+'1.Informe Seguimiento POA 2021'!S99</f>
        <v>1</v>
      </c>
      <c r="V95" s="783">
        <f>+'1.Informe Seguimiento POA 2021'!T99</f>
        <v>0</v>
      </c>
      <c r="W95" s="783">
        <f>+'1.Informe Seguimiento POA 2021'!U99</f>
        <v>1</v>
      </c>
      <c r="X95" s="783">
        <f>+'1.Informe Seguimiento POA 2021'!V99</f>
        <v>0</v>
      </c>
      <c r="Y95" s="809">
        <f>+'1.Informe Seguimiento POA 2021'!W99</f>
        <v>3</v>
      </c>
      <c r="Z95" s="809">
        <f>+'1.Informe Seguimiento POA 2021'!X99</f>
        <v>3</v>
      </c>
      <c r="AA95" s="818">
        <f>+'1.Informe Seguimiento POA 2021'!Y99</f>
        <v>1</v>
      </c>
      <c r="AB95" s="825"/>
      <c r="AC95" s="825"/>
      <c r="AD95" s="825"/>
      <c r="AE95" s="825"/>
      <c r="AF95" s="825"/>
      <c r="AG95" s="825"/>
      <c r="AH95" s="825"/>
      <c r="AI95" s="825"/>
      <c r="AJ95" s="809">
        <f t="shared" si="58"/>
        <v>3</v>
      </c>
      <c r="AK95" s="809"/>
      <c r="AL95" s="896"/>
      <c r="AM95" s="896"/>
      <c r="AN95" s="896"/>
      <c r="AO95" s="896"/>
      <c r="AP95" s="896"/>
      <c r="AQ95" s="896"/>
      <c r="AR95" s="896"/>
      <c r="AS95" s="896"/>
      <c r="AT95" s="896"/>
      <c r="AU95" s="809">
        <f t="shared" si="59"/>
        <v>3</v>
      </c>
      <c r="AV95" s="809"/>
      <c r="AW95" s="896"/>
      <c r="AX95" s="896"/>
      <c r="AY95" s="896"/>
      <c r="AZ95" s="896"/>
      <c r="BA95" s="896"/>
      <c r="BB95" s="896"/>
      <c r="BC95" s="896"/>
      <c r="BD95" s="896"/>
      <c r="BE95" s="896"/>
      <c r="BF95" s="809">
        <f t="shared" si="60"/>
        <v>1</v>
      </c>
      <c r="BG95" s="809"/>
      <c r="BH95" s="896"/>
      <c r="BI95" s="899">
        <f t="shared" si="61"/>
        <v>2</v>
      </c>
      <c r="BJ95" s="899">
        <f t="shared" si="61"/>
        <v>3</v>
      </c>
      <c r="BK95" s="785">
        <f t="shared" si="62"/>
        <v>1.5</v>
      </c>
      <c r="BL95" s="785">
        <f t="shared" si="57"/>
        <v>0.3</v>
      </c>
      <c r="BM95" s="825">
        <f t="shared" si="51"/>
        <v>0.3</v>
      </c>
      <c r="BN95" s="918">
        <f>+BM95</f>
        <v>0.3</v>
      </c>
      <c r="BO95" s="1178"/>
      <c r="BP95" s="926"/>
      <c r="BQ95" s="926"/>
    </row>
    <row r="96" spans="2:69" ht="18" thickBot="1">
      <c r="B96" s="828"/>
      <c r="C96" s="829"/>
      <c r="D96" s="829"/>
      <c r="E96" s="830"/>
      <c r="F96" s="830"/>
      <c r="G96" s="830"/>
      <c r="H96" s="829"/>
      <c r="I96" s="829"/>
      <c r="J96" s="829"/>
      <c r="K96" s="829"/>
      <c r="L96" s="829"/>
      <c r="M96" s="829"/>
      <c r="N96" s="829"/>
      <c r="O96" s="829"/>
      <c r="P96" s="829"/>
      <c r="Q96" s="829"/>
      <c r="R96" s="829"/>
      <c r="S96" s="829"/>
      <c r="T96" s="829"/>
      <c r="U96" s="829"/>
      <c r="V96" s="829"/>
      <c r="W96" s="829"/>
      <c r="X96" s="829"/>
      <c r="Y96" s="1218"/>
      <c r="Z96" s="1218"/>
      <c r="AA96" s="895">
        <f>AVERAGE(AA9:AA95)</f>
        <v>0.76812844195451835</v>
      </c>
      <c r="AB96" s="831"/>
      <c r="AC96" s="831"/>
      <c r="AD96" s="831"/>
      <c r="AE96" s="831"/>
      <c r="AF96" s="831"/>
      <c r="AG96" s="831"/>
      <c r="AH96" s="831"/>
      <c r="AI96" s="831"/>
      <c r="AJ96" s="831"/>
      <c r="AK96" s="831"/>
      <c r="AL96" s="831"/>
      <c r="AM96" s="831"/>
      <c r="AN96" s="831"/>
      <c r="AO96" s="831"/>
      <c r="AP96" s="831"/>
      <c r="AQ96" s="831"/>
      <c r="AR96" s="831"/>
      <c r="AS96" s="831"/>
      <c r="AT96" s="831"/>
      <c r="AU96" s="831"/>
      <c r="AV96" s="831"/>
      <c r="AW96" s="831"/>
      <c r="AX96" s="831"/>
      <c r="AY96" s="831"/>
      <c r="AZ96" s="831"/>
      <c r="BA96" s="831"/>
      <c r="BB96" s="831"/>
      <c r="BC96" s="831"/>
      <c r="BD96" s="831"/>
      <c r="BE96" s="831"/>
      <c r="BF96" s="831"/>
      <c r="BG96" s="831"/>
      <c r="BH96" s="831"/>
      <c r="BI96" s="831"/>
      <c r="BJ96" s="831"/>
      <c r="BK96" s="831"/>
      <c r="BL96" s="934">
        <f>AVERAGE(BL9:BL95)</f>
        <v>0.17736519021790098</v>
      </c>
      <c r="BM96" s="829"/>
      <c r="BN96" s="935">
        <f>AVERAGE(BN9:BN95)</f>
        <v>0.1685498124326163</v>
      </c>
      <c r="BO96" s="934">
        <f>AVERAGE(BO9:BO95)</f>
        <v>0.17451463741438164</v>
      </c>
      <c r="BP96" s="927"/>
      <c r="BQ96" s="927"/>
    </row>
    <row r="97" spans="2:25" ht="13.5" customHeight="1">
      <c r="B97" s="43"/>
      <c r="C97" s="43"/>
      <c r="D97" s="43"/>
      <c r="E97" s="44"/>
      <c r="F97" s="44"/>
      <c r="G97" s="44"/>
      <c r="H97" s="43"/>
      <c r="I97" s="44"/>
      <c r="J97" s="44"/>
      <c r="K97" s="43"/>
      <c r="L97" s="43"/>
      <c r="M97" s="43"/>
      <c r="N97" s="43"/>
      <c r="O97" s="43"/>
      <c r="P97" s="43"/>
      <c r="Q97" s="43"/>
      <c r="R97" s="43"/>
      <c r="S97" s="43"/>
      <c r="T97" s="43"/>
      <c r="U97" s="43"/>
      <c r="V97" s="43"/>
      <c r="W97" s="43"/>
      <c r="X97" s="43"/>
      <c r="Y97" s="43"/>
    </row>
    <row r="98" spans="2:25" ht="15" customHeight="1">
      <c r="B98" s="43"/>
      <c r="C98" s="43"/>
      <c r="D98" s="43"/>
      <c r="E98" s="44"/>
      <c r="F98" s="44"/>
      <c r="G98" s="44"/>
      <c r="H98" s="43"/>
      <c r="I98" s="44"/>
      <c r="J98" s="44"/>
      <c r="K98" s="43"/>
      <c r="L98" s="43"/>
      <c r="M98" s="43"/>
      <c r="N98" s="43"/>
      <c r="O98" s="43"/>
      <c r="P98" s="43"/>
      <c r="Q98" s="43"/>
      <c r="R98" s="43"/>
      <c r="S98" s="43"/>
      <c r="T98" s="43"/>
      <c r="U98" s="43"/>
      <c r="V98" s="43"/>
      <c r="W98" s="43"/>
      <c r="X98" s="43"/>
      <c r="Y98" s="43"/>
    </row>
    <row r="99" spans="2:25" ht="15" customHeight="1">
      <c r="B99" s="43"/>
      <c r="C99" s="43"/>
      <c r="D99" s="43"/>
      <c r="E99" s="44"/>
      <c r="F99" s="44"/>
      <c r="G99" s="44"/>
      <c r="H99" s="43"/>
      <c r="I99" s="44"/>
      <c r="J99" s="44"/>
      <c r="K99" s="755"/>
      <c r="L99" s="755"/>
      <c r="M99" s="755"/>
      <c r="N99" s="755"/>
      <c r="O99" s="755"/>
      <c r="P99" s="755"/>
      <c r="Q99" s="755"/>
      <c r="R99" s="755"/>
      <c r="S99" s="755"/>
      <c r="T99" s="755"/>
      <c r="U99" s="755"/>
      <c r="V99" s="755"/>
      <c r="W99" s="755"/>
      <c r="X99" s="755"/>
      <c r="Y99" s="755"/>
    </row>
    <row r="100" spans="2:25" ht="15" customHeight="1">
      <c r="B100" s="43"/>
      <c r="C100" s="43" t="s">
        <v>1106</v>
      </c>
      <c r="D100" s="43"/>
      <c r="E100" s="44"/>
      <c r="F100" s="44"/>
      <c r="G100" s="44"/>
      <c r="H100" s="43"/>
      <c r="I100" s="44"/>
      <c r="J100" s="44"/>
      <c r="K100" s="43"/>
      <c r="L100" s="43"/>
      <c r="M100" s="43"/>
      <c r="N100" s="43"/>
      <c r="O100" s="43"/>
      <c r="P100" s="43"/>
      <c r="Q100" s="43"/>
      <c r="R100" s="43"/>
      <c r="S100" s="43"/>
      <c r="T100" s="43"/>
      <c r="U100" s="43"/>
      <c r="V100" s="43"/>
      <c r="W100" s="43"/>
      <c r="X100" s="43"/>
      <c r="Y100" s="43"/>
    </row>
    <row r="101" spans="2:25" ht="15" customHeight="1">
      <c r="B101" s="43"/>
      <c r="C101" s="43"/>
      <c r="D101" s="43"/>
      <c r="E101" s="44"/>
      <c r="F101" s="44"/>
      <c r="G101" s="44"/>
      <c r="H101" s="43"/>
      <c r="I101" s="44"/>
      <c r="J101" s="44"/>
      <c r="K101" s="755"/>
      <c r="L101" s="755"/>
      <c r="M101" s="755"/>
      <c r="N101" s="755"/>
      <c r="O101" s="755"/>
      <c r="P101" s="755"/>
      <c r="Q101" s="755"/>
      <c r="R101" s="755"/>
      <c r="S101" s="755"/>
      <c r="T101" s="755"/>
      <c r="U101" s="755"/>
      <c r="V101" s="755"/>
      <c r="W101" s="755"/>
      <c r="X101" s="755"/>
      <c r="Y101" s="755"/>
    </row>
  </sheetData>
  <sheetProtection algorithmName="SHA-512" hashValue="rGlwMdg3jKEUmSFUxOVrS56534G6hdTsnayY+vFGFkROw5zppMrohL9cVva0bot/Lt4h//+unDdjl0H3FrOthA==" saltValue="tMEwiuIcuRwCARdQNqe/6g==" spinCount="100000" sheet="1" objects="1" scenarios="1"/>
  <mergeCells count="159">
    <mergeCell ref="C2:L2"/>
    <mergeCell ref="C52:C57"/>
    <mergeCell ref="BN52:BN57"/>
    <mergeCell ref="E52:E57"/>
    <mergeCell ref="E39:E40"/>
    <mergeCell ref="C42:C44"/>
    <mergeCell ref="D42:D44"/>
    <mergeCell ref="E42:E44"/>
    <mergeCell ref="F42:F44"/>
    <mergeCell ref="C26:C29"/>
    <mergeCell ref="E26:E29"/>
    <mergeCell ref="F26:F29"/>
    <mergeCell ref="G26:G29"/>
    <mergeCell ref="BN26:BN29"/>
    <mergeCell ref="D20:D25"/>
    <mergeCell ref="G34:G36"/>
    <mergeCell ref="F30:F31"/>
    <mergeCell ref="G30:G31"/>
    <mergeCell ref="D26:D29"/>
    <mergeCell ref="F34:F36"/>
    <mergeCell ref="F32:F33"/>
    <mergeCell ref="G32:G33"/>
    <mergeCell ref="C9:C19"/>
    <mergeCell ref="D9:D19"/>
    <mergeCell ref="C90:C91"/>
    <mergeCell ref="D90:D91"/>
    <mergeCell ref="BN90:BN91"/>
    <mergeCell ref="F76:F80"/>
    <mergeCell ref="G76:G80"/>
    <mergeCell ref="F81:F83"/>
    <mergeCell ref="G81:G83"/>
    <mergeCell ref="B9:B29"/>
    <mergeCell ref="B93:B95"/>
    <mergeCell ref="D84:D89"/>
    <mergeCell ref="E84:E89"/>
    <mergeCell ref="E90:E91"/>
    <mergeCell ref="C58:C65"/>
    <mergeCell ref="BN58:BN65"/>
    <mergeCell ref="H79:H80"/>
    <mergeCell ref="I79:I80"/>
    <mergeCell ref="BM79:BM80"/>
    <mergeCell ref="E58:E65"/>
    <mergeCell ref="B45:B92"/>
    <mergeCell ref="C45:C51"/>
    <mergeCell ref="D45:D51"/>
    <mergeCell ref="E45:E51"/>
    <mergeCell ref="F45:F51"/>
    <mergeCell ref="C66:C83"/>
    <mergeCell ref="D66:D83"/>
    <mergeCell ref="H81:H83"/>
    <mergeCell ref="D52:D57"/>
    <mergeCell ref="D58:D65"/>
    <mergeCell ref="C84:C89"/>
    <mergeCell ref="I81:I83"/>
    <mergeCell ref="F74:F75"/>
    <mergeCell ref="B37:B44"/>
    <mergeCell ref="C37:C38"/>
    <mergeCell ref="D37:D38"/>
    <mergeCell ref="E37:E38"/>
    <mergeCell ref="C39:C40"/>
    <mergeCell ref="D39:D40"/>
    <mergeCell ref="B30:B36"/>
    <mergeCell ref="C30:C31"/>
    <mergeCell ref="E30:E31"/>
    <mergeCell ref="D30:D31"/>
    <mergeCell ref="D32:D33"/>
    <mergeCell ref="D34:D36"/>
    <mergeCell ref="C34:C36"/>
    <mergeCell ref="E34:E36"/>
    <mergeCell ref="C32:C33"/>
    <mergeCell ref="E32:E33"/>
    <mergeCell ref="E9:E19"/>
    <mergeCell ref="F9:F18"/>
    <mergeCell ref="G9:G18"/>
    <mergeCell ref="BN9:BN19"/>
    <mergeCell ref="C20:C25"/>
    <mergeCell ref="BB7:BC7"/>
    <mergeCell ref="BD7:BE7"/>
    <mergeCell ref="BF7:BF8"/>
    <mergeCell ref="BG7:BG8"/>
    <mergeCell ref="BH7:BH8"/>
    <mergeCell ref="BL7:BL8"/>
    <mergeCell ref="AS7:AT7"/>
    <mergeCell ref="AU7:AU8"/>
    <mergeCell ref="AV7:AV8"/>
    <mergeCell ref="AW7:AW8"/>
    <mergeCell ref="AX7:AY7"/>
    <mergeCell ref="AZ7:BA7"/>
    <mergeCell ref="AJ7:AJ8"/>
    <mergeCell ref="AK7:AK8"/>
    <mergeCell ref="E20:E25"/>
    <mergeCell ref="F20:F25"/>
    <mergeCell ref="G20:G25"/>
    <mergeCell ref="K6:K8"/>
    <mergeCell ref="L6:L8"/>
    <mergeCell ref="AX6:BH6"/>
    <mergeCell ref="Q7:R7"/>
    <mergeCell ref="S7:T7"/>
    <mergeCell ref="U7:V7"/>
    <mergeCell ref="W7:X7"/>
    <mergeCell ref="Y7:Y8"/>
    <mergeCell ref="Z7:Z8"/>
    <mergeCell ref="AA7:AA8"/>
    <mergeCell ref="AO7:AP7"/>
    <mergeCell ref="AQ7:AR7"/>
    <mergeCell ref="B6:B8"/>
    <mergeCell ref="C6:C8"/>
    <mergeCell ref="D6:D8"/>
    <mergeCell ref="E6:E8"/>
    <mergeCell ref="F6:F8"/>
    <mergeCell ref="G6:G8"/>
    <mergeCell ref="H6:H8"/>
    <mergeCell ref="I6:I8"/>
    <mergeCell ref="J6:J8"/>
    <mergeCell ref="M6:P6"/>
    <mergeCell ref="Q6:AA6"/>
    <mergeCell ref="AB6:AL6"/>
    <mergeCell ref="AB7:AC7"/>
    <mergeCell ref="AD7:AE7"/>
    <mergeCell ref="AF7:AG7"/>
    <mergeCell ref="AH7:AI7"/>
    <mergeCell ref="AL7:AL8"/>
    <mergeCell ref="AM7:AN7"/>
    <mergeCell ref="AM6:AW6"/>
    <mergeCell ref="Y96:Z96"/>
    <mergeCell ref="BM81:BM83"/>
    <mergeCell ref="BN66:BN83"/>
    <mergeCell ref="BN37:BN38"/>
    <mergeCell ref="BN39:BN40"/>
    <mergeCell ref="BN42:BN44"/>
    <mergeCell ref="E66:E83"/>
    <mergeCell ref="F84:F89"/>
    <mergeCell ref="G84:G89"/>
    <mergeCell ref="F90:F91"/>
    <mergeCell ref="G90:G91"/>
    <mergeCell ref="BN84:BN89"/>
    <mergeCell ref="G45:G51"/>
    <mergeCell ref="BN45:BN51"/>
    <mergeCell ref="F61:F64"/>
    <mergeCell ref="G61:G64"/>
    <mergeCell ref="F66:F67"/>
    <mergeCell ref="G66:G67"/>
    <mergeCell ref="F68:F70"/>
    <mergeCell ref="G68:G70"/>
    <mergeCell ref="G74:G75"/>
    <mergeCell ref="BO93:BO95"/>
    <mergeCell ref="BO7:BO8"/>
    <mergeCell ref="BI6:BO6"/>
    <mergeCell ref="BO9:BO29"/>
    <mergeCell ref="BN30:BN31"/>
    <mergeCell ref="BN32:BN33"/>
    <mergeCell ref="BN34:BN36"/>
    <mergeCell ref="BO30:BO36"/>
    <mergeCell ref="BO37:BO44"/>
    <mergeCell ref="BO45:BO92"/>
    <mergeCell ref="BM7:BM8"/>
    <mergeCell ref="BN7:BN8"/>
    <mergeCell ref="BI7:BJ7"/>
    <mergeCell ref="BN20:BN25"/>
  </mergeCells>
  <conditionalFormatting sqref="BK9:BK29">
    <cfRule type="expression" dxfId="384" priority="31">
      <formula>#REF!="Pesos ($)"</formula>
    </cfRule>
    <cfRule type="expression" dxfId="383" priority="32">
      <formula>OR(LEFT(#REF!,9)="Número de",#REF!="Otra")</formula>
    </cfRule>
    <cfRule type="expression" dxfId="382" priority="33">
      <formula>#REF!="Porcentaje"</formula>
    </cfRule>
  </conditionalFormatting>
  <conditionalFormatting sqref="BK93:BK95">
    <cfRule type="expression" dxfId="381" priority="1">
      <formula>#REF!="Pesos ($)"</formula>
    </cfRule>
    <cfRule type="expression" dxfId="380" priority="2">
      <formula>OR(LEFT(#REF!,9)="Número de",#REF!="Otra")</formula>
    </cfRule>
    <cfRule type="expression" dxfId="379" priority="3">
      <formula>#REF!="Porcentaje"</formula>
    </cfRule>
  </conditionalFormatting>
  <conditionalFormatting sqref="BK37">
    <cfRule type="expression" dxfId="378" priority="28">
      <formula>#REF!="Pesos ($)"</formula>
    </cfRule>
    <cfRule type="expression" dxfId="377" priority="29">
      <formula>OR(LEFT(#REF!,9)="Número de",#REF!="Otra")</formula>
    </cfRule>
    <cfRule type="expression" dxfId="376" priority="30">
      <formula>#REF!="Porcentaje"</formula>
    </cfRule>
  </conditionalFormatting>
  <conditionalFormatting sqref="BK38">
    <cfRule type="expression" dxfId="375" priority="25">
      <formula>#REF!="Pesos ($)"</formula>
    </cfRule>
    <cfRule type="expression" dxfId="374" priority="26">
      <formula>OR(LEFT(#REF!,9)="Número de",#REF!="Otra")</formula>
    </cfRule>
    <cfRule type="expression" dxfId="373" priority="27">
      <formula>#REF!="Porcentaje"</formula>
    </cfRule>
  </conditionalFormatting>
  <conditionalFormatting sqref="BK39:BK44">
    <cfRule type="expression" dxfId="372" priority="22">
      <formula>#REF!="Pesos ($)"</formula>
    </cfRule>
    <cfRule type="expression" dxfId="371" priority="23">
      <formula>OR(LEFT(#REF!,9)="Número de",#REF!="Otra")</formula>
    </cfRule>
    <cfRule type="expression" dxfId="370" priority="24">
      <formula>#REF!="Porcentaje"</formula>
    </cfRule>
  </conditionalFormatting>
  <conditionalFormatting sqref="BK52:BK57">
    <cfRule type="expression" dxfId="369" priority="19">
      <formula>#REF!="Pesos ($)"</formula>
    </cfRule>
    <cfRule type="expression" dxfId="368" priority="20">
      <formula>OR(LEFT(#REF!,9)="Número de",#REF!="Otra")</formula>
    </cfRule>
    <cfRule type="expression" dxfId="367" priority="21">
      <formula>#REF!="Porcentaje"</formula>
    </cfRule>
  </conditionalFormatting>
  <conditionalFormatting sqref="BK66:BK73">
    <cfRule type="expression" dxfId="366" priority="16">
      <formula>#REF!="Pesos ($)"</formula>
    </cfRule>
    <cfRule type="expression" dxfId="365" priority="17">
      <formula>OR(LEFT(#REF!,9)="Número de",#REF!="Otra")</formula>
    </cfRule>
    <cfRule type="expression" dxfId="364" priority="18">
      <formula>#REF!="Porcentaje"</formula>
    </cfRule>
  </conditionalFormatting>
  <conditionalFormatting sqref="BK74:BK75">
    <cfRule type="expression" dxfId="363" priority="13">
      <formula>#REF!="Pesos ($)"</formula>
    </cfRule>
    <cfRule type="expression" dxfId="362" priority="14">
      <formula>OR(LEFT(#REF!,9)="Número de",#REF!="Otra")</formula>
    </cfRule>
    <cfRule type="expression" dxfId="361" priority="15">
      <formula>#REF!="Porcentaje"</formula>
    </cfRule>
  </conditionalFormatting>
  <conditionalFormatting sqref="BK76:BK79">
    <cfRule type="expression" dxfId="360" priority="10">
      <formula>#REF!="Pesos ($)"</formula>
    </cfRule>
    <cfRule type="expression" dxfId="359" priority="11">
      <formula>OR(LEFT(#REF!,9)="Número de",#REF!="Otra")</formula>
    </cfRule>
    <cfRule type="expression" dxfId="358" priority="12">
      <formula>#REF!="Porcentaje"</formula>
    </cfRule>
  </conditionalFormatting>
  <conditionalFormatting sqref="BK80:BK83">
    <cfRule type="expression" dxfId="357" priority="7">
      <formula>#REF!="Pesos ($)"</formula>
    </cfRule>
    <cfRule type="expression" dxfId="356" priority="8">
      <formula>OR(LEFT(#REF!,9)="Número de",#REF!="Otra")</formula>
    </cfRule>
    <cfRule type="expression" dxfId="355" priority="9">
      <formula>#REF!="Porcentaje"</formula>
    </cfRule>
  </conditionalFormatting>
  <conditionalFormatting sqref="BK90:BK91">
    <cfRule type="expression" dxfId="354" priority="4">
      <formula>#REF!="Pesos ($)"</formula>
    </cfRule>
    <cfRule type="expression" dxfId="353" priority="5">
      <formula>OR(LEFT(#REF!,9)="Número de",#REF!="Otra")</formula>
    </cfRule>
    <cfRule type="expression" dxfId="352" priority="6">
      <formula>#REF!="Porcentaje"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B0F0"/>
  </sheetPr>
  <dimension ref="B2:W35"/>
  <sheetViews>
    <sheetView zoomScale="55" zoomScaleNormal="55" workbookViewId="0">
      <selection activeCell="C10" sqref="C10"/>
    </sheetView>
  </sheetViews>
  <sheetFormatPr baseColWidth="10" defaultColWidth="11.44140625" defaultRowHeight="15"/>
  <cols>
    <col min="1" max="1" width="4.6640625" style="834" customWidth="1"/>
    <col min="2" max="2" width="38.5546875" style="834" customWidth="1"/>
    <col min="3" max="3" width="47.88671875" style="834" customWidth="1"/>
    <col min="4" max="4" width="17.109375" style="834" customWidth="1"/>
    <col min="5" max="5" width="19.44140625" style="834" customWidth="1"/>
    <col min="6" max="6" width="12.44140625" style="834" customWidth="1"/>
    <col min="7" max="7" width="36.88671875" style="834" customWidth="1"/>
    <col min="8" max="8" width="19" style="834" customWidth="1"/>
    <col min="9" max="9" width="16.6640625" style="834" customWidth="1"/>
    <col min="10" max="10" width="18.6640625" style="834" customWidth="1"/>
    <col min="11" max="11" width="16.6640625" style="834" customWidth="1"/>
    <col min="12" max="12" width="18" style="834" customWidth="1"/>
    <col min="13" max="13" width="16.6640625" style="834" customWidth="1"/>
    <col min="14" max="14" width="18.88671875" style="834" customWidth="1"/>
    <col min="15" max="15" width="16.6640625" style="834" customWidth="1"/>
    <col min="16" max="17" width="16.6640625" style="834" hidden="1" customWidth="1"/>
    <col min="18" max="18" width="19" style="834" customWidth="1"/>
    <col min="19" max="19" width="16.6640625" style="834" customWidth="1"/>
    <col min="20" max="20" width="27.44140625" style="834" customWidth="1"/>
    <col min="21" max="21" width="18.33203125" style="834" customWidth="1"/>
    <col min="22" max="22" width="16.44140625" style="834" customWidth="1"/>
    <col min="23" max="23" width="27.6640625" style="834" customWidth="1"/>
    <col min="24" max="94" width="15.6640625" style="834" customWidth="1"/>
    <col min="95" max="16384" width="11.44140625" style="834"/>
  </cols>
  <sheetData>
    <row r="2" spans="2:23" ht="15.6">
      <c r="B2" s="1319" t="s">
        <v>736</v>
      </c>
      <c r="C2" s="1322" t="s">
        <v>1037</v>
      </c>
      <c r="D2" s="1323"/>
      <c r="E2" s="1323"/>
      <c r="F2" s="1323"/>
      <c r="G2" s="1323"/>
      <c r="H2" s="1323"/>
      <c r="I2" s="1323"/>
      <c r="J2" s="1323"/>
      <c r="K2" s="1323"/>
      <c r="L2" s="1323"/>
      <c r="M2" s="1323"/>
      <c r="N2" s="1323"/>
      <c r="O2" s="1323"/>
      <c r="P2" s="1323"/>
      <c r="Q2" s="1323"/>
      <c r="R2" s="1323"/>
      <c r="S2" s="1323"/>
      <c r="T2" s="1323"/>
      <c r="U2" s="1324"/>
      <c r="V2" s="865" t="s">
        <v>1056</v>
      </c>
      <c r="W2" s="866" t="s">
        <v>1057</v>
      </c>
    </row>
    <row r="3" spans="2:23" ht="31.2">
      <c r="B3" s="1320"/>
      <c r="C3" s="1325"/>
      <c r="D3" s="1326"/>
      <c r="E3" s="1326"/>
      <c r="F3" s="1326"/>
      <c r="G3" s="1326"/>
      <c r="H3" s="1326"/>
      <c r="I3" s="1326"/>
      <c r="J3" s="1326"/>
      <c r="K3" s="1326"/>
      <c r="L3" s="1326"/>
      <c r="M3" s="1326"/>
      <c r="N3" s="1326"/>
      <c r="O3" s="1326"/>
      <c r="P3" s="1326"/>
      <c r="Q3" s="1326"/>
      <c r="R3" s="1326"/>
      <c r="S3" s="1326"/>
      <c r="T3" s="1326"/>
      <c r="U3" s="1327"/>
      <c r="V3" s="867" t="s">
        <v>1058</v>
      </c>
      <c r="W3" s="867" t="s">
        <v>1059</v>
      </c>
    </row>
    <row r="4" spans="2:23" ht="15.6">
      <c r="B4" s="1320"/>
      <c r="C4" s="1325"/>
      <c r="D4" s="1326"/>
      <c r="E4" s="1326"/>
      <c r="F4" s="1326"/>
      <c r="G4" s="1326"/>
      <c r="H4" s="1326"/>
      <c r="I4" s="1326"/>
      <c r="J4" s="1326"/>
      <c r="K4" s="1326"/>
      <c r="L4" s="1326"/>
      <c r="M4" s="1326"/>
      <c r="N4" s="1326"/>
      <c r="O4" s="1326"/>
      <c r="P4" s="1326"/>
      <c r="Q4" s="1326"/>
      <c r="R4" s="1326"/>
      <c r="S4" s="1326"/>
      <c r="T4" s="1326"/>
      <c r="U4" s="1327"/>
      <c r="V4" s="1328" t="s">
        <v>30</v>
      </c>
      <c r="W4" s="1329"/>
    </row>
    <row r="5" spans="2:23" ht="22.8">
      <c r="B5" s="1321"/>
      <c r="C5" s="1330" t="s">
        <v>1038</v>
      </c>
      <c r="D5" s="1331"/>
      <c r="E5" s="1331"/>
      <c r="F5" s="1331"/>
      <c r="G5" s="1331"/>
      <c r="H5" s="1331"/>
      <c r="I5" s="1331"/>
      <c r="J5" s="1331"/>
      <c r="K5" s="1331"/>
      <c r="L5" s="1331"/>
      <c r="M5" s="1331"/>
      <c r="N5" s="1331"/>
      <c r="O5" s="1331"/>
      <c r="P5" s="1331"/>
      <c r="Q5" s="1331"/>
      <c r="R5" s="1331"/>
      <c r="S5" s="1331"/>
      <c r="T5" s="1331"/>
      <c r="U5" s="1332"/>
      <c r="V5" s="868">
        <v>44196</v>
      </c>
      <c r="W5" s="869"/>
    </row>
    <row r="6" spans="2:23">
      <c r="H6" s="1333"/>
      <c r="I6" s="1333"/>
      <c r="J6" s="1333"/>
      <c r="K6" s="1333"/>
      <c r="L6" s="1333"/>
      <c r="M6" s="1333"/>
      <c r="N6" s="1333"/>
      <c r="O6" s="1333"/>
      <c r="P6" s="1333"/>
      <c r="Q6" s="1333"/>
    </row>
    <row r="7" spans="2:23" ht="15.6">
      <c r="B7" s="1254" t="s">
        <v>0</v>
      </c>
      <c r="C7" s="1254" t="s">
        <v>1039</v>
      </c>
      <c r="D7" s="1255" t="s">
        <v>1040</v>
      </c>
      <c r="E7" s="1254" t="s">
        <v>1002</v>
      </c>
      <c r="F7" s="1255" t="s">
        <v>1060</v>
      </c>
      <c r="G7" s="1255" t="s">
        <v>1042</v>
      </c>
      <c r="H7" s="1343" t="s">
        <v>1043</v>
      </c>
      <c r="I7" s="1343"/>
      <c r="J7" s="1343"/>
      <c r="K7" s="1343"/>
      <c r="L7" s="1343"/>
      <c r="M7" s="1343"/>
      <c r="N7" s="1343"/>
      <c r="O7" s="1343"/>
      <c r="P7" s="1343"/>
      <c r="Q7" s="1343"/>
      <c r="R7" s="1344" t="s">
        <v>1044</v>
      </c>
      <c r="S7" s="1345"/>
      <c r="T7" s="1346"/>
      <c r="U7" s="1350" t="s">
        <v>1045</v>
      </c>
      <c r="V7" s="1351"/>
      <c r="W7" s="1352"/>
    </row>
    <row r="8" spans="2:23" ht="15.6">
      <c r="B8" s="1254"/>
      <c r="C8" s="1254"/>
      <c r="D8" s="1256"/>
      <c r="E8" s="1254"/>
      <c r="F8" s="1256"/>
      <c r="G8" s="1256"/>
      <c r="H8" s="1353" t="s">
        <v>1049</v>
      </c>
      <c r="I8" s="1354"/>
      <c r="J8" s="1353" t="s">
        <v>1046</v>
      </c>
      <c r="K8" s="1354"/>
      <c r="L8" s="1353" t="s">
        <v>1047</v>
      </c>
      <c r="M8" s="1354"/>
      <c r="N8" s="1353" t="s">
        <v>1048</v>
      </c>
      <c r="O8" s="1354"/>
      <c r="P8" s="1353" t="s">
        <v>59</v>
      </c>
      <c r="Q8" s="1354"/>
      <c r="R8" s="1347"/>
      <c r="S8" s="1348"/>
      <c r="T8" s="1349"/>
      <c r="U8" s="1355" t="s">
        <v>17</v>
      </c>
      <c r="V8" s="1334" t="s">
        <v>18</v>
      </c>
      <c r="W8" s="1336" t="s">
        <v>1050</v>
      </c>
    </row>
    <row r="9" spans="2:23" ht="31.2">
      <c r="B9" s="1254"/>
      <c r="C9" s="1255"/>
      <c r="D9" s="1257"/>
      <c r="E9" s="1254"/>
      <c r="F9" s="1257"/>
      <c r="G9" s="1257"/>
      <c r="H9" s="835" t="s">
        <v>17</v>
      </c>
      <c r="I9" s="835" t="s">
        <v>18</v>
      </c>
      <c r="J9" s="835" t="s">
        <v>17</v>
      </c>
      <c r="K9" s="835" t="s">
        <v>18</v>
      </c>
      <c r="L9" s="835" t="s">
        <v>17</v>
      </c>
      <c r="M9" s="835" t="s">
        <v>18</v>
      </c>
      <c r="N9" s="835" t="s">
        <v>17</v>
      </c>
      <c r="O9" s="835" t="s">
        <v>18</v>
      </c>
      <c r="P9" s="835" t="s">
        <v>17</v>
      </c>
      <c r="Q9" s="835" t="s">
        <v>18</v>
      </c>
      <c r="R9" s="645" t="s">
        <v>17</v>
      </c>
      <c r="S9" s="645" t="s">
        <v>18</v>
      </c>
      <c r="T9" s="645" t="s">
        <v>915</v>
      </c>
      <c r="U9" s="1355"/>
      <c r="V9" s="1335"/>
      <c r="W9" s="1337"/>
    </row>
    <row r="10" spans="2:23" ht="83.25" customHeight="1">
      <c r="B10" s="1338" t="s">
        <v>130</v>
      </c>
      <c r="C10" s="841" t="str">
        <f>+'01-FR-03 POA INSTITUCIONAL'!C13</f>
        <v>1.1. Realizar 879.578 acciones que promuevan la defensa, garantía y restablecimiento de los derechos de las personas en el Distrito Capital.</v>
      </c>
      <c r="D10" s="842">
        <v>0.7</v>
      </c>
      <c r="E10" s="836">
        <v>879578</v>
      </c>
      <c r="F10" s="850" t="s">
        <v>156</v>
      </c>
      <c r="G10" s="837" t="s">
        <v>88</v>
      </c>
      <c r="H10" s="1003">
        <v>240232</v>
      </c>
      <c r="I10" s="838"/>
      <c r="J10" s="838">
        <v>257290</v>
      </c>
      <c r="K10" s="838"/>
      <c r="L10" s="838">
        <v>257090</v>
      </c>
      <c r="M10" s="838"/>
      <c r="N10" s="838">
        <v>124966</v>
      </c>
      <c r="O10" s="838"/>
      <c r="P10" s="839"/>
      <c r="Q10" s="839"/>
      <c r="R10" s="851"/>
      <c r="S10" s="851"/>
      <c r="T10" s="839">
        <f t="shared" ref="T10:T29" si="0">IF(AND(S10&gt;0,R10),S10/R10,0)</f>
        <v>0</v>
      </c>
      <c r="U10" s="840">
        <f>H10+J10+L10+N10</f>
        <v>879578</v>
      </c>
      <c r="V10" s="840">
        <f>I10+K10+M10+O10</f>
        <v>0</v>
      </c>
      <c r="W10" s="1339">
        <f>(IF(AND(V10&gt;0,U10),V10/U10,0)*$D10)+(IF(AND(V11&gt;0,U11),V11/U11,0)*$D11)+(IF(AND(V12&gt;0,U12),V12/U12,0)*$D12)</f>
        <v>0</v>
      </c>
    </row>
    <row r="11" spans="2:23" ht="102" customHeight="1">
      <c r="B11" s="1338"/>
      <c r="C11" s="841" t="str">
        <f>+'01-FR-03 POA INSTITUCIONAL'!C24</f>
        <v>1.2. Realizar 242.714 acciones que propendan por la efectiva defensa y garantía de los derechos de los sujetos de especial protección constitucional, con énfasis en las personas mayores, mujeres y la población migrante en el Distrito Capital.</v>
      </c>
      <c r="D11" s="842">
        <v>0.2</v>
      </c>
      <c r="E11" s="836">
        <v>242714</v>
      </c>
      <c r="F11" s="850" t="s">
        <v>156</v>
      </c>
      <c r="G11" s="837" t="s">
        <v>88</v>
      </c>
      <c r="H11" s="1003">
        <v>73800</v>
      </c>
      <c r="I11" s="838"/>
      <c r="J11" s="838">
        <v>70424</v>
      </c>
      <c r="K11" s="838"/>
      <c r="L11" s="838">
        <v>70424</v>
      </c>
      <c r="M11" s="838"/>
      <c r="N11" s="838">
        <v>28066</v>
      </c>
      <c r="O11" s="838"/>
      <c r="P11" s="839"/>
      <c r="Q11" s="839"/>
      <c r="R11" s="851"/>
      <c r="S11" s="851"/>
      <c r="T11" s="839">
        <f t="shared" si="0"/>
        <v>0</v>
      </c>
      <c r="U11" s="840">
        <f t="shared" ref="U11:V20" si="1">H11+J11+L11+N11</f>
        <v>242714</v>
      </c>
      <c r="V11" s="840">
        <f t="shared" si="1"/>
        <v>0</v>
      </c>
      <c r="W11" s="1340"/>
    </row>
    <row r="12" spans="2:23" ht="75" customHeight="1">
      <c r="B12" s="1338"/>
      <c r="C12" s="841" t="str">
        <f>+'01-FR-03 POA INSTITUCIONAL'!C30</f>
        <v>1.3. Construir e Implementar 36 estrategias que permitan incrementar la oferta y cobertura de los servicios prestados por la Entidad.</v>
      </c>
      <c r="D12" s="842">
        <v>0.1</v>
      </c>
      <c r="E12" s="843">
        <v>36</v>
      </c>
      <c r="F12" s="850" t="s">
        <v>156</v>
      </c>
      <c r="G12" s="837" t="s">
        <v>88</v>
      </c>
      <c r="H12" s="838">
        <v>6</v>
      </c>
      <c r="I12" s="838"/>
      <c r="J12" s="838">
        <v>13</v>
      </c>
      <c r="K12" s="838"/>
      <c r="L12" s="838">
        <v>12</v>
      </c>
      <c r="M12" s="838"/>
      <c r="N12" s="838">
        <v>5</v>
      </c>
      <c r="O12" s="838"/>
      <c r="P12" s="839"/>
      <c r="Q12" s="839"/>
      <c r="R12" s="851"/>
      <c r="S12" s="851"/>
      <c r="T12" s="839">
        <f t="shared" si="0"/>
        <v>0</v>
      </c>
      <c r="U12" s="840">
        <f t="shared" si="1"/>
        <v>36</v>
      </c>
      <c r="V12" s="840">
        <f t="shared" si="1"/>
        <v>0</v>
      </c>
      <c r="W12" s="1341"/>
    </row>
    <row r="13" spans="2:23" ht="78" customHeight="1">
      <c r="B13" s="1342" t="s">
        <v>134</v>
      </c>
      <c r="C13" s="844" t="str">
        <f>+'01-FR-03 POA INSTITUCIONAL'!C34</f>
        <v>2.1. Realizar 22 acciones de prevención y control a la función pública en medio ambiente, agua, protección y bienestar animal y desarrollo urbano.</v>
      </c>
      <c r="D13" s="846">
        <v>0.3</v>
      </c>
      <c r="E13" s="845">
        <v>22</v>
      </c>
      <c r="F13" s="854" t="s">
        <v>156</v>
      </c>
      <c r="G13" s="847" t="s">
        <v>89</v>
      </c>
      <c r="H13" s="848">
        <v>4</v>
      </c>
      <c r="I13" s="848"/>
      <c r="J13" s="848">
        <v>8</v>
      </c>
      <c r="K13" s="848"/>
      <c r="L13" s="848">
        <v>8</v>
      </c>
      <c r="M13" s="848"/>
      <c r="N13" s="848">
        <v>2</v>
      </c>
      <c r="O13" s="848"/>
      <c r="P13" s="839"/>
      <c r="Q13" s="839"/>
      <c r="R13" s="854"/>
      <c r="S13" s="854"/>
      <c r="T13" s="839">
        <f t="shared" si="0"/>
        <v>0</v>
      </c>
      <c r="U13" s="840">
        <f t="shared" si="1"/>
        <v>22</v>
      </c>
      <c r="V13" s="840">
        <f t="shared" si="1"/>
        <v>0</v>
      </c>
      <c r="W13" s="1339">
        <f>(IF(AND(V13&gt;0,U13),V13/U13,0)*$D13)+(IF(AND(V14&gt;0,U14),V14/U14,0)*$D14)+(IF(AND(V15&gt;0,U15),V15/U15,0)*$D15)</f>
        <v>0</v>
      </c>
    </row>
    <row r="14" spans="2:23" ht="65.25" customHeight="1">
      <c r="B14" s="1342"/>
      <c r="C14" s="844" t="str">
        <f>+'01-FR-03 POA INSTITUCIONAL'!C36</f>
        <v>2.2. Fortalecer la moralidad publica realizando  880 acciones de prevención y control a la función pública.</v>
      </c>
      <c r="D14" s="846">
        <v>0.6</v>
      </c>
      <c r="E14" s="845">
        <v>880</v>
      </c>
      <c r="F14" s="854" t="s">
        <v>156</v>
      </c>
      <c r="G14" s="847" t="s">
        <v>89</v>
      </c>
      <c r="H14" s="848">
        <v>220</v>
      </c>
      <c r="I14" s="848"/>
      <c r="J14" s="848">
        <v>289</v>
      </c>
      <c r="K14" s="848"/>
      <c r="L14" s="848">
        <v>289</v>
      </c>
      <c r="M14" s="848"/>
      <c r="N14" s="848">
        <v>82</v>
      </c>
      <c r="O14" s="848"/>
      <c r="P14" s="839"/>
      <c r="Q14" s="839"/>
      <c r="R14" s="854"/>
      <c r="S14" s="854"/>
      <c r="T14" s="839">
        <f t="shared" si="0"/>
        <v>0</v>
      </c>
      <c r="U14" s="840">
        <f t="shared" si="1"/>
        <v>880</v>
      </c>
      <c r="V14" s="840">
        <f t="shared" si="1"/>
        <v>0</v>
      </c>
      <c r="W14" s="1340"/>
    </row>
    <row r="15" spans="2:23" ht="63.75" customHeight="1">
      <c r="B15" s="1342"/>
      <c r="C15" s="844" t="str">
        <f>+'01-FR-03 POA INSTITUCIONAL'!C38</f>
        <v>2.3. Fortalecer 295 espacios de participación ciudadana en la Personería de Bogotá</v>
      </c>
      <c r="D15" s="846">
        <v>0.1</v>
      </c>
      <c r="E15" s="845">
        <v>295</v>
      </c>
      <c r="F15" s="854" t="s">
        <v>156</v>
      </c>
      <c r="G15" s="847" t="s">
        <v>89</v>
      </c>
      <c r="H15" s="848">
        <v>67</v>
      </c>
      <c r="I15" s="848"/>
      <c r="J15" s="848">
        <v>101</v>
      </c>
      <c r="K15" s="848"/>
      <c r="L15" s="848">
        <v>103</v>
      </c>
      <c r="M15" s="848"/>
      <c r="N15" s="848">
        <v>24</v>
      </c>
      <c r="O15" s="848"/>
      <c r="P15" s="839"/>
      <c r="Q15" s="839"/>
      <c r="R15" s="854"/>
      <c r="S15" s="854"/>
      <c r="T15" s="839">
        <f t="shared" si="0"/>
        <v>0</v>
      </c>
      <c r="U15" s="840">
        <f t="shared" si="1"/>
        <v>295</v>
      </c>
      <c r="V15" s="840">
        <f t="shared" si="1"/>
        <v>0</v>
      </c>
      <c r="W15" s="1341"/>
    </row>
    <row r="16" spans="2:23" ht="69.75" customHeight="1">
      <c r="B16" s="1358" t="s">
        <v>138</v>
      </c>
      <c r="C16" s="841" t="str">
        <f>+'01-FR-03 POA INSTITUCIONAL'!C41</f>
        <v>3.1. Descongestionar 4500 procesos disciplinarios con criterios de calidad, efectividad y garantía del debido proceso.</v>
      </c>
      <c r="D16" s="842">
        <v>0.4</v>
      </c>
      <c r="E16" s="843">
        <v>4500</v>
      </c>
      <c r="F16" s="843">
        <v>6287</v>
      </c>
      <c r="G16" s="837" t="s">
        <v>90</v>
      </c>
      <c r="H16" s="849">
        <v>900</v>
      </c>
      <c r="I16" s="849"/>
      <c r="J16" s="849">
        <v>1200</v>
      </c>
      <c r="K16" s="849"/>
      <c r="L16" s="849">
        <v>1200</v>
      </c>
      <c r="M16" s="849"/>
      <c r="N16" s="849">
        <v>1200</v>
      </c>
      <c r="O16" s="849"/>
      <c r="P16" s="839"/>
      <c r="Q16" s="839"/>
      <c r="R16" s="851"/>
      <c r="S16" s="851"/>
      <c r="T16" s="839">
        <f t="shared" si="0"/>
        <v>0</v>
      </c>
      <c r="U16" s="840">
        <f t="shared" si="1"/>
        <v>4500</v>
      </c>
      <c r="V16" s="840">
        <f t="shared" si="1"/>
        <v>0</v>
      </c>
      <c r="W16" s="1339">
        <f>(IF(AND(V16&gt;0,U16),V16/U16,0)*$D16)+(IF(AND(V17&gt;0,U17),V17/U17,0)*$D17)+(IF(AND(V18&gt;0,U18),V18/U18,0)*$D18)+(IF(AND(V19&gt;0,U19),V19/U19,0)*$D19)</f>
        <v>0</v>
      </c>
    </row>
    <row r="17" spans="2:23" ht="91.5" customHeight="1">
      <c r="B17" s="1359"/>
      <c r="C17" s="841" t="str">
        <f>+'01-FR-03 POA INSTITUCIONAL'!C43</f>
        <v xml:space="preserve">3.2. Identificar el 100% de los hechos constitutivos de faltas disciplinarias para ejercer el poder preferente en las Oficinas de Control Interno Disciplinario, en temas de interés e impacto para el Distrito Capital. </v>
      </c>
      <c r="D17" s="842">
        <v>0.15</v>
      </c>
      <c r="E17" s="850">
        <v>1</v>
      </c>
      <c r="F17" s="850">
        <v>1</v>
      </c>
      <c r="G17" s="837" t="s">
        <v>90</v>
      </c>
      <c r="H17" s="839">
        <v>1</v>
      </c>
      <c r="I17" s="849"/>
      <c r="J17" s="839">
        <v>1</v>
      </c>
      <c r="K17" s="849"/>
      <c r="L17" s="839">
        <v>1</v>
      </c>
      <c r="M17" s="849"/>
      <c r="N17" s="839">
        <v>1</v>
      </c>
      <c r="O17" s="849"/>
      <c r="P17" s="839"/>
      <c r="Q17" s="839"/>
      <c r="R17" s="851"/>
      <c r="S17" s="851"/>
      <c r="T17" s="839">
        <f t="shared" si="0"/>
        <v>0</v>
      </c>
      <c r="U17" s="851">
        <f>IFERROR(AVERAGE(H17,J17,L17,N17),0)</f>
        <v>1</v>
      </c>
      <c r="V17" s="851">
        <f>IFERROR(AVERAGE(I17,K17,M17,O17),0)</f>
        <v>0</v>
      </c>
      <c r="W17" s="1340"/>
    </row>
    <row r="18" spans="2:23" ht="105" customHeight="1">
      <c r="B18" s="1359"/>
      <c r="C18" s="841" t="str">
        <f>+'01-FR-03 POA INSTITUCIONAL'!C45</f>
        <v>3.3. Generar 8 escenarios que fortalezcan el conocimiento y las competencias del operador disciplinario, que apoya el cumplimiento de la labor misional, extendiendo el alcance a los jueces naturales en el Distrito Capital.</v>
      </c>
      <c r="D18" s="842">
        <v>0.1</v>
      </c>
      <c r="E18" s="843">
        <v>8</v>
      </c>
      <c r="F18" s="843">
        <v>8</v>
      </c>
      <c r="G18" s="837" t="s">
        <v>90</v>
      </c>
      <c r="H18" s="849">
        <v>2</v>
      </c>
      <c r="I18" s="849"/>
      <c r="J18" s="849">
        <v>2</v>
      </c>
      <c r="K18" s="849"/>
      <c r="L18" s="849">
        <v>2</v>
      </c>
      <c r="M18" s="849"/>
      <c r="N18" s="849">
        <v>2</v>
      </c>
      <c r="O18" s="849"/>
      <c r="P18" s="839"/>
      <c r="Q18" s="839"/>
      <c r="R18" s="851"/>
      <c r="S18" s="851"/>
      <c r="T18" s="839">
        <f t="shared" si="0"/>
        <v>0</v>
      </c>
      <c r="U18" s="840">
        <f t="shared" si="1"/>
        <v>8</v>
      </c>
      <c r="V18" s="840">
        <f t="shared" si="1"/>
        <v>0</v>
      </c>
      <c r="W18" s="1340"/>
    </row>
    <row r="19" spans="2:23" ht="63" customHeight="1">
      <c r="B19" s="1360"/>
      <c r="C19" s="841" t="str">
        <f>+'01-FR-03 POA INSTITUCIONAL'!C46</f>
        <v>3.4. Implementar al 100% tres soluciones informáticas propias para la ejecución y gestión de la Potestad Disciplinaria.</v>
      </c>
      <c r="D19" s="842">
        <v>0.35</v>
      </c>
      <c r="E19" s="850">
        <v>1</v>
      </c>
      <c r="F19" s="843">
        <v>3</v>
      </c>
      <c r="G19" s="837" t="s">
        <v>90</v>
      </c>
      <c r="H19" s="839">
        <v>0.3</v>
      </c>
      <c r="I19" s="849"/>
      <c r="J19" s="839">
        <v>0.4</v>
      </c>
      <c r="K19" s="849"/>
      <c r="L19" s="839">
        <v>0.25</v>
      </c>
      <c r="M19" s="849"/>
      <c r="N19" s="839">
        <v>0.05</v>
      </c>
      <c r="O19" s="849"/>
      <c r="P19" s="839"/>
      <c r="Q19" s="839"/>
      <c r="R19" s="851"/>
      <c r="S19" s="851"/>
      <c r="T19" s="839">
        <f t="shared" si="0"/>
        <v>0</v>
      </c>
      <c r="U19" s="851">
        <f t="shared" si="1"/>
        <v>1</v>
      </c>
      <c r="V19" s="851">
        <f t="shared" si="1"/>
        <v>0</v>
      </c>
      <c r="W19" s="1341"/>
    </row>
    <row r="20" spans="2:23" ht="91.5" customHeight="1">
      <c r="B20" s="1361" t="s">
        <v>141</v>
      </c>
      <c r="C20" s="844" t="str">
        <f>+'01-FR-03 POA INSTITUCIONAL'!C49</f>
        <v>4.1. Implementar el 100% de las acciones que impulsen el crecimiento del Modelo de Madurez de Transformación Digital de la Entidad, aplicando los principios , lineamientos y normas que lo enmarcan.</v>
      </c>
      <c r="D20" s="852">
        <v>0.15</v>
      </c>
      <c r="E20" s="846">
        <v>1</v>
      </c>
      <c r="F20" s="854" t="s">
        <v>156</v>
      </c>
      <c r="G20" s="847" t="s">
        <v>81</v>
      </c>
      <c r="H20" s="854">
        <v>0.3</v>
      </c>
      <c r="I20" s="854"/>
      <c r="J20" s="854">
        <v>0.4</v>
      </c>
      <c r="K20" s="854"/>
      <c r="L20" s="854">
        <v>0.25</v>
      </c>
      <c r="M20" s="854"/>
      <c r="N20" s="854">
        <v>0.05</v>
      </c>
      <c r="O20" s="854"/>
      <c r="P20" s="854"/>
      <c r="Q20" s="854"/>
      <c r="R20" s="854"/>
      <c r="S20" s="854"/>
      <c r="T20" s="839">
        <f t="shared" si="0"/>
        <v>0</v>
      </c>
      <c r="U20" s="851">
        <f t="shared" si="1"/>
        <v>1</v>
      </c>
      <c r="V20" s="851">
        <f t="shared" si="1"/>
        <v>0</v>
      </c>
      <c r="W20" s="1363">
        <f>(IF(AND(V20&gt;0,U20),V20/U20,0)*$D20)+(IF(AND(V21&gt;0,U21),V21/U21,0)*$D21)+(IF(AND(V22&gt;0,U22),V22/U22,0)*$D22)+(IF(AND(V23&gt;0,U23),V23/U23,0)*$D23)+(IF(AND(V24&gt;0,U24),V24/U24,0)*$D24)+(IF(AND(V25&gt;0,U25),V25/U25,0)*$D25)+(IF(AND(V26&gt;0,U26),V26/U26,0)*$D26)</f>
        <v>0</v>
      </c>
    </row>
    <row r="21" spans="2:23" ht="108" customHeight="1">
      <c r="B21" s="1361"/>
      <c r="C21" s="844" t="str">
        <f>+'01-FR-03 POA INSTITUCIONAL'!C56</f>
        <v>4.2. Consolidar el 90% del Modelo Integrado de Planeación y Gestión –MIPG- y sus sistemas de gestión articulados, como compromiso con la Calidad, la Excelencia, la Responsabilidad Ambiental y la Mejora en la prestación del Servicio.</v>
      </c>
      <c r="D21" s="846">
        <v>0.15</v>
      </c>
      <c r="E21" s="854">
        <v>0.9</v>
      </c>
      <c r="F21" s="854">
        <v>0.62</v>
      </c>
      <c r="G21" s="847" t="s">
        <v>1053</v>
      </c>
      <c r="H21" s="854">
        <v>0.3</v>
      </c>
      <c r="I21" s="854"/>
      <c r="J21" s="854">
        <v>0.3</v>
      </c>
      <c r="K21" s="854"/>
      <c r="L21" s="854">
        <v>0.2</v>
      </c>
      <c r="M21" s="854"/>
      <c r="N21" s="854">
        <v>0.1</v>
      </c>
      <c r="O21" s="854"/>
      <c r="P21" s="854"/>
      <c r="Q21" s="854"/>
      <c r="R21" s="854"/>
      <c r="S21" s="854"/>
      <c r="T21" s="839">
        <f t="shared" si="0"/>
        <v>0</v>
      </c>
      <c r="U21" s="851">
        <f t="shared" ref="U21:V29" si="2">+H21+J21+L21+N21+P21</f>
        <v>0.9</v>
      </c>
      <c r="V21" s="851">
        <f t="shared" si="2"/>
        <v>0</v>
      </c>
      <c r="W21" s="1363"/>
    </row>
    <row r="22" spans="2:23" ht="91.5" customHeight="1">
      <c r="B22" s="1361"/>
      <c r="C22" s="844" t="str">
        <f>+'01-FR-03 POA INSTITUCIONAL'!C62</f>
        <v xml:space="preserve">4.3. Realizar el 100% de las actividades relacionadas con la Gestión del Talento Humano, que permita su fortalecimiento y el desarrollo de sus conocimientos, su competencia y bienestar. </v>
      </c>
      <c r="D22" s="846">
        <v>0.14000000000000001</v>
      </c>
      <c r="E22" s="854">
        <v>1</v>
      </c>
      <c r="F22" s="854" t="s">
        <v>156</v>
      </c>
      <c r="G22" s="847" t="s">
        <v>91</v>
      </c>
      <c r="H22" s="854">
        <v>1</v>
      </c>
      <c r="I22" s="854"/>
      <c r="J22" s="854">
        <v>1</v>
      </c>
      <c r="K22" s="854"/>
      <c r="L22" s="854">
        <v>1</v>
      </c>
      <c r="M22" s="854"/>
      <c r="N22" s="854">
        <v>1</v>
      </c>
      <c r="O22" s="854"/>
      <c r="P22" s="854"/>
      <c r="Q22" s="854"/>
      <c r="R22" s="854"/>
      <c r="S22" s="854"/>
      <c r="T22" s="839">
        <f t="shared" si="0"/>
        <v>0</v>
      </c>
      <c r="U22" s="851">
        <f>IFERROR(AVERAGE(H22,J22,L22,N22),0)</f>
        <v>1</v>
      </c>
      <c r="V22" s="851">
        <f>IFERROR(AVERAGE(I22,K22,M22,O22),0)</f>
        <v>0</v>
      </c>
      <c r="W22" s="1363"/>
    </row>
    <row r="23" spans="2:23" ht="90" customHeight="1">
      <c r="B23" s="1361"/>
      <c r="C23" s="844" t="str">
        <f>+'01-FR-03 POA INSTITUCIONAL'!C70</f>
        <v>4.4. Implementar el 100% de las acciones necesarias para la modernización de la gestión institucional a través de los procesos de apoyo, que permita una mejor prestación del servicio.</v>
      </c>
      <c r="D23" s="846">
        <v>0.14000000000000001</v>
      </c>
      <c r="E23" s="854">
        <v>1</v>
      </c>
      <c r="F23" s="854" t="s">
        <v>156</v>
      </c>
      <c r="G23" s="847" t="s">
        <v>1054</v>
      </c>
      <c r="H23" s="854">
        <v>1</v>
      </c>
      <c r="I23" s="854"/>
      <c r="J23" s="854">
        <v>1</v>
      </c>
      <c r="K23" s="854"/>
      <c r="L23" s="854">
        <v>1</v>
      </c>
      <c r="M23" s="854"/>
      <c r="N23" s="854">
        <v>1</v>
      </c>
      <c r="O23" s="854"/>
      <c r="P23" s="854"/>
      <c r="Q23" s="854"/>
      <c r="R23" s="854"/>
      <c r="S23" s="854"/>
      <c r="T23" s="839">
        <f t="shared" si="0"/>
        <v>0</v>
      </c>
      <c r="U23" s="851">
        <f t="shared" ref="U23:V25" si="3">IFERROR(AVERAGE(H23,J23,L23,N23),0)</f>
        <v>1</v>
      </c>
      <c r="V23" s="851">
        <f t="shared" si="3"/>
        <v>0</v>
      </c>
      <c r="W23" s="1363"/>
    </row>
    <row r="24" spans="2:23" ht="73.5" customHeight="1">
      <c r="B24" s="1361"/>
      <c r="C24" s="844" t="str">
        <f>+'01-FR-03 POA INSTITUCIONAL'!C88</f>
        <v>4.5. Desarrollar el 100% de las acciones relacionadas con el fomento de la Cultura del Autocontrol, la Autorregulación y la Autogestión institucional.</v>
      </c>
      <c r="D24" s="846">
        <v>0.14000000000000001</v>
      </c>
      <c r="E24" s="854">
        <v>1</v>
      </c>
      <c r="F24" s="854" t="s">
        <v>156</v>
      </c>
      <c r="G24" s="847" t="s">
        <v>1055</v>
      </c>
      <c r="H24" s="854">
        <v>1</v>
      </c>
      <c r="I24" s="854"/>
      <c r="J24" s="854">
        <v>1</v>
      </c>
      <c r="K24" s="854"/>
      <c r="L24" s="854">
        <v>1</v>
      </c>
      <c r="M24" s="854"/>
      <c r="N24" s="854">
        <v>1</v>
      </c>
      <c r="O24" s="854"/>
      <c r="P24" s="854"/>
      <c r="Q24" s="854"/>
      <c r="R24" s="854"/>
      <c r="S24" s="854"/>
      <c r="T24" s="839">
        <f t="shared" si="0"/>
        <v>0</v>
      </c>
      <c r="U24" s="851">
        <f t="shared" si="3"/>
        <v>1</v>
      </c>
      <c r="V24" s="851">
        <f t="shared" si="3"/>
        <v>0</v>
      </c>
      <c r="W24" s="1363"/>
    </row>
    <row r="25" spans="2:23" ht="94.5" customHeight="1">
      <c r="B25" s="1361"/>
      <c r="C25" s="844" t="str">
        <f>+'01-FR-03 POA INSTITUCIONAL'!C94</f>
        <v>4.6. Desarrollar el 100% de las estrategias de comunicación organizacional y de medios que contribuyan al logro de los objetivos institucionales y al posicionamiento de la Entidad.</v>
      </c>
      <c r="D25" s="846">
        <v>0.14000000000000001</v>
      </c>
      <c r="E25" s="854">
        <v>1</v>
      </c>
      <c r="F25" s="854">
        <v>1</v>
      </c>
      <c r="G25" s="847" t="s">
        <v>86</v>
      </c>
      <c r="H25" s="854">
        <v>1</v>
      </c>
      <c r="I25" s="854"/>
      <c r="J25" s="854">
        <v>1</v>
      </c>
      <c r="K25" s="854"/>
      <c r="L25" s="854">
        <v>1</v>
      </c>
      <c r="M25" s="854"/>
      <c r="N25" s="854">
        <v>1</v>
      </c>
      <c r="O25" s="854"/>
      <c r="P25" s="854"/>
      <c r="Q25" s="854"/>
      <c r="R25" s="854"/>
      <c r="S25" s="854"/>
      <c r="T25" s="839">
        <f t="shared" si="0"/>
        <v>0</v>
      </c>
      <c r="U25" s="851">
        <f t="shared" si="3"/>
        <v>1</v>
      </c>
      <c r="V25" s="851">
        <f t="shared" si="3"/>
        <v>0</v>
      </c>
      <c r="W25" s="1363"/>
    </row>
    <row r="26" spans="2:23" ht="92.25" customHeight="1">
      <c r="B26" s="1362"/>
      <c r="C26" s="844" t="str">
        <f>+'01-FR-03 POA INSTITUCIONAL'!C96</f>
        <v>4.7. Articular el 100% de las acciones de trabajo interinstitucional y cooperación nacional e internacional que permita aunar esfuerzos para el cumplimiento de la misión institucional.</v>
      </c>
      <c r="D26" s="846">
        <v>0.14000000000000001</v>
      </c>
      <c r="E26" s="854">
        <v>1</v>
      </c>
      <c r="F26" s="854" t="s">
        <v>156</v>
      </c>
      <c r="G26" s="847" t="s">
        <v>87</v>
      </c>
      <c r="H26" s="853">
        <v>0.33333333333333337</v>
      </c>
      <c r="I26" s="853"/>
      <c r="J26" s="853">
        <v>0.33333333333333337</v>
      </c>
      <c r="K26" s="853"/>
      <c r="L26" s="853">
        <v>0.33333333333333337</v>
      </c>
      <c r="M26" s="853"/>
      <c r="N26" s="854">
        <v>0</v>
      </c>
      <c r="O26" s="854"/>
      <c r="P26" s="870"/>
      <c r="Q26" s="870"/>
      <c r="R26" s="855"/>
      <c r="S26" s="855"/>
      <c r="T26" s="839">
        <f t="shared" si="0"/>
        <v>0</v>
      </c>
      <c r="U26" s="851">
        <f t="shared" si="2"/>
        <v>1</v>
      </c>
      <c r="V26" s="851">
        <f t="shared" si="2"/>
        <v>0</v>
      </c>
      <c r="W26" s="1363"/>
    </row>
    <row r="27" spans="2:23" ht="88.5" customHeight="1">
      <c r="B27" s="1358" t="s">
        <v>149</v>
      </c>
      <c r="C27" s="856" t="str">
        <f>+'01-FR-03 POA INSTITUCIONAL'!C97</f>
        <v>5.1 Generar el 100% de productos de nuevo conocimiento o transformar los existentes, alineados con proyectos resultados de la investigación, desarrollo e innovación (I+D+I) en la Entidad.</v>
      </c>
      <c r="D27" s="842">
        <v>0.4</v>
      </c>
      <c r="E27" s="850">
        <v>1</v>
      </c>
      <c r="F27" s="850" t="s">
        <v>156</v>
      </c>
      <c r="G27" s="837" t="s">
        <v>80</v>
      </c>
      <c r="H27" s="839">
        <v>0.25</v>
      </c>
      <c r="I27" s="839"/>
      <c r="J27" s="839">
        <v>0.25</v>
      </c>
      <c r="K27" s="839"/>
      <c r="L27" s="839">
        <v>0.25</v>
      </c>
      <c r="M27" s="839"/>
      <c r="N27" s="839">
        <v>0.25</v>
      </c>
      <c r="O27" s="839"/>
      <c r="P27" s="849"/>
      <c r="Q27" s="849"/>
      <c r="R27" s="871"/>
      <c r="S27" s="871"/>
      <c r="T27" s="839">
        <f t="shared" si="0"/>
        <v>0</v>
      </c>
      <c r="U27" s="851">
        <f t="shared" si="2"/>
        <v>1</v>
      </c>
      <c r="V27" s="857">
        <f>+I27+K27+M27+O27+Q27</f>
        <v>0</v>
      </c>
      <c r="W27" s="1363">
        <f>(IF(AND(V28&gt;0,U28),V28/U28,0)*$D28)+(IF(AND(V29&gt;0,U29),V29/U29,0)*$D29)+(IF(AND(V27&gt;0,U27),V27/U27,0)*$D27)</f>
        <v>0</v>
      </c>
    </row>
    <row r="28" spans="2:23" ht="98.25" customHeight="1">
      <c r="B28" s="1359"/>
      <c r="C28" s="837" t="str">
        <f>+'01-FR-03 POA INSTITUCIONAL'!C98</f>
        <v>5.2 Formular el 100% de herramientas y acciones que permitan categorizar, preservar y utilizar el conocimiento para la toma de decisiones y compartir fácilmente los datos y la información de la Entidad.</v>
      </c>
      <c r="D28" s="842">
        <v>0.3</v>
      </c>
      <c r="E28" s="839">
        <v>1</v>
      </c>
      <c r="F28" s="850" t="s">
        <v>156</v>
      </c>
      <c r="G28" s="837" t="s">
        <v>80</v>
      </c>
      <c r="H28" s="839">
        <v>0.25</v>
      </c>
      <c r="I28" s="839"/>
      <c r="J28" s="839">
        <v>0.25</v>
      </c>
      <c r="K28" s="839"/>
      <c r="L28" s="839">
        <v>0.25</v>
      </c>
      <c r="M28" s="839"/>
      <c r="N28" s="839">
        <v>0.25</v>
      </c>
      <c r="O28" s="839"/>
      <c r="P28" s="849"/>
      <c r="Q28" s="849"/>
      <c r="R28" s="871"/>
      <c r="S28" s="871"/>
      <c r="T28" s="839">
        <f t="shared" si="0"/>
        <v>0</v>
      </c>
      <c r="U28" s="851">
        <f t="shared" si="2"/>
        <v>1</v>
      </c>
      <c r="V28" s="857">
        <f>+I28+K28+M28+O28+Q28</f>
        <v>0</v>
      </c>
      <c r="W28" s="1363"/>
    </row>
    <row r="29" spans="2:23" ht="120" customHeight="1">
      <c r="B29" s="1360"/>
      <c r="C29" s="858"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842">
        <v>0.3</v>
      </c>
      <c r="E29" s="859">
        <v>1</v>
      </c>
      <c r="F29" s="850" t="s">
        <v>156</v>
      </c>
      <c r="G29" s="858" t="s">
        <v>80</v>
      </c>
      <c r="H29" s="839">
        <v>0.25</v>
      </c>
      <c r="I29" s="839"/>
      <c r="J29" s="839">
        <v>0.25</v>
      </c>
      <c r="K29" s="839"/>
      <c r="L29" s="839">
        <v>0.25</v>
      </c>
      <c r="M29" s="839"/>
      <c r="N29" s="839">
        <v>0.25</v>
      </c>
      <c r="O29" s="839"/>
      <c r="P29" s="849"/>
      <c r="Q29" s="849"/>
      <c r="R29" s="871"/>
      <c r="S29" s="871"/>
      <c r="T29" s="839">
        <f t="shared" si="0"/>
        <v>0</v>
      </c>
      <c r="U29" s="851">
        <f t="shared" si="2"/>
        <v>1</v>
      </c>
      <c r="V29" s="857">
        <f>+I29+K29+M29+O29+Q29</f>
        <v>0</v>
      </c>
      <c r="W29" s="1363"/>
    </row>
    <row r="30" spans="2:23" ht="17.399999999999999">
      <c r="B30" s="860"/>
      <c r="C30" s="861"/>
      <c r="D30" s="861"/>
      <c r="E30" s="861"/>
      <c r="F30" s="861"/>
      <c r="G30" s="861"/>
      <c r="H30" s="860"/>
      <c r="I30" s="860"/>
      <c r="J30" s="860"/>
      <c r="K30" s="860"/>
      <c r="L30" s="860"/>
      <c r="M30" s="860"/>
      <c r="N30" s="860"/>
      <c r="O30" s="860"/>
      <c r="P30" s="860"/>
      <c r="Q30" s="860"/>
      <c r="R30" s="1356" t="s">
        <v>19</v>
      </c>
      <c r="S30" s="1357"/>
      <c r="T30" s="862">
        <f>AVERAGE(T10:T29)</f>
        <v>0</v>
      </c>
      <c r="U30" s="863"/>
      <c r="V30" s="863"/>
      <c r="W30" s="862">
        <f>AVERAGE(W10:W29)</f>
        <v>0</v>
      </c>
    </row>
    <row r="31" spans="2:23">
      <c r="T31" s="864"/>
    </row>
    <row r="33" spans="2:7">
      <c r="B33" s="872" t="s">
        <v>37</v>
      </c>
      <c r="C33" s="873">
        <v>44224</v>
      </c>
      <c r="D33" s="874"/>
      <c r="E33" s="874"/>
      <c r="F33" s="874"/>
      <c r="G33" s="874"/>
    </row>
    <row r="35" spans="2:7">
      <c r="B35" s="872" t="s">
        <v>82</v>
      </c>
      <c r="C35" s="875"/>
    </row>
  </sheetData>
  <sheetProtection algorithmName="SHA-512" hashValue="6wj9PmpmOL8T5vI4FrXnOgh9GOnA0liSaWY8ruJoyuxDANuN5+CHPywL3mNGUZWi1p5Y02ks4embm8JaxcRiVw==" saltValue="QPSjxbkYMxp2p4pnKD6j8Q==" spinCount="100000" sheet="1" objects="1" scenarios="1"/>
  <mergeCells count="33">
    <mergeCell ref="R30:S30"/>
    <mergeCell ref="B16:B19"/>
    <mergeCell ref="W16:W19"/>
    <mergeCell ref="B20:B26"/>
    <mergeCell ref="W20:W26"/>
    <mergeCell ref="B27:B29"/>
    <mergeCell ref="W27:W29"/>
    <mergeCell ref="V8:V9"/>
    <mergeCell ref="W8:W9"/>
    <mergeCell ref="B10:B12"/>
    <mergeCell ref="W10:W12"/>
    <mergeCell ref="B13:B15"/>
    <mergeCell ref="W13:W15"/>
    <mergeCell ref="G7:G9"/>
    <mergeCell ref="H7:Q7"/>
    <mergeCell ref="R7:T8"/>
    <mergeCell ref="U7:W7"/>
    <mergeCell ref="H8:I8"/>
    <mergeCell ref="J8:K8"/>
    <mergeCell ref="L8:M8"/>
    <mergeCell ref="N8:O8"/>
    <mergeCell ref="P8:Q8"/>
    <mergeCell ref="U8:U9"/>
    <mergeCell ref="B2:B5"/>
    <mergeCell ref="C2:U4"/>
    <mergeCell ref="V4:W4"/>
    <mergeCell ref="C5:U5"/>
    <mergeCell ref="H6:Q6"/>
    <mergeCell ref="B7:B9"/>
    <mergeCell ref="C7:C9"/>
    <mergeCell ref="D7:D9"/>
    <mergeCell ref="E7:E9"/>
    <mergeCell ref="F7:F9"/>
  </mergeCells>
  <conditionalFormatting sqref="R29:S29 H21:H22 H27:Q29 H26 J26 J21:J22 L21:L22 L26 N26 N21:N22 P21:S22 P26:S26">
    <cfRule type="expression" dxfId="351" priority="133">
      <formula>#REF!="Pesos ($)"</formula>
    </cfRule>
    <cfRule type="expression" dxfId="350" priority="134">
      <formula>OR(LEFT(#REF!,9)="Número de",#REF!="Otra")</formula>
    </cfRule>
    <cfRule type="expression" dxfId="349" priority="135">
      <formula>#REF!="Porcentaje"</formula>
    </cfRule>
  </conditionalFormatting>
  <conditionalFormatting sqref="R27:S27 U21 U26:U29">
    <cfRule type="expression" dxfId="348" priority="130">
      <formula>#REF!="Pesos ($)"</formula>
    </cfRule>
    <cfRule type="expression" dxfId="347" priority="131">
      <formula>OR(LEFT(#REF!,9)="Número de",#REF!="Otra")</formula>
    </cfRule>
    <cfRule type="expression" dxfId="346" priority="132">
      <formula>#REF!="Porcentaje"</formula>
    </cfRule>
  </conditionalFormatting>
  <conditionalFormatting sqref="R28:S28">
    <cfRule type="expression" dxfId="345" priority="127">
      <formula>#REF!="Pesos ($)"</formula>
    </cfRule>
    <cfRule type="expression" dxfId="344" priority="128">
      <formula>OR(LEFT(#REF!,9)="Número de",#REF!="Otra")</formula>
    </cfRule>
    <cfRule type="expression" dxfId="343" priority="129">
      <formula>#REF!="Porcentaje"</formula>
    </cfRule>
  </conditionalFormatting>
  <conditionalFormatting sqref="W10 W13 W16 W20">
    <cfRule type="cellIs" dxfId="342" priority="123" stopIfTrue="1" operator="equal">
      <formula>"N.A."</formula>
    </cfRule>
    <cfRule type="cellIs" dxfId="341" priority="124" stopIfTrue="1" operator="greaterThanOrEqual">
      <formula>0.9</formula>
    </cfRule>
    <cfRule type="cellIs" dxfId="340" priority="125" stopIfTrue="1" operator="between">
      <formula>0.7</formula>
      <formula>0.9</formula>
    </cfRule>
    <cfRule type="cellIs" dxfId="339" priority="126" stopIfTrue="1" operator="lessThanOrEqual">
      <formula>0.7</formula>
    </cfRule>
  </conditionalFormatting>
  <conditionalFormatting sqref="W27">
    <cfRule type="cellIs" dxfId="338" priority="119" stopIfTrue="1" operator="equal">
      <formula>"N.A."</formula>
    </cfRule>
    <cfRule type="cellIs" dxfId="337" priority="120" stopIfTrue="1" operator="greaterThanOrEqual">
      <formula>0.9</formula>
    </cfRule>
    <cfRule type="cellIs" dxfId="336" priority="121" stopIfTrue="1" operator="between">
      <formula>0.7</formula>
      <formula>0.9</formula>
    </cfRule>
    <cfRule type="cellIs" dxfId="335" priority="122" stopIfTrue="1" operator="lessThanOrEqual">
      <formula>0.7</formula>
    </cfRule>
  </conditionalFormatting>
  <conditionalFormatting sqref="H23 J23 L23 N23 P23:S23">
    <cfRule type="expression" dxfId="334" priority="116">
      <formula>#REF!="Pesos ($)"</formula>
    </cfRule>
    <cfRule type="expression" dxfId="333" priority="117">
      <formula>OR(LEFT(#REF!,9)="Número de",#REF!="Otra")</formula>
    </cfRule>
    <cfRule type="expression" dxfId="332" priority="118">
      <formula>#REF!="Porcentaje"</formula>
    </cfRule>
  </conditionalFormatting>
  <conditionalFormatting sqref="H25 J25 L25 N25 P25:S25">
    <cfRule type="expression" dxfId="331" priority="113">
      <formula>#REF!="Pesos ($)"</formula>
    </cfRule>
    <cfRule type="expression" dxfId="330" priority="114">
      <formula>OR(LEFT(#REF!,9)="Número de",#REF!="Otra")</formula>
    </cfRule>
    <cfRule type="expression" dxfId="329" priority="115">
      <formula>#REF!="Porcentaje"</formula>
    </cfRule>
  </conditionalFormatting>
  <conditionalFormatting sqref="H24 J24 L24 N24 P24:S24">
    <cfRule type="expression" dxfId="328" priority="110">
      <formula>#REF!="Pesos ($)"</formula>
    </cfRule>
    <cfRule type="expression" dxfId="327" priority="111">
      <formula>OR(LEFT(#REF!,9)="Número de",#REF!="Otra")</formula>
    </cfRule>
    <cfRule type="expression" dxfId="326" priority="112">
      <formula>#REF!="Porcentaje"</formula>
    </cfRule>
  </conditionalFormatting>
  <conditionalFormatting sqref="P10:S19">
    <cfRule type="expression" dxfId="325" priority="107">
      <formula>#REF!="Pesos ($)"</formula>
    </cfRule>
    <cfRule type="expression" dxfId="324" priority="108">
      <formula>OR(LEFT(#REF!,9)="Número de",#REF!="Otra")</formula>
    </cfRule>
    <cfRule type="expression" dxfId="323" priority="109">
      <formula>#REF!="Porcentaje"</formula>
    </cfRule>
  </conditionalFormatting>
  <conditionalFormatting sqref="U10:U20 V17">
    <cfRule type="expression" dxfId="322" priority="104">
      <formula>#REF!="Pesos ($)"</formula>
    </cfRule>
    <cfRule type="expression" dxfId="321" priority="105">
      <formula>OR(LEFT(#REF!,9)="Número de",#REF!="Otra")</formula>
    </cfRule>
    <cfRule type="expression" dxfId="320" priority="106">
      <formula>#REF!="Porcentaje"</formula>
    </cfRule>
  </conditionalFormatting>
  <conditionalFormatting sqref="T10:T29">
    <cfRule type="cellIs" dxfId="319" priority="100" stopIfTrue="1" operator="equal">
      <formula>"N.A."</formula>
    </cfRule>
    <cfRule type="cellIs" dxfId="318" priority="101" stopIfTrue="1" operator="greaterThanOrEqual">
      <formula>0.9</formula>
    </cfRule>
    <cfRule type="cellIs" dxfId="317" priority="102" stopIfTrue="1" operator="between">
      <formula>0.7</formula>
      <formula>0.9</formula>
    </cfRule>
    <cfRule type="cellIs" dxfId="316" priority="103" stopIfTrue="1" operator="lessThanOrEqual">
      <formula>0.7</formula>
    </cfRule>
  </conditionalFormatting>
  <conditionalFormatting sqref="J20 L20 N20 P20:S20">
    <cfRule type="expression" dxfId="315" priority="97">
      <formula>#REF!="Pesos ($)"</formula>
    </cfRule>
    <cfRule type="expression" dxfId="314" priority="98">
      <formula>OR(LEFT(#REF!,9)="Número de",#REF!="Otra")</formula>
    </cfRule>
    <cfRule type="expression" dxfId="313" priority="99">
      <formula>#REF!="Porcentaje"</formula>
    </cfRule>
  </conditionalFormatting>
  <conditionalFormatting sqref="H20">
    <cfRule type="expression" dxfId="312" priority="94">
      <formula>#REF!="Pesos ($)"</formula>
    </cfRule>
    <cfRule type="expression" dxfId="311" priority="95">
      <formula>OR(LEFT(#REF!,9)="Número de",#REF!="Otra")</formula>
    </cfRule>
    <cfRule type="expression" dxfId="310" priority="96">
      <formula>#REF!="Porcentaje"</formula>
    </cfRule>
  </conditionalFormatting>
  <conditionalFormatting sqref="H12:N12 I10:N11">
    <cfRule type="expression" dxfId="309" priority="91">
      <formula>#REF!="Pesos ($)"</formula>
    </cfRule>
    <cfRule type="expression" dxfId="308" priority="92">
      <formula>OR(LEFT(#REF!,9)="Número de",#REF!="Otra")</formula>
    </cfRule>
    <cfRule type="expression" dxfId="307" priority="93">
      <formula>#REF!="Porcentaje"</formula>
    </cfRule>
  </conditionalFormatting>
  <conditionalFormatting sqref="H13:H15">
    <cfRule type="expression" dxfId="306" priority="88">
      <formula>#REF!="Pesos ($)"</formula>
    </cfRule>
    <cfRule type="expression" dxfId="305" priority="89">
      <formula>OR(LEFT(#REF!,9)="Número de",#REF!="Otra")</formula>
    </cfRule>
    <cfRule type="expression" dxfId="304" priority="90">
      <formula>#REF!="Porcentaje"</formula>
    </cfRule>
  </conditionalFormatting>
  <conditionalFormatting sqref="I13:L15">
    <cfRule type="expression" dxfId="303" priority="85">
      <formula>#REF!="Pesos ($)"</formula>
    </cfRule>
    <cfRule type="expression" dxfId="302" priority="86">
      <formula>OR(LEFT(#REF!,9)="Número de",#REF!="Otra")</formula>
    </cfRule>
    <cfRule type="expression" dxfId="301" priority="87">
      <formula>#REF!="Porcentaje"</formula>
    </cfRule>
  </conditionalFormatting>
  <conditionalFormatting sqref="M13:O15">
    <cfRule type="expression" dxfId="300" priority="82">
      <formula>#REF!="Pesos ($)"</formula>
    </cfRule>
    <cfRule type="expression" dxfId="299" priority="83">
      <formula>OR(LEFT(#REF!,9)="Número de",#REF!="Otra")</formula>
    </cfRule>
    <cfRule type="expression" dxfId="298" priority="84">
      <formula>#REF!="Porcentaje"</formula>
    </cfRule>
  </conditionalFormatting>
  <conditionalFormatting sqref="H16:O19">
    <cfRule type="expression" dxfId="297" priority="79">
      <formula>#REF!="Pesos ($)"</formula>
    </cfRule>
    <cfRule type="expression" dxfId="296" priority="80">
      <formula>OR(LEFT(#REF!,9)="Número de",#REF!="Otra")</formula>
    </cfRule>
    <cfRule type="expression" dxfId="295" priority="81">
      <formula>#REF!="Porcentaje"</formula>
    </cfRule>
  </conditionalFormatting>
  <conditionalFormatting sqref="V21 V26:V29">
    <cfRule type="expression" dxfId="294" priority="76">
      <formula>#REF!="Pesos ($)"</formula>
    </cfRule>
    <cfRule type="expression" dxfId="293" priority="77">
      <formula>OR(LEFT(#REF!,9)="Número de",#REF!="Otra")</formula>
    </cfRule>
    <cfRule type="expression" dxfId="292" priority="78">
      <formula>#REF!="Porcentaje"</formula>
    </cfRule>
  </conditionalFormatting>
  <conditionalFormatting sqref="V10:V16 V18:V20">
    <cfRule type="expression" dxfId="291" priority="73">
      <formula>#REF!="Pesos ($)"</formula>
    </cfRule>
    <cfRule type="expression" dxfId="290" priority="74">
      <formula>OR(LEFT(#REF!,9)="Número de",#REF!="Otra")</formula>
    </cfRule>
    <cfRule type="expression" dxfId="289" priority="75">
      <formula>#REF!="Porcentaje"</formula>
    </cfRule>
  </conditionalFormatting>
  <conditionalFormatting sqref="O10:O12">
    <cfRule type="expression" dxfId="288" priority="70">
      <formula>#REF!="Pesos ($)"</formula>
    </cfRule>
    <cfRule type="expression" dxfId="287" priority="71">
      <formula>OR(LEFT(#REF!,9)="Número de",#REF!="Otra")</formula>
    </cfRule>
    <cfRule type="expression" dxfId="286" priority="72">
      <formula>#REF!="Porcentaje"</formula>
    </cfRule>
  </conditionalFormatting>
  <conditionalFormatting sqref="I21:I22 I26">
    <cfRule type="expression" dxfId="285" priority="67">
      <formula>#REF!="Pesos ($)"</formula>
    </cfRule>
    <cfRule type="expression" dxfId="284" priority="68">
      <formula>OR(LEFT(#REF!,9)="Número de",#REF!="Otra")</formula>
    </cfRule>
    <cfRule type="expression" dxfId="283" priority="69">
      <formula>#REF!="Porcentaje"</formula>
    </cfRule>
  </conditionalFormatting>
  <conditionalFormatting sqref="I23">
    <cfRule type="expression" dxfId="282" priority="64">
      <formula>#REF!="Pesos ($)"</formula>
    </cfRule>
    <cfRule type="expression" dxfId="281" priority="65">
      <formula>OR(LEFT(#REF!,9)="Número de",#REF!="Otra")</formula>
    </cfRule>
    <cfRule type="expression" dxfId="280" priority="66">
      <formula>#REF!="Porcentaje"</formula>
    </cfRule>
  </conditionalFormatting>
  <conditionalFormatting sqref="I25">
    <cfRule type="expression" dxfId="279" priority="61">
      <formula>#REF!="Pesos ($)"</formula>
    </cfRule>
    <cfRule type="expression" dxfId="278" priority="62">
      <formula>OR(LEFT(#REF!,9)="Número de",#REF!="Otra")</formula>
    </cfRule>
    <cfRule type="expression" dxfId="277" priority="63">
      <formula>#REF!="Porcentaje"</formula>
    </cfRule>
  </conditionalFormatting>
  <conditionalFormatting sqref="I24">
    <cfRule type="expression" dxfId="276" priority="58">
      <formula>#REF!="Pesos ($)"</formula>
    </cfRule>
    <cfRule type="expression" dxfId="275" priority="59">
      <formula>OR(LEFT(#REF!,9)="Número de",#REF!="Otra")</formula>
    </cfRule>
    <cfRule type="expression" dxfId="274" priority="60">
      <formula>#REF!="Porcentaje"</formula>
    </cfRule>
  </conditionalFormatting>
  <conditionalFormatting sqref="I20">
    <cfRule type="expression" dxfId="273" priority="55">
      <formula>#REF!="Pesos ($)"</formula>
    </cfRule>
    <cfRule type="expression" dxfId="272" priority="56">
      <formula>OR(LEFT(#REF!,9)="Número de",#REF!="Otra")</formula>
    </cfRule>
    <cfRule type="expression" dxfId="271" priority="57">
      <formula>#REF!="Porcentaje"</formula>
    </cfRule>
  </conditionalFormatting>
  <conditionalFormatting sqref="K26 K21:K22">
    <cfRule type="expression" dxfId="270" priority="52">
      <formula>#REF!="Pesos ($)"</formula>
    </cfRule>
    <cfRule type="expression" dxfId="269" priority="53">
      <formula>OR(LEFT(#REF!,9)="Número de",#REF!="Otra")</formula>
    </cfRule>
    <cfRule type="expression" dxfId="268" priority="54">
      <formula>#REF!="Porcentaje"</formula>
    </cfRule>
  </conditionalFormatting>
  <conditionalFormatting sqref="K23">
    <cfRule type="expression" dxfId="267" priority="49">
      <formula>#REF!="Pesos ($)"</formula>
    </cfRule>
    <cfRule type="expression" dxfId="266" priority="50">
      <formula>OR(LEFT(#REF!,9)="Número de",#REF!="Otra")</formula>
    </cfRule>
    <cfRule type="expression" dxfId="265" priority="51">
      <formula>#REF!="Porcentaje"</formula>
    </cfRule>
  </conditionalFormatting>
  <conditionalFormatting sqref="K25">
    <cfRule type="expression" dxfId="264" priority="46">
      <formula>#REF!="Pesos ($)"</formula>
    </cfRule>
    <cfRule type="expression" dxfId="263" priority="47">
      <formula>OR(LEFT(#REF!,9)="Número de",#REF!="Otra")</formula>
    </cfRule>
    <cfRule type="expression" dxfId="262" priority="48">
      <formula>#REF!="Porcentaje"</formula>
    </cfRule>
  </conditionalFormatting>
  <conditionalFormatting sqref="K24">
    <cfRule type="expression" dxfId="261" priority="43">
      <formula>#REF!="Pesos ($)"</formula>
    </cfRule>
    <cfRule type="expression" dxfId="260" priority="44">
      <formula>OR(LEFT(#REF!,9)="Número de",#REF!="Otra")</formula>
    </cfRule>
    <cfRule type="expression" dxfId="259" priority="45">
      <formula>#REF!="Porcentaje"</formula>
    </cfRule>
  </conditionalFormatting>
  <conditionalFormatting sqref="K20">
    <cfRule type="expression" dxfId="258" priority="40">
      <formula>#REF!="Pesos ($)"</formula>
    </cfRule>
    <cfRule type="expression" dxfId="257" priority="41">
      <formula>OR(LEFT(#REF!,9)="Número de",#REF!="Otra")</formula>
    </cfRule>
    <cfRule type="expression" dxfId="256" priority="42">
      <formula>#REF!="Porcentaje"</formula>
    </cfRule>
  </conditionalFormatting>
  <conditionalFormatting sqref="M21:M22 M26">
    <cfRule type="expression" dxfId="255" priority="37">
      <formula>#REF!="Pesos ($)"</formula>
    </cfRule>
    <cfRule type="expression" dxfId="254" priority="38">
      <formula>OR(LEFT(#REF!,9)="Número de",#REF!="Otra")</formula>
    </cfRule>
    <cfRule type="expression" dxfId="253" priority="39">
      <formula>#REF!="Porcentaje"</formula>
    </cfRule>
  </conditionalFormatting>
  <conditionalFormatting sqref="M23">
    <cfRule type="expression" dxfId="252" priority="34">
      <formula>#REF!="Pesos ($)"</formula>
    </cfRule>
    <cfRule type="expression" dxfId="251" priority="35">
      <formula>OR(LEFT(#REF!,9)="Número de",#REF!="Otra")</formula>
    </cfRule>
    <cfRule type="expression" dxfId="250" priority="36">
      <formula>#REF!="Porcentaje"</formula>
    </cfRule>
  </conditionalFormatting>
  <conditionalFormatting sqref="M25">
    <cfRule type="expression" dxfId="249" priority="31">
      <formula>#REF!="Pesos ($)"</formula>
    </cfRule>
    <cfRule type="expression" dxfId="248" priority="32">
      <formula>OR(LEFT(#REF!,9)="Número de",#REF!="Otra")</formula>
    </cfRule>
    <cfRule type="expression" dxfId="247" priority="33">
      <formula>#REF!="Porcentaje"</formula>
    </cfRule>
  </conditionalFormatting>
  <conditionalFormatting sqref="M24">
    <cfRule type="expression" dxfId="246" priority="28">
      <formula>#REF!="Pesos ($)"</formula>
    </cfRule>
    <cfRule type="expression" dxfId="245" priority="29">
      <formula>OR(LEFT(#REF!,9)="Número de",#REF!="Otra")</formula>
    </cfRule>
    <cfRule type="expression" dxfId="244" priority="30">
      <formula>#REF!="Porcentaje"</formula>
    </cfRule>
  </conditionalFormatting>
  <conditionalFormatting sqref="M20">
    <cfRule type="expression" dxfId="243" priority="25">
      <formula>#REF!="Pesos ($)"</formula>
    </cfRule>
    <cfRule type="expression" dxfId="242" priority="26">
      <formula>OR(LEFT(#REF!,9)="Número de",#REF!="Otra")</formula>
    </cfRule>
    <cfRule type="expression" dxfId="241" priority="27">
      <formula>#REF!="Porcentaje"</formula>
    </cfRule>
  </conditionalFormatting>
  <conditionalFormatting sqref="O26 O21:O22">
    <cfRule type="expression" dxfId="240" priority="22">
      <formula>#REF!="Pesos ($)"</formula>
    </cfRule>
    <cfRule type="expression" dxfId="239" priority="23">
      <formula>OR(LEFT(#REF!,9)="Número de",#REF!="Otra")</formula>
    </cfRule>
    <cfRule type="expression" dxfId="238" priority="24">
      <formula>#REF!="Porcentaje"</formula>
    </cfRule>
  </conditionalFormatting>
  <conditionalFormatting sqref="O23">
    <cfRule type="expression" dxfId="237" priority="19">
      <formula>#REF!="Pesos ($)"</formula>
    </cfRule>
    <cfRule type="expression" dxfId="236" priority="20">
      <formula>OR(LEFT(#REF!,9)="Número de",#REF!="Otra")</formula>
    </cfRule>
    <cfRule type="expression" dxfId="235" priority="21">
      <formula>#REF!="Porcentaje"</formula>
    </cfRule>
  </conditionalFormatting>
  <conditionalFormatting sqref="O25">
    <cfRule type="expression" dxfId="234" priority="16">
      <formula>#REF!="Pesos ($)"</formula>
    </cfRule>
    <cfRule type="expression" dxfId="233" priority="17">
      <formula>OR(LEFT(#REF!,9)="Número de",#REF!="Otra")</formula>
    </cfRule>
    <cfRule type="expression" dxfId="232" priority="18">
      <formula>#REF!="Porcentaje"</formula>
    </cfRule>
  </conditionalFormatting>
  <conditionalFormatting sqref="O24">
    <cfRule type="expression" dxfId="231" priority="13">
      <formula>#REF!="Pesos ($)"</formula>
    </cfRule>
    <cfRule type="expression" dxfId="230" priority="14">
      <formula>OR(LEFT(#REF!,9)="Número de",#REF!="Otra")</formula>
    </cfRule>
    <cfRule type="expression" dxfId="229" priority="15">
      <formula>#REF!="Porcentaje"</formula>
    </cfRule>
  </conditionalFormatting>
  <conditionalFormatting sqref="O20">
    <cfRule type="expression" dxfId="228" priority="10">
      <formula>#REF!="Pesos ($)"</formula>
    </cfRule>
    <cfRule type="expression" dxfId="227" priority="11">
      <formula>OR(LEFT(#REF!,9)="Número de",#REF!="Otra")</formula>
    </cfRule>
    <cfRule type="expression" dxfId="226" priority="12">
      <formula>#REF!="Porcentaje"</formula>
    </cfRule>
  </conditionalFormatting>
  <conditionalFormatting sqref="U23:V25">
    <cfRule type="expression" dxfId="225" priority="7">
      <formula>#REF!="Pesos ($)"</formula>
    </cfRule>
    <cfRule type="expression" dxfId="224" priority="8">
      <formula>OR(LEFT(#REF!,9)="Número de",#REF!="Otra")</formula>
    </cfRule>
    <cfRule type="expression" dxfId="223" priority="9">
      <formula>#REF!="Porcentaje"</formula>
    </cfRule>
  </conditionalFormatting>
  <conditionalFormatting sqref="U22:V22">
    <cfRule type="expression" dxfId="222" priority="4">
      <formula>#REF!="Pesos ($)"</formula>
    </cfRule>
    <cfRule type="expression" dxfId="221" priority="5">
      <formula>OR(LEFT(#REF!,9)="Número de",#REF!="Otra")</formula>
    </cfRule>
    <cfRule type="expression" dxfId="220" priority="6">
      <formula>#REF!="Porcentaje"</formula>
    </cfRule>
  </conditionalFormatting>
  <conditionalFormatting sqref="H10:H11">
    <cfRule type="expression" dxfId="219" priority="1">
      <formula>#REF!="Pesos ($)"</formula>
    </cfRule>
    <cfRule type="expression" dxfId="218" priority="2">
      <formula>OR(LEFT(#REF!,9)="Número de",#REF!="Otra")</formula>
    </cfRule>
    <cfRule type="expression" dxfId="217" priority="3">
      <formula>#REF!="Porcentaje"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theme="8" tint="-0.249977111117893"/>
  </sheetPr>
  <dimension ref="B1:R83"/>
  <sheetViews>
    <sheetView showGridLines="0" zoomScale="85" zoomScaleNormal="85" workbookViewId="0">
      <selection activeCell="F31" sqref="F31"/>
    </sheetView>
  </sheetViews>
  <sheetFormatPr baseColWidth="10" defaultColWidth="11.44140625" defaultRowHeight="15"/>
  <cols>
    <col min="1" max="1" width="3.6640625" style="600" customWidth="1"/>
    <col min="2" max="2" width="52.44140625" style="600" customWidth="1"/>
    <col min="3" max="5" width="18.44140625" style="602" customWidth="1"/>
    <col min="6" max="7" width="18.44140625" style="600" customWidth="1"/>
    <col min="8" max="8" width="6.109375" style="602" hidden="1" customWidth="1"/>
    <col min="9" max="9" width="11.44140625" style="600" hidden="1" customWidth="1"/>
    <col min="10" max="16" width="11.44140625" style="600"/>
    <col min="17" max="17" width="62.44140625" style="600" bestFit="1" customWidth="1"/>
    <col min="18" max="18" width="40" style="600" customWidth="1"/>
    <col min="19" max="16356" width="11.44140625" style="600"/>
    <col min="16357" max="16357" width="1.44140625" style="600" customWidth="1"/>
    <col min="16358" max="16384" width="2.88671875" style="600" customWidth="1"/>
  </cols>
  <sheetData>
    <row r="1" spans="2:18">
      <c r="C1" s="601"/>
      <c r="D1" s="601"/>
      <c r="E1" s="601"/>
    </row>
    <row r="2" spans="2:18" ht="15.6">
      <c r="B2" s="1364" t="s">
        <v>946</v>
      </c>
      <c r="C2" s="1365" t="s">
        <v>951</v>
      </c>
      <c r="D2" s="1366"/>
      <c r="E2" s="1366"/>
      <c r="F2" s="1366"/>
      <c r="G2" s="1367"/>
      <c r="H2" s="643"/>
    </row>
    <row r="3" spans="2:18" ht="17.399999999999999">
      <c r="B3" s="1364"/>
      <c r="C3" s="1368" t="s">
        <v>994</v>
      </c>
      <c r="D3" s="1369"/>
      <c r="E3" s="1369"/>
      <c r="F3" s="1369"/>
      <c r="G3" s="1370"/>
      <c r="H3" s="643"/>
    </row>
    <row r="4" spans="2:18" ht="9.75" customHeight="1">
      <c r="B4" s="1379"/>
      <c r="C4" s="1379"/>
      <c r="D4" s="1379"/>
      <c r="E4" s="1379"/>
      <c r="F4" s="1379"/>
      <c r="G4" s="1028"/>
      <c r="H4" s="623"/>
    </row>
    <row r="5" spans="2:18" ht="19.5" customHeight="1">
      <c r="B5" s="600" t="str">
        <f>+'3.Resum Desempeño Procesos POA '!B5</f>
        <v>Fecha de corte: 30 de septiembre de 2021</v>
      </c>
    </row>
    <row r="6" spans="2:18" ht="19.5" customHeight="1">
      <c r="B6" s="603"/>
    </row>
    <row r="7" spans="2:18" s="613" customFormat="1" ht="31.5" customHeight="1">
      <c r="B7" s="1343" t="s">
        <v>768</v>
      </c>
      <c r="C7" s="1380" t="s">
        <v>1202</v>
      </c>
      <c r="D7" s="1381"/>
      <c r="E7" s="1381"/>
      <c r="F7" s="1381"/>
      <c r="G7" s="1382"/>
      <c r="H7" s="614"/>
      <c r="Q7" s="600"/>
      <c r="R7" s="600"/>
    </row>
    <row r="8" spans="2:18" s="613" customFormat="1" ht="74.400000000000006" customHeight="1">
      <c r="B8" s="1343"/>
      <c r="C8" s="696" t="s">
        <v>952</v>
      </c>
      <c r="D8" s="696" t="s">
        <v>953</v>
      </c>
      <c r="E8" s="696" t="s">
        <v>954</v>
      </c>
      <c r="F8" s="696" t="s">
        <v>962</v>
      </c>
      <c r="G8" s="644" t="s">
        <v>984</v>
      </c>
      <c r="H8" s="614"/>
      <c r="Q8" s="600"/>
      <c r="R8" s="600"/>
    </row>
    <row r="9" spans="2:18" ht="15.6">
      <c r="B9" s="605" t="s">
        <v>775</v>
      </c>
      <c r="C9" s="701">
        <f>+'4.Seguimiento Medición POA 2021'!C63</f>
        <v>4</v>
      </c>
      <c r="D9" s="626">
        <f>COUNTIF('2.Infor Detallado Desempeño POA'!K13:K16,"=100%")</f>
        <v>3</v>
      </c>
      <c r="E9" s="627">
        <f>COUNTIF('2.Infor Detallado Desempeño POA'!K13:K16,"&gt;100%")</f>
        <v>1</v>
      </c>
      <c r="F9" s="700">
        <f>COUNTIF('2.Infor Detallado Desempeño POA'!K13:K16,"&lt;100%")</f>
        <v>0</v>
      </c>
      <c r="G9" s="697">
        <f>COUNTIF('2.Infor Detallado Desempeño POA'!K13:K16,"=No programado")</f>
        <v>0</v>
      </c>
      <c r="H9" s="624">
        <f>SUM(D9:G9)</f>
        <v>4</v>
      </c>
      <c r="I9" s="625">
        <f t="shared" ref="I9:I25" si="0">C9-H9</f>
        <v>0</v>
      </c>
    </row>
    <row r="10" spans="2:18" ht="15.6">
      <c r="B10" s="605" t="s">
        <v>777</v>
      </c>
      <c r="C10" s="701">
        <f>+'4.Seguimiento Medición POA 2021'!C64</f>
        <v>3</v>
      </c>
      <c r="D10" s="626">
        <f>COUNTIF('2.Infor Detallado Desempeño POA'!K22:K24,"=100%")</f>
        <v>0</v>
      </c>
      <c r="E10" s="642">
        <f>COUNTIF('2.Infor Detallado Desempeño POA'!K22:K24,"&gt;100%")</f>
        <v>0</v>
      </c>
      <c r="F10" s="699">
        <f>COUNTIF('2.Infor Detallado Desempeño POA'!K22:K24,"&lt;100%")</f>
        <v>1</v>
      </c>
      <c r="G10" s="697">
        <f>COUNTIF('2.Infor Detallado Desempeño POA'!K22:K24,"=No programado")</f>
        <v>2</v>
      </c>
      <c r="H10" s="624">
        <f t="shared" ref="H10:H24" si="1">SUM(D10:G10)</f>
        <v>3</v>
      </c>
      <c r="I10" s="625">
        <f t="shared" si="0"/>
        <v>0</v>
      </c>
    </row>
    <row r="11" spans="2:18">
      <c r="B11" s="605" t="s">
        <v>778</v>
      </c>
      <c r="C11" s="701">
        <f>+'4.Seguimiento Medición POA 2021'!C65</f>
        <v>7</v>
      </c>
      <c r="D11" s="626">
        <f>COUNTIF('2.Infor Detallado Desempeño POA'!K30:K36,"=100%")</f>
        <v>7</v>
      </c>
      <c r="E11" s="627">
        <f>COUNTIF('2.Infor Detallado Desempeño POA'!K30:K36,"&gt;100%")</f>
        <v>0</v>
      </c>
      <c r="F11" s="699">
        <f>COUNTIF('2.Infor Detallado Desempeño POA'!K30:K36,"&lt;100%")</f>
        <v>0</v>
      </c>
      <c r="G11" s="697">
        <f>COUNTIF('2.Infor Detallado Desempeño POA'!K30:K36,"=No programado")</f>
        <v>0</v>
      </c>
      <c r="H11" s="624">
        <f t="shared" si="1"/>
        <v>7</v>
      </c>
      <c r="I11" s="625">
        <f t="shared" si="0"/>
        <v>0</v>
      </c>
    </row>
    <row r="12" spans="2:18">
      <c r="B12" s="605" t="s">
        <v>779</v>
      </c>
      <c r="C12" s="701">
        <f>+'4.Seguimiento Medición POA 2021'!C66</f>
        <v>2</v>
      </c>
      <c r="D12" s="626">
        <f>COUNTIF('2.Infor Detallado Desempeño POA'!K42:K43,"=100%")</f>
        <v>2</v>
      </c>
      <c r="E12" s="627">
        <f>COUNTIF('2.Infor Detallado Desempeño POA'!K42:K43,"&gt;100%")</f>
        <v>0</v>
      </c>
      <c r="F12" s="699">
        <f>COUNTIF('2.Infor Detallado Desempeño POA'!K42:K43,"&lt;100%")</f>
        <v>0</v>
      </c>
      <c r="G12" s="697">
        <f>COUNTIF('2.Infor Detallado Desempeño POA'!K42:K43,"=No programado")</f>
        <v>0</v>
      </c>
      <c r="H12" s="624">
        <f>SUM(D12:G12)</f>
        <v>2</v>
      </c>
      <c r="I12" s="625">
        <f t="shared" si="0"/>
        <v>0</v>
      </c>
    </row>
    <row r="13" spans="2:18">
      <c r="B13" s="605" t="s">
        <v>790</v>
      </c>
      <c r="C13" s="701">
        <f>+'4.Seguimiento Medición POA 2021'!C67</f>
        <v>3</v>
      </c>
      <c r="D13" s="626">
        <f>COUNTIF('2.Infor Detallado Desempeño POA'!K49:K51,"=100%")</f>
        <v>0</v>
      </c>
      <c r="E13" s="627">
        <f>COUNTIF('2.Infor Detallado Desempeño POA'!K49:K51,"&gt;100%")</f>
        <v>1</v>
      </c>
      <c r="F13" s="699">
        <f>COUNTIF('2.Infor Detallado Desempeño POA'!K49:K51,"&lt;100%")</f>
        <v>0</v>
      </c>
      <c r="G13" s="697">
        <f>COUNTIF('2.Infor Detallado Desempeño POA'!K49:K51,"=No programado")</f>
        <v>2</v>
      </c>
      <c r="H13" s="624">
        <f t="shared" si="1"/>
        <v>3</v>
      </c>
      <c r="I13" s="625">
        <f t="shared" si="0"/>
        <v>0</v>
      </c>
    </row>
    <row r="14" spans="2:18" ht="15.6">
      <c r="B14" s="605" t="s">
        <v>780</v>
      </c>
      <c r="C14" s="701">
        <f>+'4.Seguimiento Medición POA 2021'!C68</f>
        <v>21</v>
      </c>
      <c r="D14" s="641">
        <f>COUNTIF('2.Infor Detallado Desempeño POA'!K57:K77,"=100%")</f>
        <v>0</v>
      </c>
      <c r="E14" s="642">
        <f>COUNTIF('2.Infor Detallado Desempeño POA'!K57:K77,"&gt;100%")</f>
        <v>11</v>
      </c>
      <c r="F14" s="700">
        <f>COUNTIF('2.Infor Detallado Desempeño POA'!K57:K77,"&lt;100%")</f>
        <v>7</v>
      </c>
      <c r="G14" s="697">
        <f>COUNTIF('2.Infor Detallado Desempeño POA'!K57:K77,"=No programado")</f>
        <v>3</v>
      </c>
      <c r="H14" s="624">
        <f t="shared" si="1"/>
        <v>21</v>
      </c>
      <c r="I14" s="625">
        <f t="shared" si="0"/>
        <v>0</v>
      </c>
    </row>
    <row r="15" spans="2:18" ht="15.6">
      <c r="B15" s="605" t="s">
        <v>916</v>
      </c>
      <c r="C15" s="701">
        <f>+'4.Seguimiento Medición POA 2021'!C69</f>
        <v>7</v>
      </c>
      <c r="D15" s="626">
        <f>COUNTIF('2.Infor Detallado Desempeño POA'!K83:K89,"=100%")</f>
        <v>1</v>
      </c>
      <c r="E15" s="642">
        <f>COUNTIF('2.Infor Detallado Desempeño POA'!K83:K89,"&gt;100%")</f>
        <v>2</v>
      </c>
      <c r="F15" s="699">
        <f>COUNTIF('2.Infor Detallado Desempeño POA'!K83:K89,"&lt;100%")</f>
        <v>3</v>
      </c>
      <c r="G15" s="697">
        <f>COUNTIF('2.Infor Detallado Desempeño POA'!K83:K89,"=No programado")</f>
        <v>1</v>
      </c>
      <c r="H15" s="624">
        <f t="shared" si="1"/>
        <v>7</v>
      </c>
      <c r="I15" s="625">
        <f t="shared" si="0"/>
        <v>0</v>
      </c>
    </row>
    <row r="16" spans="2:18" ht="15.6">
      <c r="B16" s="605" t="s">
        <v>783</v>
      </c>
      <c r="C16" s="701">
        <f>+'4.Seguimiento Medición POA 2021'!C70</f>
        <v>8</v>
      </c>
      <c r="D16" s="641">
        <f>COUNTIF('2.Infor Detallado Desempeño POA'!K95:K102,"=100%")</f>
        <v>2</v>
      </c>
      <c r="E16" s="627">
        <f>COUNTIF('2.Infor Detallado Desempeño POA'!K95:K102,"&gt;100%")</f>
        <v>4</v>
      </c>
      <c r="F16" s="700">
        <f>COUNTIF('2.Infor Detallado Desempeño POA'!K95:K102,"&lt;100%")</f>
        <v>2</v>
      </c>
      <c r="G16" s="697">
        <f>COUNTIF('2.Infor Detallado Desempeño POA'!K95:K102,"=No programado")</f>
        <v>0</v>
      </c>
      <c r="H16" s="624">
        <f t="shared" si="1"/>
        <v>8</v>
      </c>
      <c r="I16" s="625">
        <f t="shared" si="0"/>
        <v>0</v>
      </c>
    </row>
    <row r="17" spans="2:9" ht="15.6">
      <c r="B17" s="605" t="s">
        <v>784</v>
      </c>
      <c r="C17" s="701">
        <f>+'4.Seguimiento Medición POA 2021'!C71</f>
        <v>8</v>
      </c>
      <c r="D17" s="626">
        <f>COUNTIF('2.Infor Detallado Desempeño POA'!K108:K115,"=100%")</f>
        <v>2</v>
      </c>
      <c r="E17" s="642">
        <f>COUNTIF('2.Infor Detallado Desempeño POA'!K108:K115,"&gt;100%")</f>
        <v>3</v>
      </c>
      <c r="F17" s="700">
        <f>COUNTIF('2.Infor Detallado Desempeño POA'!K108:K115,"&lt;100%")</f>
        <v>3</v>
      </c>
      <c r="G17" s="697">
        <f>COUNTIF('2.Infor Detallado Desempeño POA'!K108:K115,"=No programado")</f>
        <v>0</v>
      </c>
      <c r="H17" s="624">
        <f t="shared" si="1"/>
        <v>8</v>
      </c>
      <c r="I17" s="625">
        <f t="shared" si="0"/>
        <v>0</v>
      </c>
    </row>
    <row r="18" spans="2:9" ht="16.5" customHeight="1">
      <c r="B18" s="605" t="s">
        <v>785</v>
      </c>
      <c r="C18" s="701">
        <f>+'4.Seguimiento Medición POA 2021'!C72</f>
        <v>2</v>
      </c>
      <c r="D18" s="626">
        <f>COUNTIF('2.Infor Detallado Desempeño POA'!K121:K122,"=100%")</f>
        <v>1</v>
      </c>
      <c r="E18" s="642">
        <f>COUNTIF('2.Infor Detallado Desempeño POA'!K121:K122,"&gt;100%")</f>
        <v>1</v>
      </c>
      <c r="F18" s="699">
        <f>COUNTIF('2.Infor Detallado Desempeño POA'!K121:K122,"&lt;100%")</f>
        <v>0</v>
      </c>
      <c r="G18" s="697">
        <f>COUNTIF('2.Infor Detallado Desempeño POA'!K121:K122,"=No programado")</f>
        <v>0</v>
      </c>
      <c r="H18" s="624">
        <f t="shared" si="1"/>
        <v>2</v>
      </c>
      <c r="I18" s="625">
        <f t="shared" si="0"/>
        <v>0</v>
      </c>
    </row>
    <row r="19" spans="2:9" ht="15.6">
      <c r="B19" s="605" t="s">
        <v>786</v>
      </c>
      <c r="C19" s="701">
        <f>+'4.Seguimiento Medición POA 2021'!C73</f>
        <v>3</v>
      </c>
      <c r="D19" s="626">
        <f>COUNTIF('2.Infor Detallado Desempeño POA'!K128:K130,"=100%")</f>
        <v>1</v>
      </c>
      <c r="E19" s="642">
        <f>COUNTIF('2.Infor Detallado Desempeño POA'!K128:K130,"&gt;100%")</f>
        <v>0</v>
      </c>
      <c r="F19" s="700">
        <f>COUNTIF('2.Infor Detallado Desempeño POA'!K128:K130,"&lt;100%")</f>
        <v>2</v>
      </c>
      <c r="G19" s="697">
        <f>COUNTIF('2.Infor Detallado Desempeño POA'!K128:K130,"=No programado")</f>
        <v>0</v>
      </c>
      <c r="H19" s="624">
        <f t="shared" si="1"/>
        <v>3</v>
      </c>
      <c r="I19" s="625">
        <f t="shared" si="0"/>
        <v>0</v>
      </c>
    </row>
    <row r="20" spans="2:9" ht="15.6">
      <c r="B20" s="605" t="s">
        <v>787</v>
      </c>
      <c r="C20" s="701">
        <f>+'4.Seguimiento Medición POA 2021'!C74</f>
        <v>4</v>
      </c>
      <c r="D20" s="641">
        <f>COUNTIF('2.Infor Detallado Desempeño POA'!K136:K139,"=100%")</f>
        <v>1</v>
      </c>
      <c r="E20" s="627">
        <f>COUNTIF('2.Infor Detallado Desempeño POA'!K136:K139,"&gt;100%")</f>
        <v>1</v>
      </c>
      <c r="F20" s="700">
        <f>COUNTIF('2.Infor Detallado Desempeño POA'!K136:K139,"&lt;100%")</f>
        <v>2</v>
      </c>
      <c r="G20" s="697">
        <f>COUNTIF('2.Infor Detallado Desempeño POA'!K136:K139,"=No programado")</f>
        <v>0</v>
      </c>
      <c r="H20" s="624">
        <f t="shared" si="1"/>
        <v>4</v>
      </c>
      <c r="I20" s="625">
        <f t="shared" si="0"/>
        <v>0</v>
      </c>
    </row>
    <row r="21" spans="2:9" ht="15.6">
      <c r="B21" s="605" t="s">
        <v>788</v>
      </c>
      <c r="C21" s="701">
        <f>+'4.Seguimiento Medición POA 2021'!C75</f>
        <v>4</v>
      </c>
      <c r="D21" s="626">
        <f>COUNTIF('2.Infor Detallado Desempeño POA'!K145:K148,"=100%")</f>
        <v>0</v>
      </c>
      <c r="E21" s="642">
        <f>COUNTIF('2.Infor Detallado Desempeño POA'!K145:K148,"&gt;100%")</f>
        <v>3</v>
      </c>
      <c r="F21" s="700">
        <f>COUNTIF('2.Infor Detallado Desempeño POA'!K145:K148,"&lt;100%")</f>
        <v>1</v>
      </c>
      <c r="G21" s="697">
        <f>COUNTIF('2.Infor Detallado Desempeño POA'!K145:K148,"=No programado")</f>
        <v>0</v>
      </c>
      <c r="H21" s="624">
        <f t="shared" si="1"/>
        <v>4</v>
      </c>
      <c r="I21" s="625">
        <f t="shared" si="0"/>
        <v>0</v>
      </c>
    </row>
    <row r="22" spans="2:9">
      <c r="B22" s="605" t="s">
        <v>789</v>
      </c>
      <c r="C22" s="701">
        <f>+'4.Seguimiento Medición POA 2021'!C76</f>
        <v>5</v>
      </c>
      <c r="D22" s="626">
        <f>COUNTIF('2.Infor Detallado Desempeño POA'!K154:K158,"=100%")</f>
        <v>5</v>
      </c>
      <c r="E22" s="627">
        <f>COUNTIF('2.Infor Detallado Desempeño POA'!K154:K158,"&gt;100%")</f>
        <v>0</v>
      </c>
      <c r="F22" s="699">
        <f>COUNTIF('2.Infor Detallado Desempeño POA'!K154:K158,"&lt;100%")</f>
        <v>0</v>
      </c>
      <c r="G22" s="697">
        <f>COUNTIF('2.Infor Detallado Desempeño POA'!K154:K158,"=No programado")</f>
        <v>0</v>
      </c>
      <c r="H22" s="624">
        <f t="shared" si="1"/>
        <v>5</v>
      </c>
      <c r="I22" s="625">
        <f t="shared" si="0"/>
        <v>0</v>
      </c>
    </row>
    <row r="23" spans="2:9" ht="15.6">
      <c r="B23" s="605" t="s">
        <v>791</v>
      </c>
      <c r="C23" s="701">
        <f>+'4.Seguimiento Medición POA 2021'!C77</f>
        <v>3</v>
      </c>
      <c r="D23" s="626">
        <f>COUNTIF('2.Infor Detallado Desempeño POA'!K164:K166,"=100%")</f>
        <v>1</v>
      </c>
      <c r="E23" s="642">
        <f>COUNTIF('2.Infor Detallado Desempeño POA'!K164:K166,"&gt;100%")</f>
        <v>2</v>
      </c>
      <c r="F23" s="699">
        <f>COUNTIF('2.Infor Detallado Desempeño POA'!K164:K166,"&lt;100%")</f>
        <v>0</v>
      </c>
      <c r="G23" s="697">
        <f>COUNTIF('2.Infor Detallado Desempeño POA'!K164:K166,"=No programado")</f>
        <v>0</v>
      </c>
      <c r="H23" s="624">
        <f t="shared" si="1"/>
        <v>3</v>
      </c>
      <c r="I23" s="625">
        <f t="shared" si="0"/>
        <v>0</v>
      </c>
    </row>
    <row r="24" spans="2:9">
      <c r="B24" s="605" t="s">
        <v>792</v>
      </c>
      <c r="C24" s="701">
        <f>+'4.Seguimiento Medición POA 2021'!C78</f>
        <v>3</v>
      </c>
      <c r="D24" s="626">
        <f>COUNTIF('2.Infor Detallado Desempeño POA'!K172:K174,"=100%")</f>
        <v>1</v>
      </c>
      <c r="E24" s="627">
        <f>COUNTIF('2.Infor Detallado Desempeño POA'!K172:K174,"&gt;100%")</f>
        <v>0</v>
      </c>
      <c r="F24" s="699">
        <f>COUNTIF('2.Infor Detallado Desempeño POA'!K172:K174,"&lt;100%")</f>
        <v>0</v>
      </c>
      <c r="G24" s="697">
        <f>COUNTIF('2.Infor Detallado Desempeño POA'!K172:K174,"=No programado")</f>
        <v>2</v>
      </c>
      <c r="H24" s="624">
        <f t="shared" si="1"/>
        <v>3</v>
      </c>
      <c r="I24" s="625">
        <f t="shared" si="0"/>
        <v>0</v>
      </c>
    </row>
    <row r="25" spans="2:9" ht="19.5" customHeight="1">
      <c r="B25" s="639" t="s">
        <v>950</v>
      </c>
      <c r="C25" s="640">
        <f>SUM(C9:C24)</f>
        <v>87</v>
      </c>
      <c r="D25" s="641">
        <f t="shared" ref="D25:E25" si="2">SUM(D9:D24)</f>
        <v>27</v>
      </c>
      <c r="E25" s="642">
        <f t="shared" si="2"/>
        <v>29</v>
      </c>
      <c r="F25" s="700">
        <f>SUM(F9:F24)</f>
        <v>21</v>
      </c>
      <c r="G25" s="698">
        <f>SUM(G9:G24)</f>
        <v>10</v>
      </c>
      <c r="H25" s="624">
        <f>SUM(D25:G25)</f>
        <v>87</v>
      </c>
      <c r="I25" s="625">
        <f t="shared" si="0"/>
        <v>0</v>
      </c>
    </row>
    <row r="27" spans="2:9" s="708" customFormat="1" ht="2.4" customHeight="1">
      <c r="C27" s="712"/>
      <c r="D27" s="1054" t="str">
        <f>+D8</f>
        <v>No de Indicadores con Meta Cumplida según programación</v>
      </c>
      <c r="E27" s="1055">
        <f>+D25</f>
        <v>27</v>
      </c>
      <c r="H27" s="709"/>
    </row>
    <row r="28" spans="2:9" s="708" customFormat="1" ht="2.4" customHeight="1">
      <c r="C28" s="712"/>
      <c r="D28" s="1054" t="str">
        <f>+E8</f>
        <v xml:space="preserve">No de Indicadores con ejecución superior a la programada </v>
      </c>
      <c r="E28" s="1055">
        <f>+E25</f>
        <v>29</v>
      </c>
      <c r="H28" s="709"/>
    </row>
    <row r="29" spans="2:9" s="708" customFormat="1" ht="2.4" customHeight="1">
      <c r="C29" s="712"/>
      <c r="D29" s="1054" t="str">
        <f>+F8</f>
        <v xml:space="preserve">No de Indicadores con ejecución menor a la programada </v>
      </c>
      <c r="E29" s="1055">
        <f>+F25</f>
        <v>21</v>
      </c>
      <c r="H29" s="709"/>
    </row>
    <row r="30" spans="2:9" s="708" customFormat="1" ht="2.4" customHeight="1">
      <c r="C30" s="712"/>
      <c r="D30" s="1054" t="str">
        <f>+G8</f>
        <v>No de indicadores sin programar en el periodo</v>
      </c>
      <c r="E30" s="1055">
        <f>+G25</f>
        <v>10</v>
      </c>
      <c r="H30" s="709"/>
    </row>
    <row r="31" spans="2:9" s="708" customFormat="1">
      <c r="C31" s="709"/>
      <c r="D31" s="709"/>
      <c r="E31" s="709"/>
      <c r="H31" s="709"/>
    </row>
    <row r="32" spans="2:9" s="708" customFormat="1">
      <c r="C32" s="709"/>
      <c r="D32" s="709"/>
      <c r="E32" s="709"/>
      <c r="H32" s="709"/>
    </row>
    <row r="33" spans="2:9" s="708" customFormat="1" hidden="1">
      <c r="C33" s="709"/>
      <c r="D33" s="709"/>
      <c r="E33" s="709"/>
      <c r="H33" s="709"/>
    </row>
    <row r="34" spans="2:9" s="711" customFormat="1" ht="10.199999999999999" hidden="1" customHeight="1">
      <c r="C34" s="712"/>
      <c r="D34" s="1378" t="str">
        <f>+C7</f>
        <v>CUMPLIMIENTO PROGRAMACIÓN EN EL PERIODO 
Tercer Trimestre de 2021</v>
      </c>
      <c r="E34" s="1378"/>
      <c r="H34" s="712"/>
    </row>
    <row r="35" spans="2:9" s="711" customFormat="1" ht="40.799999999999997" customHeight="1">
      <c r="B35" s="1343" t="s">
        <v>768</v>
      </c>
      <c r="C35" s="1380" t="s">
        <v>1203</v>
      </c>
      <c r="D35" s="1381"/>
      <c r="E35" s="1381"/>
      <c r="F35" s="1381"/>
      <c r="G35" s="1382"/>
      <c r="H35" s="712"/>
    </row>
    <row r="36" spans="2:9" s="711" customFormat="1" ht="72.599999999999994" customHeight="1">
      <c r="B36" s="1343"/>
      <c r="C36" s="696" t="s">
        <v>952</v>
      </c>
      <c r="D36" s="696" t="s">
        <v>953</v>
      </c>
      <c r="E36" s="696" t="s">
        <v>954</v>
      </c>
      <c r="F36" s="696" t="s">
        <v>962</v>
      </c>
      <c r="G36" s="644" t="s">
        <v>984</v>
      </c>
      <c r="H36" s="712"/>
    </row>
    <row r="37" spans="2:9" s="711" customFormat="1" ht="19.8" customHeight="1">
      <c r="B37" s="605" t="s">
        <v>775</v>
      </c>
      <c r="C37" s="701">
        <f>+C63</f>
        <v>4</v>
      </c>
      <c r="D37" s="626">
        <f>COUNTIF('2.Infor Detallado Desempeño POA'!L13:L16,"=100%")</f>
        <v>2</v>
      </c>
      <c r="E37" s="627">
        <f>COUNTIF('2.Infor Detallado Desempeño POA'!L13:L16,"&gt;100%")</f>
        <v>0</v>
      </c>
      <c r="F37" s="700">
        <f>COUNTIF('2.Infor Detallado Desempeño POA'!L13:L16,"&lt;100%")</f>
        <v>2</v>
      </c>
      <c r="G37" s="697">
        <f>COUNTIF('2.Infor Detallado Desempeño POA'!L13:L16,"=No programado")</f>
        <v>0</v>
      </c>
      <c r="H37" s="624">
        <f>SUM(D37:G37)</f>
        <v>4</v>
      </c>
      <c r="I37" s="625">
        <f t="shared" ref="I37:I53" si="3">C37-H37</f>
        <v>0</v>
      </c>
    </row>
    <row r="38" spans="2:9" s="711" customFormat="1" ht="19.8" customHeight="1">
      <c r="B38" s="605" t="s">
        <v>777</v>
      </c>
      <c r="C38" s="701">
        <f t="shared" ref="C38:C52" si="4">+C64</f>
        <v>3</v>
      </c>
      <c r="D38" s="626">
        <f>COUNTIF('2.Infor Detallado Desempeño POA'!L22:L24,"=100%")</f>
        <v>1</v>
      </c>
      <c r="E38" s="642">
        <f>COUNTIF('2.Infor Detallado Desempeño POA'!L22:L24,"&gt;100%")</f>
        <v>1</v>
      </c>
      <c r="F38" s="699">
        <f>COUNTIF('2.Infor Detallado Desempeño POA'!L24:L24,"&lt;100%")</f>
        <v>0</v>
      </c>
      <c r="G38" s="697">
        <f>COUNTIF('2.Infor Detallado Desempeño POA'!L22:L24,"=No programado")</f>
        <v>1</v>
      </c>
      <c r="H38" s="624">
        <f t="shared" ref="H38:H39" si="5">SUM(D38:G38)</f>
        <v>3</v>
      </c>
      <c r="I38" s="625">
        <f t="shared" si="3"/>
        <v>0</v>
      </c>
    </row>
    <row r="39" spans="2:9" s="711" customFormat="1" ht="19.8" customHeight="1">
      <c r="B39" s="605" t="s">
        <v>778</v>
      </c>
      <c r="C39" s="701">
        <f t="shared" si="4"/>
        <v>7</v>
      </c>
      <c r="D39" s="626">
        <f>COUNTIF('2.Infor Detallado Desempeño POA'!L30:L36,"=100%")</f>
        <v>7</v>
      </c>
      <c r="E39" s="627">
        <f>COUNTIF('2.Infor Detallado Desempeño POA'!L30:L36,"&gt;100%")</f>
        <v>0</v>
      </c>
      <c r="F39" s="699">
        <f>COUNTIF('2.Infor Detallado Desempeño POA'!L30:L36,"&lt;100%")</f>
        <v>0</v>
      </c>
      <c r="G39" s="697">
        <f>COUNTIF('2.Infor Detallado Desempeño POA'!L30:L36,"=No programado")</f>
        <v>0</v>
      </c>
      <c r="H39" s="624">
        <f t="shared" si="5"/>
        <v>7</v>
      </c>
      <c r="I39" s="625">
        <f t="shared" si="3"/>
        <v>0</v>
      </c>
    </row>
    <row r="40" spans="2:9" s="711" customFormat="1" ht="19.8" customHeight="1">
      <c r="B40" s="605" t="s">
        <v>779</v>
      </c>
      <c r="C40" s="701">
        <f t="shared" si="4"/>
        <v>2</v>
      </c>
      <c r="D40" s="626">
        <f>COUNTIF('2.Infor Detallado Desempeño POA'!L42:L43,"=100%")</f>
        <v>2</v>
      </c>
      <c r="E40" s="627">
        <f>COUNTIF('2.Infor Detallado Desempeño POA'!L42:L43,"&gt;100%")</f>
        <v>0</v>
      </c>
      <c r="F40" s="699">
        <f>COUNTIF('2.Infor Detallado Desempeño POA'!L42:L43,"&lt;100%")</f>
        <v>0</v>
      </c>
      <c r="G40" s="697">
        <f>COUNTIF('2.Infor Detallado Desempeño POA'!L42:L43,"=No programado")</f>
        <v>0</v>
      </c>
      <c r="H40" s="624">
        <f>SUM(D40:G40)</f>
        <v>2</v>
      </c>
      <c r="I40" s="625">
        <f t="shared" si="3"/>
        <v>0</v>
      </c>
    </row>
    <row r="41" spans="2:9" s="711" customFormat="1" ht="19.8" customHeight="1">
      <c r="B41" s="605" t="s">
        <v>790</v>
      </c>
      <c r="C41" s="701">
        <f t="shared" si="4"/>
        <v>3</v>
      </c>
      <c r="D41" s="626">
        <f>COUNTIF('2.Infor Detallado Desempeño POA'!L49:L51,"=100%")</f>
        <v>1</v>
      </c>
      <c r="E41" s="627">
        <f>COUNTIF('2.Infor Detallado Desempeño POA'!L49:L51,"&gt;100%")</f>
        <v>1</v>
      </c>
      <c r="F41" s="699">
        <f>COUNTIF('2.Infor Detallado Desempeño POA'!L49:L51,"&lt;100%")</f>
        <v>0</v>
      </c>
      <c r="G41" s="697">
        <f>COUNTIF('2.Infor Detallado Desempeño POA'!L49:L51,"=No programado")</f>
        <v>1</v>
      </c>
      <c r="H41" s="624">
        <f t="shared" ref="H41:H52" si="6">SUM(D41:G41)</f>
        <v>3</v>
      </c>
      <c r="I41" s="625">
        <f t="shared" si="3"/>
        <v>0</v>
      </c>
    </row>
    <row r="42" spans="2:9" s="711" customFormat="1" ht="19.8" customHeight="1">
      <c r="B42" s="605" t="s">
        <v>780</v>
      </c>
      <c r="C42" s="701">
        <f t="shared" si="4"/>
        <v>21</v>
      </c>
      <c r="D42" s="641">
        <f>COUNTIF('2.Infor Detallado Desempeño POA'!L57:L77,"=100%")</f>
        <v>0</v>
      </c>
      <c r="E42" s="642">
        <f>COUNTIF('2.Infor Detallado Desempeño POA'!L57:L77,"&gt;100%")</f>
        <v>10</v>
      </c>
      <c r="F42" s="700">
        <f>COUNTIF('2.Infor Detallado Desempeño POA'!L57:L77,"&lt;100%")</f>
        <v>9</v>
      </c>
      <c r="G42" s="697">
        <f>COUNTIF('2.Infor Detallado Desempeño POA'!L57:L77,"=No programado")</f>
        <v>2</v>
      </c>
      <c r="H42" s="624">
        <f t="shared" si="6"/>
        <v>21</v>
      </c>
      <c r="I42" s="625">
        <f t="shared" si="3"/>
        <v>0</v>
      </c>
    </row>
    <row r="43" spans="2:9" s="711" customFormat="1" ht="19.8" customHeight="1">
      <c r="B43" s="605" t="s">
        <v>916</v>
      </c>
      <c r="C43" s="701">
        <f t="shared" si="4"/>
        <v>7</v>
      </c>
      <c r="D43" s="626">
        <f>COUNTIF('2.Infor Detallado Desempeño POA'!L83:L89,"=100%")</f>
        <v>1</v>
      </c>
      <c r="E43" s="642">
        <f>COUNTIF('2.Infor Detallado Desempeño POA'!L83:L89,"&gt;100%")</f>
        <v>3</v>
      </c>
      <c r="F43" s="699">
        <f>COUNTIF('2.Infor Detallado Desempeño POA'!L83:L89,"&lt;100%")</f>
        <v>3</v>
      </c>
      <c r="G43" s="697">
        <f>COUNTIF('2.Infor Detallado Desempeño POA'!L83:L89,"=No programado")</f>
        <v>0</v>
      </c>
      <c r="H43" s="624">
        <f t="shared" si="6"/>
        <v>7</v>
      </c>
      <c r="I43" s="625">
        <f t="shared" si="3"/>
        <v>0</v>
      </c>
    </row>
    <row r="44" spans="2:9" s="711" customFormat="1" ht="19.8" customHeight="1">
      <c r="B44" s="605" t="s">
        <v>783</v>
      </c>
      <c r="C44" s="701">
        <f t="shared" si="4"/>
        <v>8</v>
      </c>
      <c r="D44" s="641">
        <f>COUNTIF('2.Infor Detallado Desempeño POA'!L95:L102,"=100%")</f>
        <v>4</v>
      </c>
      <c r="E44" s="627">
        <f>COUNTIF('2.Infor Detallado Desempeño POA'!L95:L102,"&gt;100%")</f>
        <v>3</v>
      </c>
      <c r="F44" s="700">
        <f>COUNTIF('2.Infor Detallado Desempeño POA'!L95:L102,"&lt;100%")</f>
        <v>1</v>
      </c>
      <c r="G44" s="697">
        <f>COUNTIF('2.Infor Detallado Desempeño POA'!L95:L102,"=No programado")</f>
        <v>0</v>
      </c>
      <c r="H44" s="624">
        <f t="shared" si="6"/>
        <v>8</v>
      </c>
      <c r="I44" s="625">
        <f t="shared" si="3"/>
        <v>0</v>
      </c>
    </row>
    <row r="45" spans="2:9" s="711" customFormat="1" ht="19.8" customHeight="1">
      <c r="B45" s="605" t="s">
        <v>784</v>
      </c>
      <c r="C45" s="701">
        <f t="shared" si="4"/>
        <v>8</v>
      </c>
      <c r="D45" s="626">
        <f>COUNTIF('2.Infor Detallado Desempeño POA'!L108:L115,"=100%")</f>
        <v>2</v>
      </c>
      <c r="E45" s="642">
        <f>COUNTIF('2.Infor Detallado Desempeño POA'!L108:L115,"&gt;100%")</f>
        <v>3</v>
      </c>
      <c r="F45" s="700">
        <f>COUNTIF('2.Infor Detallado Desempeño POA'!L108:L115,"&lt;100%")</f>
        <v>3</v>
      </c>
      <c r="G45" s="697">
        <f>COUNTIF('2.Infor Detallado Desempeño POA'!L108:L115,"=No programado")</f>
        <v>0</v>
      </c>
      <c r="H45" s="624">
        <f t="shared" si="6"/>
        <v>8</v>
      </c>
      <c r="I45" s="625">
        <f t="shared" si="3"/>
        <v>0</v>
      </c>
    </row>
    <row r="46" spans="2:9" s="711" customFormat="1" ht="19.8" customHeight="1">
      <c r="B46" s="605" t="s">
        <v>785</v>
      </c>
      <c r="C46" s="701">
        <f t="shared" si="4"/>
        <v>2</v>
      </c>
      <c r="D46" s="626">
        <f>COUNTIF('2.Infor Detallado Desempeño POA'!L121:L122,"=100%")</f>
        <v>0</v>
      </c>
      <c r="E46" s="642">
        <f>COUNTIF('2.Infor Detallado Desempeño POA'!L121:L122,"&gt;100%")</f>
        <v>1</v>
      </c>
      <c r="F46" s="699">
        <f>COUNTIF('2.Infor Detallado Desempeño POA'!L121:L122,"&lt;100%")</f>
        <v>1</v>
      </c>
      <c r="G46" s="697">
        <f>COUNTIF('2.Infor Detallado Desempeño POA'!L121:L122,"=No programado")</f>
        <v>0</v>
      </c>
      <c r="H46" s="624">
        <f t="shared" si="6"/>
        <v>2</v>
      </c>
      <c r="I46" s="625">
        <f t="shared" si="3"/>
        <v>0</v>
      </c>
    </row>
    <row r="47" spans="2:9" s="711" customFormat="1" ht="19.8" customHeight="1">
      <c r="B47" s="605" t="s">
        <v>786</v>
      </c>
      <c r="C47" s="701">
        <f t="shared" si="4"/>
        <v>3</v>
      </c>
      <c r="D47" s="626">
        <f>COUNTIF('2.Infor Detallado Desempeño POA'!L128:L130,"=100%")</f>
        <v>1</v>
      </c>
      <c r="E47" s="642">
        <f>COUNTIF('2.Infor Detallado Desempeño POA'!L128:L130,"&gt;100%")</f>
        <v>0</v>
      </c>
      <c r="F47" s="700">
        <f>COUNTIF('2.Infor Detallado Desempeño POA'!L128:L130,"&lt;100%")</f>
        <v>2</v>
      </c>
      <c r="G47" s="697">
        <f>COUNTIF('2.Infor Detallado Desempeño POA'!L128:L130,"=No programado")</f>
        <v>0</v>
      </c>
      <c r="H47" s="624">
        <f t="shared" si="6"/>
        <v>3</v>
      </c>
      <c r="I47" s="625">
        <f t="shared" si="3"/>
        <v>0</v>
      </c>
    </row>
    <row r="48" spans="2:9" s="711" customFormat="1" ht="19.8" customHeight="1">
      <c r="B48" s="605" t="s">
        <v>787</v>
      </c>
      <c r="C48" s="701">
        <f t="shared" si="4"/>
        <v>4</v>
      </c>
      <c r="D48" s="641">
        <f>COUNTIF('2.Infor Detallado Desempeño POA'!L136:L139,"=100%")</f>
        <v>1</v>
      </c>
      <c r="E48" s="627">
        <f>COUNTIF('2.Infor Detallado Desempeño POA'!L136:L139,"&gt;100%")</f>
        <v>0</v>
      </c>
      <c r="F48" s="700">
        <f>COUNTIF('2.Infor Detallado Desempeño POA'!L136:L139,"&lt;100%")</f>
        <v>3</v>
      </c>
      <c r="G48" s="697">
        <f>COUNTIF('2.Infor Detallado Desempeño POA'!L136:L139,"=No programado")</f>
        <v>0</v>
      </c>
      <c r="H48" s="624">
        <f t="shared" si="6"/>
        <v>4</v>
      </c>
      <c r="I48" s="625">
        <f t="shared" si="3"/>
        <v>0</v>
      </c>
    </row>
    <row r="49" spans="2:17" s="711" customFormat="1" ht="19.8" customHeight="1">
      <c r="B49" s="605" t="s">
        <v>788</v>
      </c>
      <c r="C49" s="701">
        <f t="shared" si="4"/>
        <v>4</v>
      </c>
      <c r="D49" s="626">
        <f>COUNTIF('2.Infor Detallado Desempeño POA'!L145:L148,"=100%")</f>
        <v>0</v>
      </c>
      <c r="E49" s="642">
        <f>COUNTIF('2.Infor Detallado Desempeño POA'!L145:L148,"&gt;100%")</f>
        <v>3</v>
      </c>
      <c r="F49" s="700">
        <f>COUNTIF('2.Infor Detallado Desempeño POA'!L145:L148,"&lt;100%")</f>
        <v>1</v>
      </c>
      <c r="G49" s="697">
        <f>COUNTIF('2.Infor Detallado Desempeño POA'!L145:L148,"=No programado")</f>
        <v>0</v>
      </c>
      <c r="H49" s="624">
        <f t="shared" si="6"/>
        <v>4</v>
      </c>
      <c r="I49" s="625">
        <f t="shared" si="3"/>
        <v>0</v>
      </c>
    </row>
    <row r="50" spans="2:17" s="711" customFormat="1" ht="19.8" customHeight="1">
      <c r="B50" s="605" t="s">
        <v>789</v>
      </c>
      <c r="C50" s="701">
        <f t="shared" si="4"/>
        <v>5</v>
      </c>
      <c r="D50" s="626">
        <f>COUNTIF('2.Infor Detallado Desempeño POA'!L154:L158,"=100%")</f>
        <v>5</v>
      </c>
      <c r="E50" s="627">
        <f>COUNTIF('2.Infor Detallado Desempeño POA'!L154:L158,"&gt;100%")</f>
        <v>0</v>
      </c>
      <c r="F50" s="699">
        <f>COUNTIF('2.Infor Detallado Desempeño POA'!L154:L158,"&lt;100%")</f>
        <v>0</v>
      </c>
      <c r="G50" s="697">
        <f>COUNTIF('2.Infor Detallado Desempeño POA'!L154:L158,"=No programado")</f>
        <v>0</v>
      </c>
      <c r="H50" s="624">
        <f t="shared" si="6"/>
        <v>5</v>
      </c>
      <c r="I50" s="625">
        <f t="shared" si="3"/>
        <v>0</v>
      </c>
    </row>
    <row r="51" spans="2:17" s="711" customFormat="1" ht="19.8" customHeight="1">
      <c r="B51" s="605" t="s">
        <v>791</v>
      </c>
      <c r="C51" s="701">
        <f t="shared" si="4"/>
        <v>3</v>
      </c>
      <c r="D51" s="626">
        <f>COUNTIF('2.Infor Detallado Desempeño POA'!L164:L166,"=100%")</f>
        <v>1</v>
      </c>
      <c r="E51" s="642">
        <f>COUNTIF('2.Infor Detallado Desempeño POA'!L164:L166,"&gt;100%")</f>
        <v>2</v>
      </c>
      <c r="F51" s="699">
        <f>COUNTIF('2.Infor Detallado Desempeño POA'!L164:L166,"&lt;100%")</f>
        <v>0</v>
      </c>
      <c r="G51" s="697">
        <f>COUNTIF('2.Infor Detallado Desempeño POA'!L164:L166,"=No programado")</f>
        <v>0</v>
      </c>
      <c r="H51" s="624">
        <f t="shared" si="6"/>
        <v>3</v>
      </c>
      <c r="I51" s="625">
        <f t="shared" si="3"/>
        <v>0</v>
      </c>
    </row>
    <row r="52" spans="2:17" s="711" customFormat="1" ht="19.8" customHeight="1">
      <c r="B52" s="605" t="s">
        <v>792</v>
      </c>
      <c r="C52" s="701">
        <f t="shared" si="4"/>
        <v>3</v>
      </c>
      <c r="D52" s="626">
        <f>COUNTIF('2.Infor Detallado Desempeño POA'!L172:L174,"=100%")</f>
        <v>1</v>
      </c>
      <c r="E52" s="627">
        <f>COUNTIF('2.Infor Detallado Desempeño POA'!L172:L174,"&gt;100%")</f>
        <v>0</v>
      </c>
      <c r="F52" s="699">
        <f>COUNTIF('2.Infor Detallado Desempeño POA'!L172:L174,"&lt;100%")</f>
        <v>0</v>
      </c>
      <c r="G52" s="697">
        <f>COUNTIF('2.Infor Detallado Desempeño POA'!L172:L174,"=No programado")</f>
        <v>2</v>
      </c>
      <c r="H52" s="624">
        <f t="shared" si="6"/>
        <v>3</v>
      </c>
      <c r="I52" s="625">
        <f t="shared" si="3"/>
        <v>0</v>
      </c>
    </row>
    <row r="53" spans="2:17" s="711" customFormat="1" ht="19.8" customHeight="1">
      <c r="B53" s="639" t="s">
        <v>950</v>
      </c>
      <c r="C53" s="640">
        <f>SUM(C37:C52)</f>
        <v>87</v>
      </c>
      <c r="D53" s="641">
        <f t="shared" ref="D53:E53" si="7">SUM(D37:D52)</f>
        <v>29</v>
      </c>
      <c r="E53" s="642">
        <f t="shared" si="7"/>
        <v>27</v>
      </c>
      <c r="F53" s="700">
        <f>SUM(F37:F52)</f>
        <v>25</v>
      </c>
      <c r="G53" s="698">
        <f>SUM(G37:G52)</f>
        <v>6</v>
      </c>
      <c r="H53" s="624">
        <f>SUM(D53:G53)</f>
        <v>87</v>
      </c>
      <c r="I53" s="625">
        <f t="shared" si="3"/>
        <v>0</v>
      </c>
    </row>
    <row r="54" spans="2:17" s="711" customFormat="1" ht="19.8" customHeight="1">
      <c r="B54" s="1051"/>
      <c r="C54" s="1053"/>
      <c r="D54" s="1053"/>
      <c r="E54" s="1053"/>
      <c r="F54" s="1053"/>
      <c r="G54" s="1053"/>
      <c r="H54" s="1052"/>
      <c r="I54" s="625"/>
    </row>
    <row r="55" spans="2:17" s="711" customFormat="1" ht="3" customHeight="1">
      <c r="C55" s="1056"/>
      <c r="D55" s="1054" t="str">
        <f>+D36</f>
        <v>No de Indicadores con Meta Cumplida según programación</v>
      </c>
      <c r="E55" s="1055">
        <f>+D53</f>
        <v>29</v>
      </c>
      <c r="F55" s="1057"/>
      <c r="G55" s="1058"/>
      <c r="H55" s="712"/>
    </row>
    <row r="56" spans="2:17" s="711" customFormat="1" ht="3" customHeight="1">
      <c r="C56" s="1056"/>
      <c r="D56" s="1054" t="str">
        <f>+E36</f>
        <v xml:space="preserve">No de Indicadores con ejecución superior a la programada </v>
      </c>
      <c r="E56" s="1055">
        <f>+E53</f>
        <v>27</v>
      </c>
      <c r="F56" s="1057"/>
      <c r="G56" s="1058"/>
      <c r="H56" s="712"/>
    </row>
    <row r="57" spans="2:17" s="711" customFormat="1" ht="3" customHeight="1">
      <c r="C57" s="1056"/>
      <c r="D57" s="1054" t="str">
        <f>+F36</f>
        <v xml:space="preserve">No de Indicadores con ejecución menor a la programada </v>
      </c>
      <c r="E57" s="1055">
        <f>+F53</f>
        <v>25</v>
      </c>
      <c r="F57" s="1057"/>
      <c r="G57" s="1058"/>
      <c r="H57" s="712"/>
    </row>
    <row r="58" spans="2:17" s="711" customFormat="1" ht="3" customHeight="1">
      <c r="C58" s="1056"/>
      <c r="D58" s="1054" t="str">
        <f>+G36</f>
        <v>No de indicadores sin programar en el periodo</v>
      </c>
      <c r="E58" s="1055">
        <f>+G53</f>
        <v>6</v>
      </c>
      <c r="F58" s="1057"/>
      <c r="G58" s="1058"/>
      <c r="H58" s="712"/>
    </row>
    <row r="59" spans="2:17" s="711" customFormat="1" ht="10.199999999999999" customHeight="1">
      <c r="C59" s="712"/>
      <c r="D59" s="712"/>
      <c r="E59" s="713">
        <f>SUM(E27:E30)</f>
        <v>87</v>
      </c>
      <c r="F59" s="710"/>
      <c r="H59" s="712"/>
    </row>
    <row r="60" spans="2:17" ht="15.6" thickBot="1"/>
    <row r="61" spans="2:17" s="613" customFormat="1" ht="15.6">
      <c r="B61" s="1371" t="s">
        <v>801</v>
      </c>
      <c r="C61" s="1373" t="s">
        <v>948</v>
      </c>
      <c r="D61" s="1375" t="s">
        <v>949</v>
      </c>
      <c r="E61" s="1376"/>
      <c r="F61" s="1377"/>
      <c r="P61" s="600"/>
      <c r="Q61" s="600"/>
    </row>
    <row r="62" spans="2:17" ht="33" customHeight="1">
      <c r="B62" s="1372"/>
      <c r="C62" s="1374"/>
      <c r="D62" s="1024" t="s">
        <v>810</v>
      </c>
      <c r="E62" s="1024" t="s">
        <v>814</v>
      </c>
      <c r="F62" s="616" t="s">
        <v>818</v>
      </c>
      <c r="H62" s="600"/>
    </row>
    <row r="63" spans="2:17">
      <c r="B63" s="617" t="s">
        <v>775</v>
      </c>
      <c r="C63" s="618">
        <f>+'3.Resum Desempeño Procesos POA '!C41</f>
        <v>4</v>
      </c>
      <c r="D63" s="618">
        <f>+'Rango indicadores'!E111</f>
        <v>4</v>
      </c>
      <c r="E63" s="618">
        <f>+'Rango indicadores'!F111</f>
        <v>0</v>
      </c>
      <c r="F63" s="619">
        <f>+'Rango indicadores'!G111</f>
        <v>0</v>
      </c>
      <c r="H63" s="600"/>
    </row>
    <row r="64" spans="2:17">
      <c r="B64" s="617" t="s">
        <v>777</v>
      </c>
      <c r="C64" s="618">
        <f>+'3.Resum Desempeño Procesos POA '!C42</f>
        <v>3</v>
      </c>
      <c r="D64" s="618">
        <f>+'Rango indicadores'!E112</f>
        <v>3</v>
      </c>
      <c r="E64" s="618">
        <f>+'Rango indicadores'!F112</f>
        <v>0</v>
      </c>
      <c r="F64" s="619">
        <f>+'Rango indicadores'!G112</f>
        <v>0</v>
      </c>
      <c r="H64" s="600"/>
    </row>
    <row r="65" spans="2:8">
      <c r="B65" s="617" t="s">
        <v>778</v>
      </c>
      <c r="C65" s="618">
        <f>+'3.Resum Desempeño Procesos POA '!C43</f>
        <v>7</v>
      </c>
      <c r="D65" s="618">
        <f>+'Rango indicadores'!E113</f>
        <v>7</v>
      </c>
      <c r="E65" s="618">
        <f>+'Rango indicadores'!F113</f>
        <v>0</v>
      </c>
      <c r="F65" s="619">
        <f>+'Rango indicadores'!G113</f>
        <v>0</v>
      </c>
      <c r="H65" s="600"/>
    </row>
    <row r="66" spans="2:8">
      <c r="B66" s="617" t="s">
        <v>779</v>
      </c>
      <c r="C66" s="618">
        <f>+'3.Resum Desempeño Procesos POA '!C44</f>
        <v>2</v>
      </c>
      <c r="D66" s="618">
        <f>+'Rango indicadores'!E114</f>
        <v>2</v>
      </c>
      <c r="E66" s="618">
        <f>+'Rango indicadores'!F114</f>
        <v>0</v>
      </c>
      <c r="F66" s="619">
        <f>+'Rango indicadores'!G114</f>
        <v>0</v>
      </c>
      <c r="H66" s="600"/>
    </row>
    <row r="67" spans="2:8">
      <c r="B67" s="617" t="s">
        <v>790</v>
      </c>
      <c r="C67" s="618">
        <f>+'3.Resum Desempeño Procesos POA '!C45</f>
        <v>3</v>
      </c>
      <c r="D67" s="618">
        <f>+'Rango indicadores'!E115</f>
        <v>21</v>
      </c>
      <c r="E67" s="618">
        <f>+'Rango indicadores'!F115</f>
        <v>0</v>
      </c>
      <c r="F67" s="619">
        <f>+'Rango indicadores'!G115</f>
        <v>0</v>
      </c>
      <c r="H67" s="600"/>
    </row>
    <row r="68" spans="2:8">
      <c r="B68" s="617" t="s">
        <v>780</v>
      </c>
      <c r="C68" s="618">
        <f>+'3.Resum Desempeño Procesos POA '!C47</f>
        <v>21</v>
      </c>
      <c r="D68" s="618">
        <f>+'Rango indicadores'!E116</f>
        <v>7</v>
      </c>
      <c r="E68" s="618">
        <f>+'Rango indicadores'!F116</f>
        <v>0</v>
      </c>
      <c r="F68" s="619">
        <f>+'Rango indicadores'!G116</f>
        <v>0</v>
      </c>
      <c r="H68" s="600"/>
    </row>
    <row r="69" spans="2:8">
      <c r="B69" s="617" t="s">
        <v>916</v>
      </c>
      <c r="C69" s="618">
        <f>+'3.Resum Desempeño Procesos POA '!C48</f>
        <v>7</v>
      </c>
      <c r="D69" s="618">
        <f>+'Rango indicadores'!E117</f>
        <v>8</v>
      </c>
      <c r="E69" s="618">
        <f>+'Rango indicadores'!F117</f>
        <v>0</v>
      </c>
      <c r="F69" s="619">
        <f>+'Rango indicadores'!G117</f>
        <v>0</v>
      </c>
      <c r="H69" s="600"/>
    </row>
    <row r="70" spans="2:8">
      <c r="B70" s="617" t="s">
        <v>783</v>
      </c>
      <c r="C70" s="618">
        <f>+'3.Resum Desempeño Procesos POA '!C49</f>
        <v>8</v>
      </c>
      <c r="D70" s="618">
        <f>+'Rango indicadores'!E118</f>
        <v>7</v>
      </c>
      <c r="E70" s="618">
        <f>+'Rango indicadores'!F118</f>
        <v>0</v>
      </c>
      <c r="F70" s="619">
        <f>+'Rango indicadores'!G118</f>
        <v>1</v>
      </c>
      <c r="H70" s="600"/>
    </row>
    <row r="71" spans="2:8">
      <c r="B71" s="617" t="s">
        <v>784</v>
      </c>
      <c r="C71" s="618">
        <f>+'3.Resum Desempeño Procesos POA '!C51</f>
        <v>8</v>
      </c>
      <c r="D71" s="618">
        <f>+'Rango indicadores'!E119</f>
        <v>2</v>
      </c>
      <c r="E71" s="618">
        <f>+'Rango indicadores'!F119</f>
        <v>0</v>
      </c>
      <c r="F71" s="619">
        <f>+'Rango indicadores'!G119</f>
        <v>0</v>
      </c>
      <c r="H71" s="600"/>
    </row>
    <row r="72" spans="2:8">
      <c r="B72" s="617" t="s">
        <v>785</v>
      </c>
      <c r="C72" s="618">
        <f>+'3.Resum Desempeño Procesos POA '!C52</f>
        <v>2</v>
      </c>
      <c r="D72" s="618">
        <f>+'Rango indicadores'!E120</f>
        <v>3</v>
      </c>
      <c r="E72" s="618">
        <f>+'Rango indicadores'!F120</f>
        <v>0</v>
      </c>
      <c r="F72" s="619">
        <f>+'Rango indicadores'!G120</f>
        <v>0</v>
      </c>
      <c r="H72" s="600"/>
    </row>
    <row r="73" spans="2:8">
      <c r="B73" s="617" t="s">
        <v>786</v>
      </c>
      <c r="C73" s="618">
        <f>+'3.Resum Desempeño Procesos POA '!C53</f>
        <v>3</v>
      </c>
      <c r="D73" s="618">
        <f>+'Rango indicadores'!E121</f>
        <v>1</v>
      </c>
      <c r="E73" s="618">
        <f>+'Rango indicadores'!F121</f>
        <v>3</v>
      </c>
      <c r="F73" s="619">
        <f>+'Rango indicadores'!G121</f>
        <v>0</v>
      </c>
      <c r="H73" s="600"/>
    </row>
    <row r="74" spans="2:8">
      <c r="B74" s="617" t="s">
        <v>787</v>
      </c>
      <c r="C74" s="618">
        <f>+'3.Resum Desempeño Procesos POA '!C54</f>
        <v>4</v>
      </c>
      <c r="D74" s="618">
        <f>+'Rango indicadores'!E122</f>
        <v>3</v>
      </c>
      <c r="E74" s="618">
        <f>+'Rango indicadores'!F122</f>
        <v>1</v>
      </c>
      <c r="F74" s="619">
        <f>+'Rango indicadores'!G122</f>
        <v>0</v>
      </c>
      <c r="H74" s="600"/>
    </row>
    <row r="75" spans="2:8">
      <c r="B75" s="617" t="s">
        <v>788</v>
      </c>
      <c r="C75" s="618">
        <f>+'3.Resum Desempeño Procesos POA '!C55</f>
        <v>4</v>
      </c>
      <c r="D75" s="618">
        <f>+'Rango indicadores'!E123</f>
        <v>5</v>
      </c>
      <c r="E75" s="618">
        <f>+'Rango indicadores'!F123</f>
        <v>0</v>
      </c>
      <c r="F75" s="619">
        <f>+'Rango indicadores'!G123</f>
        <v>0</v>
      </c>
      <c r="H75" s="600"/>
    </row>
    <row r="76" spans="2:8">
      <c r="B76" s="617" t="s">
        <v>789</v>
      </c>
      <c r="C76" s="618">
        <f>+'3.Resum Desempeño Procesos POA '!C56</f>
        <v>5</v>
      </c>
      <c r="D76" s="618">
        <f>+'Rango indicadores'!E124</f>
        <v>3</v>
      </c>
      <c r="E76" s="618">
        <f>+'Rango indicadores'!F124</f>
        <v>0</v>
      </c>
      <c r="F76" s="619">
        <f>+'Rango indicadores'!G124</f>
        <v>0</v>
      </c>
      <c r="H76" s="600"/>
    </row>
    <row r="77" spans="2:8">
      <c r="B77" s="617" t="s">
        <v>791</v>
      </c>
      <c r="C77" s="618">
        <f>+'3.Resum Desempeño Procesos POA '!C58</f>
        <v>3</v>
      </c>
      <c r="D77" s="618">
        <f>+'Rango indicadores'!E125</f>
        <v>3</v>
      </c>
      <c r="E77" s="618">
        <f>+'Rango indicadores'!F125</f>
        <v>0</v>
      </c>
      <c r="F77" s="619">
        <f>+'Rango indicadores'!G125</f>
        <v>0</v>
      </c>
      <c r="H77" s="600"/>
    </row>
    <row r="78" spans="2:8">
      <c r="B78" s="617" t="s">
        <v>792</v>
      </c>
      <c r="C78" s="618">
        <f>+'3.Resum Desempeño Procesos POA '!C59</f>
        <v>3</v>
      </c>
      <c r="D78" s="618">
        <f>+'Rango indicadores'!E126</f>
        <v>3</v>
      </c>
      <c r="E78" s="618">
        <f>+'Rango indicadores'!F126</f>
        <v>0</v>
      </c>
      <c r="F78" s="619">
        <f>+'Rango indicadores'!G126</f>
        <v>0</v>
      </c>
      <c r="H78" s="600"/>
    </row>
    <row r="79" spans="2:8" ht="16.2" thickBot="1">
      <c r="B79" s="620" t="s">
        <v>950</v>
      </c>
      <c r="C79" s="621">
        <f>SUM(C63:C78)</f>
        <v>87</v>
      </c>
      <c r="D79" s="621">
        <f>SUM(D63:D78)</f>
        <v>82</v>
      </c>
      <c r="E79" s="621">
        <f>SUM(E63:E78)</f>
        <v>4</v>
      </c>
      <c r="F79" s="622">
        <f>SUM(F63:F78)</f>
        <v>1</v>
      </c>
      <c r="H79" s="600"/>
    </row>
    <row r="80" spans="2:8">
      <c r="H80" s="600"/>
    </row>
    <row r="81" spans="8:8">
      <c r="H81" s="600"/>
    </row>
    <row r="83" spans="8:8" ht="15" customHeight="1"/>
  </sheetData>
  <sheetProtection algorithmName="SHA-512" hashValue="bVfiBYdWztmCF5nwvkk3rmOu8VbOuVl7xso8D3nGmHYh7ncTjwqFY6dyisF1X/qrAgrOXWb6/WEzomam5nXQxw==" saltValue="cJEnwrLIhBD5Bsd16fyVgw==" spinCount="100000" sheet="1" objects="1" scenarios="1"/>
  <mergeCells count="12">
    <mergeCell ref="B2:B3"/>
    <mergeCell ref="C2:G2"/>
    <mergeCell ref="C3:G3"/>
    <mergeCell ref="B61:B62"/>
    <mergeCell ref="C61:C62"/>
    <mergeCell ref="D61:F61"/>
    <mergeCell ref="D34:E34"/>
    <mergeCell ref="B4:F4"/>
    <mergeCell ref="B7:B8"/>
    <mergeCell ref="C7:G7"/>
    <mergeCell ref="B35:B36"/>
    <mergeCell ref="C35:G3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theme="8" tint="-0.249977111117893"/>
  </sheetPr>
  <dimension ref="B1:V116"/>
  <sheetViews>
    <sheetView showGridLines="0" topLeftCell="A40" zoomScale="85" zoomScaleNormal="85" workbookViewId="0">
      <selection activeCell="F31" sqref="F31"/>
    </sheetView>
  </sheetViews>
  <sheetFormatPr baseColWidth="10" defaultColWidth="11.44140625" defaultRowHeight="15" customHeight="1" zeroHeight="1"/>
  <cols>
    <col min="1" max="1" width="3.6640625" style="600" customWidth="1"/>
    <col min="2" max="2" width="47.33203125" style="600" customWidth="1"/>
    <col min="3" max="3" width="20.33203125" style="602" customWidth="1"/>
    <col min="4" max="5" width="18.88671875" style="602" customWidth="1"/>
    <col min="6" max="6" width="19.44140625" style="600" customWidth="1"/>
    <col min="7" max="7" width="47" style="600" customWidth="1"/>
    <col min="8" max="15" width="11.44140625" style="600"/>
    <col min="16" max="16" width="62.44140625" style="600" bestFit="1" customWidth="1"/>
    <col min="17" max="17" width="40" style="600" customWidth="1"/>
    <col min="18" max="16355" width="11.44140625" style="600"/>
    <col min="16356" max="16356" width="1.44140625" style="600" customWidth="1"/>
    <col min="16357" max="16384" width="2.88671875" style="600" customWidth="1"/>
  </cols>
  <sheetData>
    <row r="1" spans="2:22" s="536" customFormat="1">
      <c r="D1" s="539"/>
      <c r="E1" s="537"/>
      <c r="F1" s="538"/>
      <c r="G1" s="538"/>
      <c r="H1" s="538"/>
      <c r="I1" s="538"/>
      <c r="J1" s="538"/>
      <c r="K1" s="538"/>
      <c r="L1" s="538"/>
      <c r="V1" s="539"/>
    </row>
    <row r="2" spans="2:22" s="536" customFormat="1" ht="28.95" customHeight="1">
      <c r="B2" s="1364" t="s">
        <v>946</v>
      </c>
      <c r="C2" s="1390" t="s">
        <v>955</v>
      </c>
      <c r="D2" s="1390"/>
      <c r="E2" s="1390"/>
      <c r="F2" s="1390"/>
      <c r="G2" s="1390"/>
      <c r="H2" s="1390"/>
      <c r="I2" s="594"/>
      <c r="J2" s="594"/>
      <c r="K2" s="594"/>
      <c r="L2" s="594"/>
      <c r="M2" s="594"/>
      <c r="N2" s="1035"/>
      <c r="O2" s="1035"/>
      <c r="P2" s="1035"/>
      <c r="Q2" s="1035"/>
      <c r="R2" s="1035"/>
      <c r="S2" s="1035"/>
      <c r="T2" s="1035"/>
      <c r="U2" s="1035"/>
      <c r="V2" s="539"/>
    </row>
    <row r="3" spans="2:22" s="536" customFormat="1" ht="17.399999999999999" customHeight="1">
      <c r="B3" s="1364"/>
      <c r="C3" s="1391" t="s">
        <v>992</v>
      </c>
      <c r="D3" s="1391"/>
      <c r="E3" s="1391"/>
      <c r="F3" s="1391"/>
      <c r="G3" s="1391"/>
      <c r="H3" s="1391"/>
      <c r="I3" s="593"/>
      <c r="J3" s="593"/>
      <c r="K3" s="593"/>
      <c r="L3" s="593"/>
      <c r="M3" s="593"/>
      <c r="N3" s="1034"/>
      <c r="O3" s="1034"/>
      <c r="P3" s="1034"/>
      <c r="Q3" s="1034"/>
      <c r="R3" s="1034"/>
      <c r="S3" s="1034"/>
      <c r="T3" s="1034"/>
      <c r="U3" s="1034"/>
      <c r="V3" s="540"/>
    </row>
    <row r="4" spans="2:22" s="536" customFormat="1" ht="6" customHeight="1">
      <c r="B4" s="628"/>
      <c r="D4" s="1389"/>
      <c r="E4" s="1389"/>
      <c r="F4" s="1389"/>
      <c r="G4" s="1389"/>
      <c r="H4" s="1389"/>
      <c r="I4" s="584"/>
      <c r="J4" s="584"/>
      <c r="K4" s="584"/>
      <c r="L4" s="584"/>
      <c r="M4" s="584"/>
      <c r="N4" s="1029"/>
      <c r="O4" s="1029"/>
      <c r="P4" s="1029"/>
      <c r="Q4" s="1029"/>
      <c r="R4" s="1029"/>
      <c r="S4" s="1029"/>
      <c r="T4" s="1029"/>
      <c r="U4" s="1029"/>
      <c r="V4" s="541"/>
    </row>
    <row r="5" spans="2:22" s="536" customFormat="1" ht="19.5" customHeight="1">
      <c r="B5" s="542" t="str">
        <f>+'2.Infor Detallado Desempeño POA'!C6</f>
        <v>Fecha de corte: 30 de septiembre de 2021</v>
      </c>
      <c r="D5" s="585"/>
      <c r="E5" s="543"/>
      <c r="V5" s="539"/>
    </row>
    <row r="6" spans="2:22" ht="1.95" customHeight="1">
      <c r="B6" s="603"/>
    </row>
    <row r="7" spans="2:22" ht="8.4" customHeight="1">
      <c r="B7" s="603"/>
    </row>
    <row r="8" spans="2:22" ht="54" customHeight="1">
      <c r="B8" s="1027" t="s">
        <v>801</v>
      </c>
      <c r="C8" s="1026" t="s">
        <v>961</v>
      </c>
      <c r="D8" s="604"/>
      <c r="E8" s="600"/>
    </row>
    <row r="9" spans="2:22">
      <c r="B9" s="605" t="s">
        <v>775</v>
      </c>
      <c r="C9" s="606">
        <f>+F41</f>
        <v>0.65757870141968155</v>
      </c>
      <c r="D9" s="607"/>
      <c r="E9" s="600"/>
    </row>
    <row r="10" spans="2:22">
      <c r="B10" s="605" t="s">
        <v>777</v>
      </c>
      <c r="C10" s="606">
        <f>+F42</f>
        <v>0.5</v>
      </c>
      <c r="D10" s="607"/>
      <c r="E10" s="600"/>
      <c r="H10" s="658"/>
      <c r="I10" s="659" t="s">
        <v>965</v>
      </c>
    </row>
    <row r="11" spans="2:22">
      <c r="B11" s="605" t="s">
        <v>778</v>
      </c>
      <c r="C11" s="606">
        <f>+F43</f>
        <v>0.78095238095238084</v>
      </c>
      <c r="D11" s="607"/>
      <c r="E11" s="600"/>
      <c r="H11" s="1050"/>
      <c r="I11" s="659" t="s">
        <v>966</v>
      </c>
    </row>
    <row r="12" spans="2:22">
      <c r="B12" s="605" t="s">
        <v>779</v>
      </c>
      <c r="C12" s="606">
        <f>+F44</f>
        <v>0.75</v>
      </c>
      <c r="D12" s="607"/>
      <c r="E12" s="600"/>
      <c r="H12" s="660"/>
      <c r="I12" s="659" t="s">
        <v>967</v>
      </c>
    </row>
    <row r="13" spans="2:22">
      <c r="B13" s="605" t="s">
        <v>790</v>
      </c>
      <c r="C13" s="606">
        <f>+F45</f>
        <v>0.67925925925925934</v>
      </c>
      <c r="D13" s="608"/>
      <c r="E13" s="600"/>
      <c r="H13" s="661"/>
      <c r="I13" s="659" t="s">
        <v>968</v>
      </c>
    </row>
    <row r="14" spans="2:22">
      <c r="B14" s="605" t="s">
        <v>780</v>
      </c>
      <c r="C14" s="606">
        <f>+F47</f>
        <v>0.84159172373554081</v>
      </c>
      <c r="D14" s="607"/>
      <c r="E14" s="600"/>
    </row>
    <row r="15" spans="2:22">
      <c r="B15" s="605" t="s">
        <v>916</v>
      </c>
      <c r="C15" s="606">
        <f>+F48</f>
        <v>0.92826530612244895</v>
      </c>
      <c r="D15" s="607"/>
      <c r="E15" s="600"/>
    </row>
    <row r="16" spans="2:22">
      <c r="B16" s="605" t="s">
        <v>783</v>
      </c>
      <c r="C16" s="606">
        <f>+F49</f>
        <v>0.81008333333333338</v>
      </c>
      <c r="D16" s="607"/>
      <c r="E16" s="600"/>
    </row>
    <row r="17" spans="2:17">
      <c r="B17" s="605" t="s">
        <v>784</v>
      </c>
      <c r="C17" s="606">
        <f t="shared" ref="C17:C22" si="0">+F51</f>
        <v>0.70403071305841924</v>
      </c>
      <c r="D17" s="607"/>
      <c r="E17" s="600"/>
    </row>
    <row r="18" spans="2:17">
      <c r="B18" s="605" t="s">
        <v>785</v>
      </c>
      <c r="C18" s="606">
        <f t="shared" si="0"/>
        <v>0.78636340206185562</v>
      </c>
      <c r="D18" s="607"/>
      <c r="E18" s="600"/>
    </row>
    <row r="19" spans="2:17">
      <c r="B19" s="605" t="s">
        <v>786</v>
      </c>
      <c r="C19" s="606">
        <f t="shared" si="0"/>
        <v>0.67824976359346101</v>
      </c>
      <c r="D19" s="607"/>
      <c r="E19" s="600"/>
    </row>
    <row r="20" spans="2:17">
      <c r="B20" s="605" t="s">
        <v>787</v>
      </c>
      <c r="C20" s="606">
        <f t="shared" si="0"/>
        <v>0.71434210526315789</v>
      </c>
      <c r="D20" s="607"/>
      <c r="E20" s="600"/>
    </row>
    <row r="21" spans="2:17">
      <c r="B21" s="605" t="s">
        <v>788</v>
      </c>
      <c r="C21" s="606">
        <f t="shared" si="0"/>
        <v>0.78090871710526322</v>
      </c>
      <c r="D21" s="607"/>
      <c r="E21" s="600"/>
    </row>
    <row r="22" spans="2:17">
      <c r="B22" s="605" t="s">
        <v>789</v>
      </c>
      <c r="C22" s="606">
        <f t="shared" si="0"/>
        <v>0.75</v>
      </c>
      <c r="D22" s="607"/>
      <c r="E22" s="600"/>
    </row>
    <row r="23" spans="2:17">
      <c r="B23" s="605" t="s">
        <v>791</v>
      </c>
      <c r="C23" s="606">
        <f>+F58</f>
        <v>1.108888888888889</v>
      </c>
      <c r="D23" s="607"/>
      <c r="E23" s="600"/>
    </row>
    <row r="24" spans="2:17" ht="15.6" thickBot="1">
      <c r="B24" s="609" t="s">
        <v>792</v>
      </c>
      <c r="C24" s="606">
        <f>+F59</f>
        <v>0.29666666666666669</v>
      </c>
      <c r="D24" s="607"/>
      <c r="E24" s="600"/>
    </row>
    <row r="25" spans="2:17" ht="16.2" thickBot="1">
      <c r="B25" s="610" t="s">
        <v>947</v>
      </c>
      <c r="C25" s="611">
        <f>+F62</f>
        <v>0.74299127100371076</v>
      </c>
      <c r="D25" s="612"/>
      <c r="E25" s="600"/>
    </row>
    <row r="26" spans="2:17" s="613" customFormat="1">
      <c r="C26" s="614"/>
      <c r="D26" s="614"/>
      <c r="E26" s="614"/>
      <c r="P26" s="600"/>
      <c r="Q26" s="600"/>
    </row>
    <row r="27" spans="2:17" s="613" customFormat="1" ht="56.25" customHeight="1" thickBot="1">
      <c r="C27" s="614"/>
      <c r="P27" s="600"/>
      <c r="Q27" s="600"/>
    </row>
    <row r="28" spans="2:17" ht="57" customHeight="1">
      <c r="B28" s="1397" t="s">
        <v>991</v>
      </c>
      <c r="C28" s="1399" t="s">
        <v>914</v>
      </c>
      <c r="D28" s="1386" t="s">
        <v>993</v>
      </c>
      <c r="E28" s="1387"/>
      <c r="F28" s="1388"/>
      <c r="H28" s="602"/>
    </row>
    <row r="29" spans="2:17" ht="54.6" customHeight="1" thickBot="1">
      <c r="B29" s="1398"/>
      <c r="C29" s="1400"/>
      <c r="D29" s="745" t="str">
        <f>+'2.Infor Detallado Desempeño POA'!D5</f>
        <v>Tercer Trimestre</v>
      </c>
      <c r="E29" s="749" t="s">
        <v>998</v>
      </c>
      <c r="F29" s="751" t="s">
        <v>985</v>
      </c>
      <c r="H29" s="602"/>
    </row>
    <row r="30" spans="2:17" ht="29.4" customHeight="1">
      <c r="B30" s="733" t="s">
        <v>986</v>
      </c>
      <c r="C30" s="715">
        <f>+C46</f>
        <v>19</v>
      </c>
      <c r="D30" s="746">
        <f>AVERAGE(D41:D45)</f>
        <v>1.0149753965750863</v>
      </c>
      <c r="E30" s="752">
        <f>AVERAGE(E41:E45)</f>
        <v>1.0423937909561132</v>
      </c>
      <c r="F30" s="1048">
        <f>AVERAGE(F41:F45)</f>
        <v>0.6735580683262643</v>
      </c>
      <c r="H30" s="602"/>
    </row>
    <row r="31" spans="2:17" ht="36.6" customHeight="1">
      <c r="B31" s="717" t="s">
        <v>987</v>
      </c>
      <c r="C31" s="716">
        <f>+C50</f>
        <v>36</v>
      </c>
      <c r="D31" s="747">
        <f>AVERAGE(D47:D49)</f>
        <v>1.0524634934573853</v>
      </c>
      <c r="E31" s="752">
        <f>AVERAGE(E47:E49)</f>
        <v>1.1162806256610307</v>
      </c>
      <c r="F31" s="1048">
        <f>AVERAGE(F47:F49)</f>
        <v>0.85998012106377442</v>
      </c>
      <c r="H31" s="602"/>
    </row>
    <row r="32" spans="2:17" ht="41.4" customHeight="1">
      <c r="B32" s="717" t="s">
        <v>988</v>
      </c>
      <c r="C32" s="716">
        <f>+C57</f>
        <v>26</v>
      </c>
      <c r="D32" s="747">
        <f>AVERAGE(D51:D56)</f>
        <v>1.1054488128279247</v>
      </c>
      <c r="E32" s="752">
        <f>AVERAGE(E51:E56)</f>
        <v>0.99025817190968757</v>
      </c>
      <c r="F32" s="1048">
        <f>AVERAGE(F51:F56)</f>
        <v>0.73564911684702616</v>
      </c>
      <c r="H32" s="602"/>
    </row>
    <row r="33" spans="2:22" ht="40.799999999999997">
      <c r="B33" s="717" t="s">
        <v>989</v>
      </c>
      <c r="C33" s="718">
        <f>+C60</f>
        <v>6</v>
      </c>
      <c r="D33" s="748">
        <f>AVERAGE(D58:D59)</f>
        <v>1.1833333333333331</v>
      </c>
      <c r="E33" s="753">
        <f>AVERAGE(E58:E59)</f>
        <v>1.1588576528335564</v>
      </c>
      <c r="F33" s="1049">
        <f>AVERAGE(F58:F59)</f>
        <v>0.70277777777777783</v>
      </c>
      <c r="H33" s="602"/>
    </row>
    <row r="34" spans="2:22" ht="23.4">
      <c r="B34" s="720" t="s">
        <v>990</v>
      </c>
      <c r="C34" s="726">
        <f>SUM(C30:C33)</f>
        <v>87</v>
      </c>
      <c r="D34" s="719">
        <f>AVERAGE(D30:D33)</f>
        <v>1.0890552590484326</v>
      </c>
      <c r="E34" s="750">
        <f>AVERAGE(E30:E33)</f>
        <v>1.0769475603400971</v>
      </c>
      <c r="F34" s="758">
        <f>AVERAGE(F30:F33)</f>
        <v>0.74299127100371076</v>
      </c>
      <c r="H34" s="602"/>
    </row>
    <row r="35" spans="2:22" s="724" customFormat="1" ht="23.4">
      <c r="B35" s="721"/>
      <c r="C35" s="722"/>
      <c r="D35" s="723"/>
      <c r="E35" s="723"/>
      <c r="H35" s="725"/>
    </row>
    <row r="36" spans="2:22" s="613" customFormat="1">
      <c r="C36" s="614"/>
      <c r="P36" s="600"/>
      <c r="Q36" s="600"/>
    </row>
    <row r="37" spans="2:22" s="536" customFormat="1" ht="19.5" customHeight="1" thickBot="1">
      <c r="B37" s="542" t="str">
        <f>+B5</f>
        <v>Fecha de corte: 30 de septiembre de 2021</v>
      </c>
      <c r="D37" s="543"/>
      <c r="E37" s="543"/>
      <c r="V37" s="539"/>
    </row>
    <row r="38" spans="2:22" s="536" customFormat="1" ht="21" customHeight="1">
      <c r="B38" s="1394" t="s">
        <v>801</v>
      </c>
      <c r="C38" s="1392" t="s">
        <v>914</v>
      </c>
      <c r="D38" s="1392" t="s">
        <v>957</v>
      </c>
      <c r="E38" s="1392"/>
      <c r="F38" s="1396"/>
      <c r="G38" s="537"/>
      <c r="H38" s="537"/>
      <c r="I38" s="537"/>
      <c r="U38" s="539"/>
    </row>
    <row r="39" spans="2:22" s="536" customFormat="1" ht="49.5" customHeight="1" thickBot="1">
      <c r="B39" s="1395"/>
      <c r="C39" s="1393"/>
      <c r="D39" s="1030" t="str">
        <f>+'2.Infor Detallado Desempeño POA'!K12</f>
        <v>Tercer Trimestre</v>
      </c>
      <c r="E39" s="1030" t="str">
        <f>+'2.Infor Detallado Desempeño POA'!L12</f>
        <v>Acumulado Corte 30/09/2021</v>
      </c>
      <c r="F39" s="734" t="str">
        <f>+'2.Infor Detallado Desempeño POA'!M12</f>
        <v>Anual</v>
      </c>
      <c r="G39" s="629"/>
      <c r="H39" s="537"/>
      <c r="I39" s="537"/>
      <c r="J39" s="537"/>
      <c r="V39" s="539"/>
    </row>
    <row r="40" spans="2:22" s="729" customFormat="1" ht="6" customHeight="1" thickBot="1">
      <c r="B40" s="1383"/>
      <c r="C40" s="1384"/>
      <c r="D40" s="1384"/>
      <c r="E40" s="1384"/>
      <c r="F40" s="1385"/>
      <c r="G40" s="727"/>
      <c r="H40" s="728"/>
      <c r="I40" s="728"/>
      <c r="J40" s="728"/>
      <c r="V40" s="730"/>
    </row>
    <row r="41" spans="2:22" s="536" customFormat="1">
      <c r="B41" s="544" t="s">
        <v>775</v>
      </c>
      <c r="C41" s="545">
        <f>+'Rango indicadores'!D111</f>
        <v>4</v>
      </c>
      <c r="D41" s="546">
        <f>IF(AND('2.Infor Detallado Desempeño POA'!K17&gt;0),'2.Infor Detallado Desempeño POA'!K17,"No Programado")</f>
        <v>1.0221238085225679</v>
      </c>
      <c r="E41" s="546">
        <f>IF(AND('2.Infor Detallado Desempeño POA'!L17&gt;0),'2.Infor Detallado Desempeño POA'!L17,"No Programado")</f>
        <v>0.94308006589167614</v>
      </c>
      <c r="F41" s="546">
        <f>IF(AND('2.Infor Detallado Desempeño POA'!M17&gt;0),'2.Infor Detallado Desempeño POA'!M17,"No Programado")</f>
        <v>0.65757870141968155</v>
      </c>
      <c r="G41" s="547"/>
      <c r="H41" s="547"/>
      <c r="I41" s="547"/>
      <c r="J41" s="547"/>
      <c r="V41" s="539"/>
    </row>
    <row r="42" spans="2:22" s="536" customFormat="1">
      <c r="B42" s="548" t="s">
        <v>777</v>
      </c>
      <c r="C42" s="545">
        <f>+'Rango indicadores'!D112</f>
        <v>3</v>
      </c>
      <c r="D42" s="546" t="str">
        <f>IF(AND('2.Infor Detallado Desempeño POA'!K25&gt;0),'2.Infor Detallado Desempeño POA'!K25,"No Programado")</f>
        <v>No Programado</v>
      </c>
      <c r="E42" s="546">
        <f>IF(AND('2.Infor Detallado Desempeño POA'!L25&gt;0),'2.Infor Detallado Desempeño POA'!L25,"No Programado")</f>
        <v>1.25</v>
      </c>
      <c r="F42" s="546">
        <f>IF(AND('2.Infor Detallado Desempeño POA'!M25&gt;0),'2.Infor Detallado Desempeño POA'!M25,"No Programado")</f>
        <v>0.5</v>
      </c>
      <c r="G42" s="547"/>
      <c r="H42" s="547"/>
      <c r="I42" s="547"/>
      <c r="J42" s="547"/>
      <c r="V42" s="539"/>
    </row>
    <row r="43" spans="2:22" s="536" customFormat="1">
      <c r="B43" s="548" t="s">
        <v>778</v>
      </c>
      <c r="C43" s="545">
        <f>+'Rango indicadores'!D113</f>
        <v>7</v>
      </c>
      <c r="D43" s="546">
        <f>IF(AND('2.Infor Detallado Desempeño POA'!K37&gt;0),'2.Infor Detallado Desempeño POA'!K37,"No Programado")</f>
        <v>1</v>
      </c>
      <c r="E43" s="546">
        <f>IF(AND('2.Infor Detallado Desempeño POA'!L37&gt;0),'2.Infor Detallado Desempeño POA'!L37,"No Programado")</f>
        <v>1</v>
      </c>
      <c r="F43" s="546">
        <f>IF(AND('2.Infor Detallado Desempeño POA'!M37&gt;0),'2.Infor Detallado Desempeño POA'!M37,"No Programado")</f>
        <v>0.78095238095238084</v>
      </c>
      <c r="G43" s="547"/>
      <c r="H43" s="547"/>
      <c r="I43" s="547"/>
      <c r="J43" s="547"/>
      <c r="V43" s="539"/>
    </row>
    <row r="44" spans="2:22" s="536" customFormat="1">
      <c r="B44" s="548" t="s">
        <v>779</v>
      </c>
      <c r="C44" s="545">
        <f>+'Rango indicadores'!D114</f>
        <v>2</v>
      </c>
      <c r="D44" s="546">
        <f>IF(AND('2.Infor Detallado Desempeño POA'!K44&gt;0),'2.Infor Detallado Desempeño POA'!K44,"No Programado")</f>
        <v>1</v>
      </c>
      <c r="E44" s="546">
        <f>IF(AND('2.Infor Detallado Desempeño POA'!L44&gt;0),'2.Infor Detallado Desempeño POA'!L44,"No Programado")</f>
        <v>1</v>
      </c>
      <c r="F44" s="546">
        <f>IF(AND('2.Infor Detallado Desempeño POA'!M44&gt;0),'2.Infor Detallado Desempeño POA'!M44,"No Programado")</f>
        <v>0.75</v>
      </c>
      <c r="G44" s="547"/>
      <c r="H44" s="547"/>
      <c r="I44" s="547"/>
      <c r="J44" s="547"/>
      <c r="V44" s="539"/>
    </row>
    <row r="45" spans="2:22" s="536" customFormat="1" ht="15.6" thickBot="1">
      <c r="B45" s="549" t="s">
        <v>790</v>
      </c>
      <c r="C45" s="545">
        <f>+'Rango indicadores'!D124</f>
        <v>3</v>
      </c>
      <c r="D45" s="546">
        <f>IF(AND('2.Infor Detallado Desempeño POA'!K52&gt;0),'2.Infor Detallado Desempeño POA'!K52,"No Programado")</f>
        <v>1.0377777777777779</v>
      </c>
      <c r="E45" s="546">
        <f>IF(AND('2.Infor Detallado Desempeño POA'!L52&gt;0),'2.Infor Detallado Desempeño POA'!L52,"No Programado")</f>
        <v>1.018888888888889</v>
      </c>
      <c r="F45" s="546">
        <f>IF(AND('2.Infor Detallado Desempeño POA'!M52&gt;0),'2.Infor Detallado Desempeño POA'!M52,"No Programado")</f>
        <v>0.67925925925925934</v>
      </c>
      <c r="G45" s="547"/>
      <c r="H45" s="547"/>
      <c r="I45" s="547"/>
      <c r="J45" s="547"/>
      <c r="V45" s="539"/>
    </row>
    <row r="46" spans="2:22" s="536" customFormat="1" ht="34.950000000000003" customHeight="1" thickBot="1">
      <c r="B46" s="735" t="s">
        <v>958</v>
      </c>
      <c r="C46" s="736">
        <f>SUM(C41:C45)</f>
        <v>19</v>
      </c>
      <c r="D46" s="737">
        <f>AVERAGE(D41:D45)</f>
        <v>1.0149753965750863</v>
      </c>
      <c r="E46" s="737">
        <f t="shared" ref="E46:F46" si="1">AVERAGE(E41:E45)</f>
        <v>1.0423937909561132</v>
      </c>
      <c r="F46" s="737">
        <f t="shared" si="1"/>
        <v>0.6735580683262643</v>
      </c>
      <c r="G46" s="550"/>
      <c r="H46" s="547"/>
      <c r="I46" s="547"/>
      <c r="J46" s="547"/>
      <c r="V46" s="539"/>
    </row>
    <row r="47" spans="2:22" s="536" customFormat="1">
      <c r="B47" s="544" t="s">
        <v>780</v>
      </c>
      <c r="C47" s="545">
        <f>+'Rango indicadores'!D115</f>
        <v>21</v>
      </c>
      <c r="D47" s="546">
        <f>IF(AND('2.Infor Detallado Desempeño POA'!K78&gt;0),'2.Infor Detallado Desempeño POA'!K78,"No Programado")</f>
        <v>1.221992332224008</v>
      </c>
      <c r="E47" s="546">
        <f>IF(AND('2.Infor Detallado Desempeño POA'!L78&gt;0),'2.Infor Detallado Desempeño POA'!L78,"No Programado")</f>
        <v>1.0578683655355026</v>
      </c>
      <c r="F47" s="546">
        <f>IF(AND('2.Infor Detallado Desempeño POA'!M78&gt;0),'2.Infor Detallado Desempeño POA'!M78,"No Programado")</f>
        <v>0.84159172373554081</v>
      </c>
      <c r="G47" s="547"/>
      <c r="H47" s="547"/>
      <c r="I47" s="547"/>
      <c r="J47" s="547"/>
      <c r="V47" s="539"/>
    </row>
    <row r="48" spans="2:22" s="536" customFormat="1">
      <c r="B48" s="548" t="s">
        <v>916</v>
      </c>
      <c r="C48" s="545">
        <f>+'Rango indicadores'!D116</f>
        <v>7</v>
      </c>
      <c r="D48" s="546">
        <f>IF(AND('2.Infor Detallado Desempeño POA'!K90&gt;0),'2.Infor Detallado Desempeño POA'!K90,"No Programado")</f>
        <v>0.81481481481481488</v>
      </c>
      <c r="E48" s="546">
        <f>IF(AND('2.Infor Detallado Desempeño POA'!L90&gt;0),'2.Infor Detallado Desempeño POA'!L90,"No Programado")</f>
        <v>1.1566024797015579</v>
      </c>
      <c r="F48" s="546">
        <f>IF(AND('2.Infor Detallado Desempeño POA'!M90&gt;0),'2.Infor Detallado Desempeño POA'!M90,"No Programado")</f>
        <v>0.92826530612244895</v>
      </c>
      <c r="G48" s="547"/>
      <c r="H48" s="547"/>
      <c r="I48" s="547"/>
      <c r="J48" s="547"/>
      <c r="V48" s="539"/>
    </row>
    <row r="49" spans="2:22" s="536" customFormat="1" ht="15.6" thickBot="1">
      <c r="B49" s="549" t="s">
        <v>783</v>
      </c>
      <c r="C49" s="545">
        <f>+'Rango indicadores'!D117</f>
        <v>8</v>
      </c>
      <c r="D49" s="546">
        <f>IF(AND('2.Infor Detallado Desempeño POA'!K103&gt;0),'2.Infor Detallado Desempeño POA'!K103,"No Programado")</f>
        <v>1.1205833333333333</v>
      </c>
      <c r="E49" s="546">
        <f>IF(AND('2.Infor Detallado Desempeño POA'!L103&gt;0),'2.Infor Detallado Desempeño POA'!L103,"No Programado")</f>
        <v>1.1343710317460318</v>
      </c>
      <c r="F49" s="546">
        <f>IF(AND('2.Infor Detallado Desempeño POA'!M103&gt;0),'2.Infor Detallado Desempeño POA'!M103,"No Programado")</f>
        <v>0.81008333333333338</v>
      </c>
      <c r="G49" s="547"/>
      <c r="H49" s="547"/>
      <c r="I49" s="547"/>
      <c r="J49" s="547"/>
      <c r="V49" s="539"/>
    </row>
    <row r="50" spans="2:22" s="536" customFormat="1" ht="34.950000000000003" customHeight="1" thickBot="1">
      <c r="B50" s="735" t="s">
        <v>959</v>
      </c>
      <c r="C50" s="736">
        <f>SUM(C47:C49)</f>
        <v>36</v>
      </c>
      <c r="D50" s="737">
        <f>AVERAGE(D47:D49)</f>
        <v>1.0524634934573853</v>
      </c>
      <c r="E50" s="737">
        <f t="shared" ref="E50:F50" si="2">AVERAGE(E47:E49)</f>
        <v>1.1162806256610307</v>
      </c>
      <c r="F50" s="737">
        <f t="shared" si="2"/>
        <v>0.85998012106377442</v>
      </c>
      <c r="G50" s="550"/>
      <c r="H50" s="547"/>
      <c r="I50" s="547"/>
      <c r="J50" s="547"/>
      <c r="V50" s="539"/>
    </row>
    <row r="51" spans="2:22" s="536" customFormat="1">
      <c r="B51" s="544" t="s">
        <v>784</v>
      </c>
      <c r="C51" s="545">
        <f>+'Rango indicadores'!D118</f>
        <v>8</v>
      </c>
      <c r="D51" s="546">
        <f>IF(AND('2.Infor Detallado Desempeño POA'!K116&gt;0),'2.Infor Detallado Desempeño POA'!K116,"No Programado")</f>
        <v>1.1615130302526715</v>
      </c>
      <c r="E51" s="546">
        <f>IF(AND('2.Infor Detallado Desempeño POA'!L116&gt;0),'2.Infor Detallado Desempeño POA'!L116,"No Programado")</f>
        <v>1.0155097267816826</v>
      </c>
      <c r="F51" s="546">
        <f>IF(AND('2.Infor Detallado Desempeño POA'!M116&gt;0),'2.Infor Detallado Desempeño POA'!M116,"No Programado")</f>
        <v>0.70403071305841924</v>
      </c>
      <c r="G51" s="547"/>
      <c r="H51" s="547"/>
      <c r="I51" s="547"/>
      <c r="J51" s="547"/>
      <c r="V51" s="539"/>
    </row>
    <row r="52" spans="2:22" s="536" customFormat="1">
      <c r="B52" s="548" t="s">
        <v>785</v>
      </c>
      <c r="C52" s="545">
        <f>+'Rango indicadores'!D119</f>
        <v>2</v>
      </c>
      <c r="D52" s="546">
        <f>IF(AND('2.Infor Detallado Desempeño POA'!K123),'2.Infor Detallado Desempeño POA'!K123,"No Programado")</f>
        <v>1.0984536082474226</v>
      </c>
      <c r="E52" s="546">
        <f>IF(AND('2.Infor Detallado Desempeño POA'!L123),'2.Infor Detallado Desempeño POA'!L123,"No Programado")</f>
        <v>1.0488797887234313</v>
      </c>
      <c r="F52" s="546">
        <f>IF(AND('2.Infor Detallado Desempeño POA'!M123),'2.Infor Detallado Desempeño POA'!M123,"No Programado")</f>
        <v>0.78636340206185562</v>
      </c>
      <c r="G52" s="547"/>
      <c r="H52" s="547"/>
      <c r="I52" s="547"/>
      <c r="J52" s="547"/>
      <c r="V52" s="539"/>
    </row>
    <row r="53" spans="2:22" s="536" customFormat="1">
      <c r="B53" s="548" t="s">
        <v>786</v>
      </c>
      <c r="C53" s="545">
        <f>+'Rango indicadores'!D120</f>
        <v>3</v>
      </c>
      <c r="D53" s="546">
        <f>IF(AND('2.Infor Detallado Desempeño POA'!K131&gt;0),'2.Infor Detallado Desempeño POA'!K131,"No Programado")</f>
        <v>0.92735029861783058</v>
      </c>
      <c r="E53" s="546">
        <f>IF(AND('2.Infor Detallado Desempeño POA'!L131&gt;0),'2.Infor Detallado Desempeño POA'!L131,"No Programado")</f>
        <v>0.94016466165903667</v>
      </c>
      <c r="F53" s="546">
        <f>IF(AND('2.Infor Detallado Desempeño POA'!M131&gt;0),'2.Infor Detallado Desempeño POA'!M131,"No Programado")</f>
        <v>0.67824976359346101</v>
      </c>
      <c r="G53" s="547"/>
      <c r="H53" s="547"/>
      <c r="I53" s="547"/>
      <c r="J53" s="547"/>
      <c r="V53" s="539"/>
    </row>
    <row r="54" spans="2:22" s="536" customFormat="1">
      <c r="B54" s="548" t="s">
        <v>787</v>
      </c>
      <c r="C54" s="545">
        <f>+'Rango indicadores'!D121</f>
        <v>4</v>
      </c>
      <c r="D54" s="546">
        <f>IF(AND('2.Infor Detallado Desempeño POA'!K140&gt;0),'2.Infor Detallado Desempeño POA'!K140,"No Programado")</f>
        <v>1.3595833333333334</v>
      </c>
      <c r="E54" s="546">
        <f>IF(AND('2.Infor Detallado Desempeño POA'!L140&gt;0),'2.Infor Detallado Desempeño POA'!L140,"No Programado")</f>
        <v>0.90277153558052436</v>
      </c>
      <c r="F54" s="546">
        <f>IF(AND('2.Infor Detallado Desempeño POA'!M140&gt;0),'2.Infor Detallado Desempeño POA'!M140,"No Programado")</f>
        <v>0.71434210526315789</v>
      </c>
      <c r="G54" s="547"/>
      <c r="H54" s="547"/>
      <c r="I54" s="547"/>
      <c r="J54" s="547"/>
      <c r="V54" s="539"/>
    </row>
    <row r="55" spans="2:22" s="536" customFormat="1">
      <c r="B55" s="548" t="s">
        <v>788</v>
      </c>
      <c r="C55" s="545">
        <f>+'Rango indicadores'!D122</f>
        <v>4</v>
      </c>
      <c r="D55" s="546">
        <f>IF(AND('2.Infor Detallado Desempeño POA'!K149&gt;0),'2.Infor Detallado Desempeño POA'!K149,"No Programado")</f>
        <v>1.0857926065162906</v>
      </c>
      <c r="E55" s="546">
        <f>IF(AND('2.Infor Detallado Desempeño POA'!L149&gt;0),'2.Infor Detallado Desempeño POA'!L149,"No Programado")</f>
        <v>1.0342233187134502</v>
      </c>
      <c r="F55" s="546">
        <f>IF(AND('2.Infor Detallado Desempeño POA'!M149&gt;0),'2.Infor Detallado Desempeño POA'!M149,"No Programado")</f>
        <v>0.78090871710526322</v>
      </c>
      <c r="G55" s="547"/>
      <c r="H55" s="547"/>
      <c r="I55" s="547"/>
      <c r="J55" s="547"/>
      <c r="V55" s="539"/>
    </row>
    <row r="56" spans="2:22" s="536" customFormat="1" ht="15.6" thickBot="1">
      <c r="B56" s="549" t="s">
        <v>789</v>
      </c>
      <c r="C56" s="545">
        <f>+'Rango indicadores'!D123</f>
        <v>5</v>
      </c>
      <c r="D56" s="546">
        <f>IF(AND('2.Infor Detallado Desempeño POA'!K159&gt;0),'2.Infor Detallado Desempeño POA'!K159,"No Programado")</f>
        <v>1</v>
      </c>
      <c r="E56" s="546">
        <f>IF(AND('2.Infor Detallado Desempeño POA'!L159&gt;0),'2.Infor Detallado Desempeño POA'!L159,"No Programado")</f>
        <v>1</v>
      </c>
      <c r="F56" s="546">
        <f>IF(AND('2.Infor Detallado Desempeño POA'!M159&gt;0),'2.Infor Detallado Desempeño POA'!M159,"No Programado")</f>
        <v>0.75</v>
      </c>
      <c r="G56" s="547"/>
      <c r="H56" s="547"/>
      <c r="I56" s="547"/>
      <c r="J56" s="547"/>
      <c r="V56" s="539"/>
    </row>
    <row r="57" spans="2:22" s="536" customFormat="1" ht="34.950000000000003" customHeight="1" thickBot="1">
      <c r="B57" s="735" t="s">
        <v>960</v>
      </c>
      <c r="C57" s="736">
        <f>SUM(C51:C56)</f>
        <v>26</v>
      </c>
      <c r="D57" s="737">
        <f>AVERAGE(D51:D56)</f>
        <v>1.1054488128279247</v>
      </c>
      <c r="E57" s="737">
        <f t="shared" ref="E57" si="3">AVERAGE(E51:E56)</f>
        <v>0.99025817190968757</v>
      </c>
      <c r="F57" s="737">
        <f>AVERAGE(F51:F56)</f>
        <v>0.73564911684702616</v>
      </c>
      <c r="G57" s="550"/>
      <c r="H57" s="547"/>
      <c r="I57" s="547"/>
      <c r="J57" s="547"/>
      <c r="V57" s="539"/>
    </row>
    <row r="58" spans="2:22" s="536" customFormat="1">
      <c r="B58" s="548" t="s">
        <v>791</v>
      </c>
      <c r="C58" s="545">
        <f>+'Rango indicadores'!D125</f>
        <v>3</v>
      </c>
      <c r="D58" s="546">
        <f>IF(AND('2.Infor Detallado Desempeño POA'!K167&gt;0),'2.Infor Detallado Desempeño POA'!K167,"No Programado")</f>
        <v>1.3666666666666665</v>
      </c>
      <c r="E58" s="546">
        <f>IF(AND('2.Infor Detallado Desempeño POA'!L167&gt;0),'2.Infor Detallado Desempeño POA'!L167,"No Programado")</f>
        <v>1.3177153056671129</v>
      </c>
      <c r="F58" s="546">
        <f>IF(AND('2.Infor Detallado Desempeño POA'!M167&gt;0),'2.Infor Detallado Desempeño POA'!M167,"No Programado")</f>
        <v>1.108888888888889</v>
      </c>
      <c r="G58" s="547"/>
      <c r="H58" s="547"/>
      <c r="I58" s="547"/>
      <c r="J58" s="547"/>
      <c r="V58" s="539"/>
    </row>
    <row r="59" spans="2:22" s="536" customFormat="1" ht="15.6" thickBot="1">
      <c r="B59" s="637" t="s">
        <v>792</v>
      </c>
      <c r="C59" s="638">
        <f>+'Rango indicadores'!D126</f>
        <v>3</v>
      </c>
      <c r="D59" s="546">
        <f>IF(AND('2.Infor Detallado Desempeño POA'!K175&gt;0),'2.Infor Detallado Desempeño POA'!K175,"No Programado")</f>
        <v>1</v>
      </c>
      <c r="E59" s="546">
        <f>IF(AND('2.Infor Detallado Desempeño POA'!L175&gt;0),'2.Infor Detallado Desempeño POA'!L175,"No Programado")</f>
        <v>1</v>
      </c>
      <c r="F59" s="546">
        <f>IF(AND('2.Infor Detallado Desempeño POA'!M175&gt;0),'2.Infor Detallado Desempeño POA'!M175,"No Programado")</f>
        <v>0.29666666666666669</v>
      </c>
      <c r="G59" s="547"/>
      <c r="H59" s="547"/>
      <c r="I59" s="547"/>
      <c r="J59" s="547"/>
      <c r="V59" s="539"/>
    </row>
    <row r="60" spans="2:22" s="536" customFormat="1" ht="46.95" customHeight="1" thickBot="1">
      <c r="B60" s="738" t="s">
        <v>917</v>
      </c>
      <c r="C60" s="736">
        <f>SUM(C58:C59)</f>
        <v>6</v>
      </c>
      <c r="D60" s="737">
        <f>AVERAGE(D58:D59)</f>
        <v>1.1833333333333331</v>
      </c>
      <c r="E60" s="737">
        <f t="shared" ref="E60:F60" si="4">AVERAGE(E58:E59)</f>
        <v>1.1588576528335564</v>
      </c>
      <c r="F60" s="737">
        <f t="shared" si="4"/>
        <v>0.70277777777777783</v>
      </c>
      <c r="G60" s="550"/>
      <c r="H60" s="547"/>
      <c r="I60" s="547"/>
      <c r="J60" s="547"/>
      <c r="V60" s="539"/>
    </row>
    <row r="61" spans="2:22" s="729" customFormat="1" ht="6" customHeight="1">
      <c r="B61" s="731"/>
      <c r="C61" s="732"/>
      <c r="D61" s="727"/>
      <c r="E61" s="727"/>
      <c r="F61" s="727"/>
      <c r="G61" s="727"/>
      <c r="H61" s="728"/>
      <c r="I61" s="728"/>
      <c r="J61" s="728"/>
      <c r="V61" s="730"/>
    </row>
    <row r="62" spans="2:22" ht="15" customHeight="1">
      <c r="B62" s="714" t="s">
        <v>990</v>
      </c>
      <c r="C62" s="726">
        <f>+C60+C57+C50+C46</f>
        <v>87</v>
      </c>
      <c r="D62" s="719">
        <f>AVERAGE(D46,D50,D57,D60)</f>
        <v>1.0890552590484326</v>
      </c>
      <c r="E62" s="719">
        <f>AVERAGE(E46,E50,E57,E60)</f>
        <v>1.0769475603400971</v>
      </c>
      <c r="F62" s="759">
        <f>AVERAGE(F46,F50,F57,F60)</f>
        <v>0.74299127100371076</v>
      </c>
      <c r="G62" s="760"/>
    </row>
    <row r="63" spans="2:22" ht="15" customHeight="1"/>
    <row r="64" spans="2:22" ht="15" customHeight="1">
      <c r="D64" s="744"/>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hX09p/Otw6Dgq9lHP7DndRByT4JlJolQdEBwwj7OmjMxvrnWo5HNU0R/E7nWQ+01X7ldawFs6rFDFqPKtuNR0A==" saltValue="UyfaEwBze3JKSlHmuN9/rg==" spinCount="100000" sheet="1" objects="1" scenarios="1"/>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216" priority="1" operator="equal">
      <formula>"No Programado"</formula>
    </cfRule>
    <cfRule type="cellIs" dxfId="215" priority="2" operator="lessThanOrEqual">
      <formula>0.6</formula>
    </cfRule>
    <cfRule type="cellIs" dxfId="214" priority="3" operator="between">
      <formula>0.6</formula>
      <formula>0.899999999999999</formula>
    </cfRule>
    <cfRule type="cellIs" dxfId="213" priority="4" operator="greaterThan">
      <formula>1</formula>
    </cfRule>
    <cfRule type="cellIs" dxfId="212" priority="5" operator="between">
      <formula>0.9</formula>
      <formula>1</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theme="8" tint="-0.249977111117893"/>
  </sheetPr>
  <dimension ref="B1:AB232"/>
  <sheetViews>
    <sheetView showGridLines="0" zoomScale="70" zoomScaleNormal="70" workbookViewId="0">
      <selection activeCell="V77" sqref="V77"/>
    </sheetView>
  </sheetViews>
  <sheetFormatPr baseColWidth="10" defaultColWidth="11.44140625" defaultRowHeight="15" zeroHeight="1"/>
  <cols>
    <col min="1" max="1" width="3.44140625" style="536" customWidth="1"/>
    <col min="2" max="2" width="8.6640625" style="536" customWidth="1"/>
    <col min="3" max="3" width="23.33203125" style="536" customWidth="1"/>
    <col min="4" max="4" width="63.33203125" style="539" customWidth="1"/>
    <col min="5" max="5" width="16" style="543" customWidth="1"/>
    <col min="6" max="6" width="17.88671875" style="536" customWidth="1"/>
    <col min="7" max="7" width="23.33203125" style="536" customWidth="1"/>
    <col min="8" max="8" width="16" style="536" customWidth="1"/>
    <col min="9" max="9" width="22.88671875" style="536" customWidth="1"/>
    <col min="10" max="10" width="16" style="536" customWidth="1"/>
    <col min="11" max="11" width="14.5546875" style="536" customWidth="1"/>
    <col min="12" max="12" width="21" style="536" customWidth="1"/>
    <col min="13" max="13" width="12.6640625" style="536" customWidth="1"/>
    <col min="14" max="14" width="19.44140625" style="536" customWidth="1"/>
    <col min="15" max="15" width="10.109375" style="536" customWidth="1"/>
    <col min="16" max="16" width="13.33203125" style="536" customWidth="1"/>
    <col min="17" max="17" width="8.33203125" style="536" customWidth="1"/>
    <col min="18" max="18" width="14" style="536" customWidth="1"/>
    <col min="19" max="19" width="8.33203125" style="536" customWidth="1"/>
    <col min="20" max="20" width="19.44140625" style="536" customWidth="1"/>
    <col min="21" max="21" width="8.33203125" style="536" customWidth="1"/>
    <col min="22" max="22" width="82.88671875" style="539" customWidth="1"/>
    <col min="23" max="23" width="3.6640625" style="536" customWidth="1"/>
    <col min="24" max="25" width="12.109375" style="536" customWidth="1"/>
    <col min="26" max="26" width="27.44140625" style="536" bestFit="1" customWidth="1"/>
    <col min="27" max="16372" width="11.44140625" style="536"/>
    <col min="16373" max="16373" width="1.44140625" style="536" customWidth="1"/>
    <col min="16374" max="16384" width="2.88671875" style="536" customWidth="1"/>
  </cols>
  <sheetData>
    <row r="1" spans="2:28">
      <c r="E1" s="537"/>
      <c r="F1" s="538"/>
      <c r="G1" s="538"/>
      <c r="H1" s="538"/>
      <c r="I1" s="538"/>
      <c r="J1" s="538"/>
      <c r="K1" s="538"/>
      <c r="L1" s="538"/>
    </row>
    <row r="2" spans="2:28" ht="28.95" customHeight="1">
      <c r="C2" s="1403" t="s">
        <v>946</v>
      </c>
      <c r="D2" s="1409" t="s">
        <v>945</v>
      </c>
      <c r="E2" s="1410"/>
      <c r="F2" s="1410"/>
      <c r="G2" s="1410"/>
      <c r="H2" s="1410"/>
      <c r="I2" s="1410"/>
      <c r="J2" s="1411"/>
      <c r="K2" s="594"/>
      <c r="L2" s="594"/>
      <c r="M2" s="594"/>
      <c r="N2" s="1035"/>
      <c r="O2" s="1035"/>
      <c r="P2" s="1035"/>
      <c r="Q2" s="1035"/>
      <c r="R2" s="1035"/>
      <c r="S2" s="1035"/>
      <c r="T2" s="1035"/>
      <c r="U2" s="1035"/>
    </row>
    <row r="3" spans="2:28" ht="17.399999999999999" customHeight="1">
      <c r="C3" s="1403"/>
      <c r="D3" s="1412" t="s">
        <v>992</v>
      </c>
      <c r="E3" s="1413"/>
      <c r="F3" s="1413"/>
      <c r="G3" s="1413"/>
      <c r="H3" s="1413"/>
      <c r="I3" s="1413"/>
      <c r="J3" s="1414"/>
      <c r="K3" s="593"/>
      <c r="L3" s="593"/>
      <c r="M3" s="593"/>
      <c r="N3" s="1034"/>
      <c r="O3" s="1034"/>
      <c r="P3" s="1034"/>
      <c r="Q3" s="1034"/>
      <c r="R3" s="1034"/>
      <c r="S3" s="1034"/>
      <c r="T3" s="1034"/>
      <c r="U3" s="1034"/>
      <c r="V3" s="540"/>
    </row>
    <row r="4" spans="2:28" ht="15.6" customHeight="1">
      <c r="C4" s="1403"/>
      <c r="D4" s="1415" t="s">
        <v>913</v>
      </c>
      <c r="E4" s="1416"/>
      <c r="F4" s="1416"/>
      <c r="G4" s="1416"/>
      <c r="H4" s="1416"/>
      <c r="I4" s="1416"/>
      <c r="J4" s="1417"/>
      <c r="K4" s="594"/>
      <c r="L4" s="594"/>
      <c r="M4" s="594"/>
      <c r="N4" s="1035"/>
      <c r="O4" s="1035"/>
      <c r="P4" s="1035"/>
      <c r="Q4" s="1035"/>
      <c r="R4" s="1035"/>
      <c r="S4" s="1035"/>
      <c r="T4" s="1035"/>
      <c r="U4" s="1035"/>
      <c r="V4" s="540"/>
    </row>
    <row r="5" spans="2:28" ht="20.399999999999999" customHeight="1">
      <c r="C5" s="1403"/>
      <c r="D5" s="1418" t="s">
        <v>1134</v>
      </c>
      <c r="E5" s="1419"/>
      <c r="F5" s="1419"/>
      <c r="G5" s="1419"/>
      <c r="H5" s="1419"/>
      <c r="I5" s="1419"/>
      <c r="J5" s="1420"/>
      <c r="K5" s="584"/>
      <c r="L5" s="584"/>
      <c r="M5" s="584"/>
      <c r="N5" s="1029"/>
      <c r="O5" s="1029"/>
      <c r="P5" s="1029"/>
      <c r="Q5" s="1029"/>
      <c r="R5" s="1029"/>
      <c r="S5" s="1029"/>
      <c r="T5" s="1029"/>
      <c r="U5" s="1029"/>
      <c r="V5" s="541"/>
    </row>
    <row r="6" spans="2:28" ht="19.5" customHeight="1">
      <c r="C6" s="542" t="s">
        <v>1133</v>
      </c>
      <c r="D6" s="585"/>
    </row>
    <row r="7" spans="2:28" ht="33" customHeight="1">
      <c r="C7" s="551"/>
      <c r="D7" s="586"/>
      <c r="E7" s="550"/>
      <c r="F7" s="550"/>
      <c r="G7" s="550"/>
      <c r="H7" s="547"/>
      <c r="I7" s="547"/>
      <c r="J7" s="547"/>
    </row>
    <row r="8" spans="2:28" s="552" customFormat="1" hidden="1">
      <c r="D8" s="554"/>
      <c r="E8" s="553"/>
      <c r="V8" s="554"/>
    </row>
    <row r="9" spans="2:28" s="552" customFormat="1" ht="36.75" hidden="1" customHeight="1">
      <c r="D9" s="554"/>
      <c r="E9" s="553"/>
      <c r="G9" s="1033" t="s">
        <v>1135</v>
      </c>
      <c r="I9" s="1033" t="s">
        <v>1136</v>
      </c>
      <c r="L9" s="1033" t="s">
        <v>1137</v>
      </c>
      <c r="V9" s="554"/>
    </row>
    <row r="10" spans="2:28" s="552" customFormat="1" ht="15.6">
      <c r="C10" s="555" t="s">
        <v>918</v>
      </c>
      <c r="D10" s="587"/>
      <c r="E10" s="553"/>
      <c r="V10" s="554"/>
    </row>
    <row r="11" spans="2:28" ht="22.95" customHeight="1">
      <c r="C11" s="1402" t="s">
        <v>942</v>
      </c>
      <c r="D11" s="1401" t="s">
        <v>919</v>
      </c>
      <c r="E11" s="1405" t="s">
        <v>920</v>
      </c>
      <c r="F11" s="1406"/>
      <c r="G11" s="1407"/>
      <c r="H11" s="1402" t="s">
        <v>921</v>
      </c>
      <c r="I11" s="1408" t="str">
        <f>$I$9</f>
        <v>Ejecución Acumulada Corte
30/09/2021</v>
      </c>
      <c r="J11" s="1402" t="s">
        <v>922</v>
      </c>
      <c r="K11" s="1402" t="s">
        <v>915</v>
      </c>
      <c r="L11" s="1402"/>
      <c r="M11" s="1402"/>
      <c r="N11" s="1404" t="s">
        <v>766</v>
      </c>
      <c r="O11" s="1404"/>
      <c r="P11" s="1404"/>
      <c r="Q11" s="1404"/>
      <c r="R11" s="1404"/>
      <c r="S11" s="1404"/>
      <c r="T11" s="1404"/>
      <c r="U11" s="1404"/>
      <c r="V11" s="1402" t="s">
        <v>944</v>
      </c>
    </row>
    <row r="12" spans="2:28" ht="37.5" customHeight="1">
      <c r="C12" s="1402"/>
      <c r="D12" s="1401"/>
      <c r="E12" s="1032" t="s">
        <v>943</v>
      </c>
      <c r="F12" s="1032" t="str">
        <f>$D$5</f>
        <v>Tercer Trimestre</v>
      </c>
      <c r="G12" s="1033" t="str">
        <f>$G$9</f>
        <v>Acumulada Corte
30/09/2021</v>
      </c>
      <c r="H12" s="1402"/>
      <c r="I12" s="1408"/>
      <c r="J12" s="1402"/>
      <c r="K12" s="1032" t="str">
        <f>+$D$5</f>
        <v>Tercer Trimestre</v>
      </c>
      <c r="L12" s="1033" t="str">
        <f>$L$9</f>
        <v>Acumulado Corte 30/09/2021</v>
      </c>
      <c r="M12" s="1031" t="s">
        <v>811</v>
      </c>
      <c r="N12" s="1117" t="s">
        <v>924</v>
      </c>
      <c r="O12" s="1118"/>
      <c r="P12" s="1119" t="s">
        <v>925</v>
      </c>
      <c r="Q12" s="1120"/>
      <c r="R12" s="1120"/>
      <c r="S12" s="1121"/>
      <c r="T12" s="1122" t="s">
        <v>774</v>
      </c>
      <c r="U12" s="1123"/>
      <c r="V12" s="1402"/>
    </row>
    <row r="13" spans="2:28" ht="139.19999999999999" customHeight="1">
      <c r="B13" s="556">
        <f>'[3]01 Direcc Estratégico POA 2020 '!R13</f>
        <v>1</v>
      </c>
      <c r="C13" s="558" t="str">
        <f>+'Rango indicadores'!D5</f>
        <v>01-RI-01</v>
      </c>
      <c r="D13" s="557" t="str">
        <f>+'Rango indicadores'!E5</f>
        <v xml:space="preserve">Porcentaje de acciones implementadas para la sostenibilidad y mejora del SGC </v>
      </c>
      <c r="E13" s="591">
        <f>+'Rango indicadores'!Q5</f>
        <v>1</v>
      </c>
      <c r="F13" s="591">
        <f>+'1.Informe Seguimiento POA 2021'!S56</f>
        <v>0.29000000000000004</v>
      </c>
      <c r="G13" s="591">
        <f>+'1.Informe Seguimiento POA 2021'!O56+'1.Informe Seguimiento POA 2021'!Q56+'1.Informe Seguimiento POA 2021'!S56</f>
        <v>0.71000000000000008</v>
      </c>
      <c r="H13" s="705">
        <f>+'1.Informe Seguimiento POA 2021'!T56</f>
        <v>0.31566361788617886</v>
      </c>
      <c r="I13" s="706">
        <f>+'1.Informe Seguimiento POA 2021'!P56+'1.Informe Seguimiento POA 2021'!R56+'1.Informe Seguimiento POA 2021'!T56</f>
        <v>0.70049024427521756</v>
      </c>
      <c r="J13" s="705">
        <f>+'1.Informe Seguimiento POA 2021'!X56</f>
        <v>0.70049024427521756</v>
      </c>
      <c r="K13" s="560">
        <f t="shared" ref="K13:L16" si="0">IF(AND(F13&gt;0),H13/F13,"No programado")</f>
        <v>1.0884952340902718</v>
      </c>
      <c r="L13" s="560">
        <f>IF(AND(G13&gt;0),J13/G13,"No programado")</f>
        <v>0.98660597785241899</v>
      </c>
      <c r="M13" s="707">
        <f>+'1.Informe Seguimiento POA 2021'!Y56</f>
        <v>0.70049024427521756</v>
      </c>
      <c r="N13" s="560" t="str">
        <f>+'Rango indicadores'!H5</f>
        <v>Mayor A:</v>
      </c>
      <c r="O13" s="559">
        <f>+'Rango indicadores'!I5</f>
        <v>95</v>
      </c>
      <c r="P13" s="559" t="str">
        <f>+'Rango indicadores'!J5</f>
        <v>Desde (&gt;=):</v>
      </c>
      <c r="Q13" s="559">
        <f>+'Rango indicadores'!K5</f>
        <v>80</v>
      </c>
      <c r="R13" s="559" t="str">
        <f>+'Rango indicadores'!L5</f>
        <v>Hasta (&lt;=):</v>
      </c>
      <c r="S13" s="559">
        <f>+'Rango indicadores'!M5</f>
        <v>95</v>
      </c>
      <c r="T13" s="559" t="str">
        <f>+'Rango indicadores'!N5</f>
        <v>Menor A:</v>
      </c>
      <c r="U13" s="559">
        <f>+'Rango indicadores'!O5</f>
        <v>80</v>
      </c>
      <c r="V13" s="646" t="s">
        <v>1138</v>
      </c>
      <c r="X13" s="743"/>
      <c r="Z13" s="743"/>
      <c r="AB13" s="742"/>
    </row>
    <row r="14" spans="2:28" ht="149.4" customHeight="1">
      <c r="B14" s="556">
        <f>1+B13</f>
        <v>2</v>
      </c>
      <c r="C14" s="558" t="str">
        <f>+'Rango indicadores'!D6</f>
        <v>01-RI-02</v>
      </c>
      <c r="D14" s="557" t="str">
        <f>+'Rango indicadores'!E6</f>
        <v>Porcentaje de actividades implementadas para la sostenibilidad  y mejora del MIPG</v>
      </c>
      <c r="E14" s="591">
        <f>+'Rango indicadores'!Q6</f>
        <v>0.22</v>
      </c>
      <c r="F14" s="591">
        <f>+'1.Informe Seguimiento POA 2021'!S57</f>
        <v>7.0000000000000007E-2</v>
      </c>
      <c r="G14" s="591">
        <f>+'1.Informe Seguimiento POA 2021'!O57+'1.Informe Seguimiento POA 2021'!Q57+'1.Informe Seguimiento POA 2021'!S57</f>
        <v>0.14000000000000001</v>
      </c>
      <c r="H14" s="591">
        <f>+'1.Informe Seguimiento POA 2021'!T57</f>
        <v>7.0000000000000007E-2</v>
      </c>
      <c r="I14" s="706">
        <f>+'1.Informe Seguimiento POA 2021'!P57+'1.Informe Seguimiento POA 2021'!R57+'1.Informe Seguimiento POA 2021'!T57</f>
        <v>0.11000000000000001</v>
      </c>
      <c r="J14" s="591">
        <f>+'1.Informe Seguimiento POA 2021'!X57</f>
        <v>0.11000000000000001</v>
      </c>
      <c r="K14" s="560">
        <f t="shared" si="0"/>
        <v>1</v>
      </c>
      <c r="L14" s="560">
        <f t="shared" si="0"/>
        <v>0.7857142857142857</v>
      </c>
      <c r="M14" s="560">
        <f>+'1.Informe Seguimiento POA 2021'!Y57</f>
        <v>0.5</v>
      </c>
      <c r="N14" s="560" t="str">
        <f>+'Rango indicadores'!H6</f>
        <v>Mayor A:</v>
      </c>
      <c r="O14" s="559">
        <f>+'Rango indicadores'!I6</f>
        <v>95</v>
      </c>
      <c r="P14" s="559" t="str">
        <f>+'Rango indicadores'!J6</f>
        <v>Desde (&gt;=):</v>
      </c>
      <c r="Q14" s="559">
        <f>+'Rango indicadores'!K6</f>
        <v>80</v>
      </c>
      <c r="R14" s="559" t="str">
        <f>+'Rango indicadores'!L6</f>
        <v>Hasta (&lt;=):</v>
      </c>
      <c r="S14" s="559">
        <f>+'Rango indicadores'!M6</f>
        <v>95</v>
      </c>
      <c r="T14" s="559" t="str">
        <f>+'Rango indicadores'!N6</f>
        <v>Menor A:</v>
      </c>
      <c r="U14" s="559">
        <f>+'Rango indicadores'!O6</f>
        <v>80</v>
      </c>
      <c r="V14" s="646" t="s">
        <v>1139</v>
      </c>
      <c r="X14" s="743"/>
      <c r="Z14" s="743"/>
    </row>
    <row r="15" spans="2:28" ht="82.95" customHeight="1">
      <c r="B15" s="556">
        <f>1+B14</f>
        <v>3</v>
      </c>
      <c r="C15" s="558" t="str">
        <f>+'Rango indicadores'!D7</f>
        <v>01-RI-03</v>
      </c>
      <c r="D15" s="557" t="str">
        <f>+'Rango indicadores'!E7</f>
        <v xml:space="preserve">Porcentaje de requisitos del  SGA implementados bajo los estándares de la norma ISO 14001 </v>
      </c>
      <c r="E15" s="591">
        <f>+'Rango indicadores'!Q7</f>
        <v>0.38</v>
      </c>
      <c r="F15" s="591">
        <f>+'1.Informe Seguimiento POA 2021'!S58</f>
        <v>0.11</v>
      </c>
      <c r="G15" s="591">
        <f>+'1.Informe Seguimiento POA 2021'!O58+'1.Informe Seguimiento POA 2021'!Q58+'1.Informe Seguimiento POA 2021'!S58</f>
        <v>0.28999999999999998</v>
      </c>
      <c r="H15" s="591">
        <f>+'1.Informe Seguimiento POA 2021'!T58</f>
        <v>0.11</v>
      </c>
      <c r="I15" s="706">
        <f>+'1.Informe Seguimiento POA 2021'!P58+'1.Informe Seguimiento POA 2021'!R58+'1.Informe Seguimiento POA 2021'!T58</f>
        <v>0.28999999999999998</v>
      </c>
      <c r="J15" s="591">
        <f>+'1.Informe Seguimiento POA 2021'!X58</f>
        <v>0.28999999999999998</v>
      </c>
      <c r="K15" s="560">
        <f t="shared" si="0"/>
        <v>1</v>
      </c>
      <c r="L15" s="560">
        <f t="shared" si="0"/>
        <v>1</v>
      </c>
      <c r="M15" s="560">
        <f>+'1.Informe Seguimiento POA 2021'!Y58</f>
        <v>0.76315789473684204</v>
      </c>
      <c r="N15" s="560" t="str">
        <f>+'Rango indicadores'!H7</f>
        <v>Mayor o igual A:</v>
      </c>
      <c r="O15" s="559">
        <f>+'Rango indicadores'!I7</f>
        <v>95</v>
      </c>
      <c r="P15" s="559" t="str">
        <f>+'Rango indicadores'!J7</f>
        <v>Desde (&gt;):</v>
      </c>
      <c r="Q15" s="559">
        <f>+'Rango indicadores'!K7</f>
        <v>85</v>
      </c>
      <c r="R15" s="559" t="str">
        <f>+'Rango indicadores'!L7</f>
        <v>Hasta (&lt;):</v>
      </c>
      <c r="S15" s="559">
        <f>+'Rango indicadores'!M7</f>
        <v>95</v>
      </c>
      <c r="T15" s="559" t="str">
        <f>+'Rango indicadores'!N7</f>
        <v>Menor o Igual A:</v>
      </c>
      <c r="U15" s="559">
        <f>+'Rango indicadores'!O7</f>
        <v>85</v>
      </c>
      <c r="V15" s="653" t="s">
        <v>1140</v>
      </c>
      <c r="X15" s="743"/>
      <c r="Z15" s="743"/>
    </row>
    <row r="16" spans="2:28" ht="67.5" customHeight="1">
      <c r="B16" s="556">
        <f>1+B15</f>
        <v>4</v>
      </c>
      <c r="C16" s="558" t="str">
        <f>+'Rango indicadores'!D8</f>
        <v>01-RI-04</v>
      </c>
      <c r="D16" s="557" t="str">
        <f>+'Rango indicadores'!E8</f>
        <v>Acciones de monitoreo y revisión realizadas al PAAC</v>
      </c>
      <c r="E16" s="559">
        <f>+'Rango indicadores'!Q8</f>
        <v>3</v>
      </c>
      <c r="F16" s="559">
        <f>+'1.Informe Seguimiento POA 2021'!S59</f>
        <v>1</v>
      </c>
      <c r="G16" s="559">
        <f>+'1.Informe Seguimiento POA 2021'!O59+'1.Informe Seguimiento POA 2021'!Q59+'1.Informe Seguimiento POA 2021'!S59</f>
        <v>2</v>
      </c>
      <c r="H16" s="559">
        <f>+'1.Informe Seguimiento POA 2021'!T59</f>
        <v>1</v>
      </c>
      <c r="I16" s="559">
        <f>+'1.Informe Seguimiento POA 2021'!P59+'1.Informe Seguimiento POA 2021'!R59+'1.Informe Seguimiento POA 2021'!T59</f>
        <v>2</v>
      </c>
      <c r="J16" s="559">
        <f>+'1.Informe Seguimiento POA 2021'!X59</f>
        <v>2</v>
      </c>
      <c r="K16" s="560">
        <f t="shared" si="0"/>
        <v>1</v>
      </c>
      <c r="L16" s="560">
        <f t="shared" si="0"/>
        <v>1</v>
      </c>
      <c r="M16" s="560">
        <f>+'1.Informe Seguimiento POA 2021'!Y59</f>
        <v>0.66666666666666663</v>
      </c>
      <c r="N16" s="560" t="str">
        <f>+'Rango indicadores'!H8</f>
        <v>Mayor o igual A:</v>
      </c>
      <c r="O16" s="559">
        <f>+'Rango indicadores'!I8</f>
        <v>100</v>
      </c>
      <c r="P16" s="559" t="str">
        <f>+'Rango indicadores'!J8</f>
        <v>Desde (&gt;):</v>
      </c>
      <c r="Q16" s="559">
        <f>+'Rango indicadores'!K8</f>
        <v>80</v>
      </c>
      <c r="R16" s="559" t="str">
        <f>+'Rango indicadores'!L8</f>
        <v>Hasta (&lt;):</v>
      </c>
      <c r="S16" s="559">
        <f>+'Rango indicadores'!M8</f>
        <v>100</v>
      </c>
      <c r="T16" s="559" t="str">
        <f>+'Rango indicadores'!N8</f>
        <v>Menor o Igual A:</v>
      </c>
      <c r="U16" s="559">
        <f>+'Rango indicadores'!O8</f>
        <v>80</v>
      </c>
      <c r="V16" s="653" t="s">
        <v>1141</v>
      </c>
      <c r="X16" s="740"/>
      <c r="Z16" s="740"/>
    </row>
    <row r="17" spans="2:26" ht="15.6">
      <c r="C17" s="1421" t="s">
        <v>926</v>
      </c>
      <c r="D17" s="1422"/>
      <c r="E17" s="1422"/>
      <c r="F17" s="1422"/>
      <c r="G17" s="1422"/>
      <c r="H17" s="1422"/>
      <c r="I17" s="1422"/>
      <c r="J17" s="1423"/>
      <c r="K17" s="562">
        <f>IFERROR(AVERAGE(K13:K16),0)</f>
        <v>1.0221238085225679</v>
      </c>
      <c r="L17" s="562">
        <f>IFERROR(AVERAGE(L13:L16),0)</f>
        <v>0.94308006589167614</v>
      </c>
      <c r="M17" s="562">
        <f>IFERROR(AVERAGE(M13:M16),0)</f>
        <v>0.65757870141968155</v>
      </c>
      <c r="N17" s="550"/>
      <c r="O17" s="550"/>
      <c r="P17" s="550"/>
      <c r="Q17" s="550"/>
      <c r="R17" s="550"/>
      <c r="S17" s="550"/>
      <c r="T17" s="550"/>
      <c r="U17" s="550"/>
      <c r="V17" s="654"/>
    </row>
    <row r="18" spans="2:26">
      <c r="E18" s="536"/>
    </row>
    <row r="19" spans="2:26" ht="15.6">
      <c r="C19" s="563" t="s">
        <v>927</v>
      </c>
      <c r="D19" s="588"/>
      <c r="E19" s="536"/>
    </row>
    <row r="20" spans="2:26" ht="24" customHeight="1">
      <c r="C20" s="1402" t="str">
        <f>+$C$11</f>
        <v>Identifificación del Indicador</v>
      </c>
      <c r="D20" s="1401" t="s">
        <v>919</v>
      </c>
      <c r="E20" s="1405" t="s">
        <v>920</v>
      </c>
      <c r="F20" s="1406"/>
      <c r="G20" s="1407"/>
      <c r="H20" s="1402" t="s">
        <v>921</v>
      </c>
      <c r="I20" s="1408" t="str">
        <f>$I$9</f>
        <v>Ejecución Acumulada Corte
30/09/2021</v>
      </c>
      <c r="J20" s="1402" t="s">
        <v>922</v>
      </c>
      <c r="K20" s="1402" t="s">
        <v>915</v>
      </c>
      <c r="L20" s="1402"/>
      <c r="M20" s="1402"/>
      <c r="N20" s="1404" t="s">
        <v>766</v>
      </c>
      <c r="O20" s="1404"/>
      <c r="P20" s="1404"/>
      <c r="Q20" s="1404"/>
      <c r="R20" s="1404"/>
      <c r="S20" s="1404"/>
      <c r="T20" s="1404"/>
      <c r="U20" s="1404"/>
      <c r="V20" s="1402" t="s">
        <v>944</v>
      </c>
    </row>
    <row r="21" spans="2:26" ht="50.25" customHeight="1">
      <c r="C21" s="1402"/>
      <c r="D21" s="1401"/>
      <c r="E21" s="1032" t="str">
        <f>$E$12</f>
        <v>Año 2021</v>
      </c>
      <c r="F21" s="1032" t="str">
        <f>$D$5</f>
        <v>Tercer Trimestre</v>
      </c>
      <c r="G21" s="1033" t="str">
        <f>$G$9</f>
        <v>Acumulada Corte
30/09/2021</v>
      </c>
      <c r="H21" s="1402"/>
      <c r="I21" s="1408"/>
      <c r="J21" s="1402"/>
      <c r="K21" s="1032" t="str">
        <f>+$D$5</f>
        <v>Tercer Trimestre</v>
      </c>
      <c r="L21" s="1033" t="str">
        <f>$L$12</f>
        <v>Acumulado Corte 30/09/2021</v>
      </c>
      <c r="M21" s="1031" t="s">
        <v>811</v>
      </c>
      <c r="N21" s="1117" t="s">
        <v>924</v>
      </c>
      <c r="O21" s="1118"/>
      <c r="P21" s="1119" t="s">
        <v>925</v>
      </c>
      <c r="Q21" s="1120"/>
      <c r="R21" s="1120"/>
      <c r="S21" s="1121"/>
      <c r="T21" s="1122" t="s">
        <v>774</v>
      </c>
      <c r="U21" s="1123"/>
      <c r="V21" s="1402"/>
    </row>
    <row r="22" spans="2:26" ht="30">
      <c r="B22" s="556">
        <f>+B16+1</f>
        <v>5</v>
      </c>
      <c r="C22" s="558" t="str">
        <f>+'Rango indicadores'!D9</f>
        <v>02-RI-01</v>
      </c>
      <c r="D22" s="557" t="str">
        <f>+'Rango indicadores'!E9</f>
        <v>Proyectos de Investigación, Desarrollo e Innovación (I+D+I) elaborados</v>
      </c>
      <c r="E22" s="559">
        <f>+'Rango indicadores'!Q9</f>
        <v>1</v>
      </c>
      <c r="F22" s="559">
        <f>+'1.Informe Seguimiento POA 2021'!S97</f>
        <v>0</v>
      </c>
      <c r="G22" s="559">
        <f>+'1.Informe Seguimiento POA 2021'!O97+'1.Informe Seguimiento POA 2021'!Q97+'1.Informe Seguimiento POA 2021'!S97</f>
        <v>0</v>
      </c>
      <c r="H22" s="559">
        <f>+'1.Informe Seguimiento POA 2021'!T97</f>
        <v>0</v>
      </c>
      <c r="I22" s="559">
        <f>+'1.Informe Seguimiento POA 2021'!P97+'1.Informe Seguimiento POA 2021'!R97+'1.Informe Seguimiento POA 2021'!T97</f>
        <v>0</v>
      </c>
      <c r="J22" s="559">
        <f>+'1.Informe Seguimiento POA 2021'!X97</f>
        <v>0</v>
      </c>
      <c r="K22" s="565" t="str">
        <f>IF(AND(F22&gt;0),H22/F22,"No programado")</f>
        <v>No programado</v>
      </c>
      <c r="L22" s="565" t="str">
        <f>IF(AND(G22&gt;0),I22/G22,"No programado")</f>
        <v>No programado</v>
      </c>
      <c r="M22" s="546">
        <f>+'1.Informe Seguimiento POA 2021'!Y97</f>
        <v>0</v>
      </c>
      <c r="N22" s="546" t="str">
        <f>+'Rango indicadores'!H9</f>
        <v>Mayor o igual A:</v>
      </c>
      <c r="O22" s="559">
        <f>+'Rango indicadores'!I9</f>
        <v>100</v>
      </c>
      <c r="P22" s="546" t="str">
        <f>+'Rango indicadores'!J9</f>
        <v>Desde (&gt;):</v>
      </c>
      <c r="Q22" s="559">
        <f>+'Rango indicadores'!K9</f>
        <v>60</v>
      </c>
      <c r="R22" s="546" t="str">
        <f>+'Rango indicadores'!L9</f>
        <v>Hasta (&lt;):</v>
      </c>
      <c r="S22" s="559">
        <f>+'Rango indicadores'!M9</f>
        <v>100</v>
      </c>
      <c r="T22" s="546" t="str">
        <f>+'Rango indicadores'!N9</f>
        <v>Menor o Igual A:</v>
      </c>
      <c r="U22" s="559">
        <f>+'Rango indicadores'!O9</f>
        <v>60</v>
      </c>
      <c r="V22" s="653" t="s">
        <v>1142</v>
      </c>
      <c r="Z22" s="740"/>
    </row>
    <row r="23" spans="2:26" ht="66">
      <c r="B23" s="556">
        <f>+B22+1</f>
        <v>6</v>
      </c>
      <c r="C23" s="558" t="str">
        <f>+'Rango indicadores'!D10</f>
        <v>02-RI-02</v>
      </c>
      <c r="D23" s="557" t="str">
        <f>+'Rango indicadores'!E10</f>
        <v>Informes de investigación e innovación construidos</v>
      </c>
      <c r="E23" s="559">
        <f>+'Rango indicadores'!Q10</f>
        <v>2</v>
      </c>
      <c r="F23" s="559">
        <f>+'1.Informe Seguimiento POA 2021'!S98</f>
        <v>0</v>
      </c>
      <c r="G23" s="559">
        <f>+'1.Informe Seguimiento POA 2021'!O98+'1.Informe Seguimiento POA 2021'!Q98+'1.Informe Seguimiento POA 2021'!S98</f>
        <v>1</v>
      </c>
      <c r="H23" s="559">
        <f>+'1.Informe Seguimiento POA 2021'!T98</f>
        <v>0</v>
      </c>
      <c r="I23" s="559">
        <f>+'1.Informe Seguimiento POA 2021'!P98+'1.Informe Seguimiento POA 2021'!R98+'1.Informe Seguimiento POA 2021'!T98</f>
        <v>1</v>
      </c>
      <c r="J23" s="559">
        <f>+'1.Informe Seguimiento POA 2021'!X98</f>
        <v>1</v>
      </c>
      <c r="K23" s="565" t="str">
        <f>IF(AND(F23&gt;0),H23/F23,"No programado")</f>
        <v>No programado</v>
      </c>
      <c r="L23" s="565">
        <f t="shared" ref="L23:L24" si="1">IF(AND(G23&gt;0),I23/G23,"No programado")</f>
        <v>1</v>
      </c>
      <c r="M23" s="546">
        <f>+'1.Informe Seguimiento POA 2021'!Y98</f>
        <v>0.5</v>
      </c>
      <c r="N23" s="546" t="str">
        <f>+'Rango indicadores'!H10</f>
        <v>Mayor o igual A:</v>
      </c>
      <c r="O23" s="559">
        <f>+'Rango indicadores'!I10</f>
        <v>100</v>
      </c>
      <c r="P23" s="546" t="str">
        <f>+'Rango indicadores'!J10</f>
        <v>Desde (&gt;):</v>
      </c>
      <c r="Q23" s="559">
        <f>+'Rango indicadores'!K10</f>
        <v>60</v>
      </c>
      <c r="R23" s="546" t="str">
        <f>+'Rango indicadores'!L10</f>
        <v>Hasta (&lt;):</v>
      </c>
      <c r="S23" s="559">
        <f>+'Rango indicadores'!M10</f>
        <v>100</v>
      </c>
      <c r="T23" s="546" t="str">
        <f>+'Rango indicadores'!N10</f>
        <v>Menor o Igual A:</v>
      </c>
      <c r="U23" s="559">
        <f>+'Rango indicadores'!O10</f>
        <v>60</v>
      </c>
      <c r="V23" s="653" t="s">
        <v>1143</v>
      </c>
      <c r="Z23" s="740"/>
    </row>
    <row r="24" spans="2:26" ht="174.6" customHeight="1">
      <c r="B24" s="556">
        <f>+B23+1</f>
        <v>7</v>
      </c>
      <c r="C24" s="558" t="str">
        <f>+'Rango indicadores'!D11</f>
        <v>02-RI-03</v>
      </c>
      <c r="D24" s="557" t="str">
        <f>+'Rango indicadores'!E11</f>
        <v>Actividades de apropiación social del conocimiento desarrolladas</v>
      </c>
      <c r="E24" s="559">
        <f>+'Rango indicadores'!Q11</f>
        <v>3</v>
      </c>
      <c r="F24" s="559">
        <f>+'1.Informe Seguimiento POA 2021'!S99</f>
        <v>1</v>
      </c>
      <c r="G24" s="559">
        <f>+'1.Informe Seguimiento POA 2021'!O99+'1.Informe Seguimiento POA 2021'!Q99+'1.Informe Seguimiento POA 2021'!S99</f>
        <v>2</v>
      </c>
      <c r="H24" s="559">
        <f>+'1.Informe Seguimiento POA 2021'!T99</f>
        <v>0</v>
      </c>
      <c r="I24" s="559">
        <f>+'1.Informe Seguimiento POA 2021'!P99+'1.Informe Seguimiento POA 2021'!R99+'1.Informe Seguimiento POA 2021'!T99</f>
        <v>3</v>
      </c>
      <c r="J24" s="559">
        <f>+'1.Informe Seguimiento POA 2021'!X99</f>
        <v>3</v>
      </c>
      <c r="K24" s="565">
        <f>IF(AND(F24&gt;0),H24/F24,"No programado")</f>
        <v>0</v>
      </c>
      <c r="L24" s="565">
        <f t="shared" si="1"/>
        <v>1.5</v>
      </c>
      <c r="M24" s="546">
        <f>+'1.Informe Seguimiento POA 2021'!Y99</f>
        <v>1</v>
      </c>
      <c r="N24" s="546" t="str">
        <f>+'Rango indicadores'!H11</f>
        <v>Mayor o igual A:</v>
      </c>
      <c r="O24" s="559">
        <f>+'Rango indicadores'!I11</f>
        <v>100</v>
      </c>
      <c r="P24" s="546" t="str">
        <f>+'Rango indicadores'!J11</f>
        <v>Desde (&gt;):</v>
      </c>
      <c r="Q24" s="559">
        <f>+'Rango indicadores'!K11</f>
        <v>60</v>
      </c>
      <c r="R24" s="546" t="str">
        <f>+'Rango indicadores'!L11</f>
        <v>Hasta (&lt;):</v>
      </c>
      <c r="S24" s="559">
        <f>+'Rango indicadores'!M11</f>
        <v>100</v>
      </c>
      <c r="T24" s="546" t="str">
        <f>+'Rango indicadores'!N11</f>
        <v>Menor o Igual A:</v>
      </c>
      <c r="U24" s="559">
        <f>+'Rango indicadores'!O11</f>
        <v>60</v>
      </c>
      <c r="V24" s="646" t="s">
        <v>1144</v>
      </c>
      <c r="Z24" s="741"/>
    </row>
    <row r="25" spans="2:26" ht="15.6">
      <c r="C25" s="1421" t="s">
        <v>926</v>
      </c>
      <c r="D25" s="1422"/>
      <c r="E25" s="1422"/>
      <c r="F25" s="1422"/>
      <c r="G25" s="1422"/>
      <c r="H25" s="1422"/>
      <c r="I25" s="1422"/>
      <c r="J25" s="1423"/>
      <c r="K25" s="562">
        <f>IFERROR(AVERAGE(K22:K24),0)</f>
        <v>0</v>
      </c>
      <c r="L25" s="562">
        <f>IFERROR(AVERAGE(L22:L24),0)</f>
        <v>1.25</v>
      </c>
      <c r="M25" s="562">
        <f>IFERROR(AVERAGE(M22:M24),0)</f>
        <v>0.5</v>
      </c>
      <c r="N25" s="550"/>
      <c r="O25" s="550"/>
      <c r="P25" s="550"/>
      <c r="Q25" s="550"/>
      <c r="R25" s="550"/>
      <c r="S25" s="550"/>
      <c r="T25" s="550"/>
      <c r="U25" s="550"/>
      <c r="V25" s="654"/>
    </row>
    <row r="26" spans="2:26" s="552" customFormat="1" ht="15.6">
      <c r="C26" s="566"/>
      <c r="D26" s="589"/>
      <c r="E26" s="566"/>
      <c r="F26" s="566"/>
      <c r="G26" s="566"/>
      <c r="H26" s="566"/>
      <c r="I26" s="566"/>
      <c r="J26" s="566"/>
      <c r="K26" s="566"/>
      <c r="L26" s="566"/>
      <c r="M26" s="566"/>
      <c r="N26" s="566"/>
      <c r="O26" s="566"/>
      <c r="P26" s="566"/>
      <c r="Q26" s="566"/>
      <c r="R26" s="566"/>
      <c r="S26" s="566"/>
      <c r="T26" s="566"/>
      <c r="U26" s="566"/>
      <c r="V26" s="554"/>
    </row>
    <row r="27" spans="2:26" s="552" customFormat="1" ht="15.6">
      <c r="C27" s="555" t="s">
        <v>928</v>
      </c>
      <c r="D27" s="587"/>
      <c r="E27" s="566"/>
      <c r="F27" s="566"/>
      <c r="G27" s="566"/>
      <c r="H27" s="566"/>
      <c r="I27" s="566"/>
      <c r="J27" s="566"/>
      <c r="K27" s="566"/>
      <c r="L27" s="566"/>
      <c r="M27" s="566"/>
      <c r="N27" s="566"/>
      <c r="O27" s="566"/>
      <c r="P27" s="566"/>
      <c r="Q27" s="566"/>
      <c r="R27" s="566"/>
      <c r="S27" s="566"/>
      <c r="T27" s="566"/>
      <c r="U27" s="566"/>
      <c r="V27" s="554"/>
    </row>
    <row r="28" spans="2:26" ht="22.2" customHeight="1">
      <c r="C28" s="1402" t="str">
        <f>+$C$11</f>
        <v>Identifificación del Indicador</v>
      </c>
      <c r="D28" s="1401" t="s">
        <v>919</v>
      </c>
      <c r="E28" s="1405" t="s">
        <v>920</v>
      </c>
      <c r="F28" s="1406"/>
      <c r="G28" s="1407"/>
      <c r="H28" s="1402" t="s">
        <v>921</v>
      </c>
      <c r="I28" s="1408" t="str">
        <f>$I$9</f>
        <v>Ejecución Acumulada Corte
30/09/2021</v>
      </c>
      <c r="J28" s="1402" t="s">
        <v>922</v>
      </c>
      <c r="K28" s="1402" t="s">
        <v>915</v>
      </c>
      <c r="L28" s="1402"/>
      <c r="M28" s="1402"/>
      <c r="N28" s="1404" t="s">
        <v>766</v>
      </c>
      <c r="O28" s="1404"/>
      <c r="P28" s="1404"/>
      <c r="Q28" s="1404"/>
      <c r="R28" s="1404"/>
      <c r="S28" s="1404"/>
      <c r="T28" s="1404"/>
      <c r="U28" s="1404"/>
      <c r="V28" s="1402" t="s">
        <v>944</v>
      </c>
    </row>
    <row r="29" spans="2:26" ht="53.4" customHeight="1">
      <c r="C29" s="1402"/>
      <c r="D29" s="1401"/>
      <c r="E29" s="1032" t="str">
        <f>$E$12</f>
        <v>Año 2021</v>
      </c>
      <c r="F29" s="1032" t="str">
        <f>$D$5</f>
        <v>Tercer Trimestre</v>
      </c>
      <c r="G29" s="1033" t="str">
        <f>$G$9</f>
        <v>Acumulada Corte
30/09/2021</v>
      </c>
      <c r="H29" s="1402"/>
      <c r="I29" s="1408"/>
      <c r="J29" s="1402"/>
      <c r="K29" s="1032" t="str">
        <f>+$D$5</f>
        <v>Tercer Trimestre</v>
      </c>
      <c r="L29" s="1033" t="str">
        <f>$L$12</f>
        <v>Acumulado Corte 30/09/2021</v>
      </c>
      <c r="M29" s="1031" t="s">
        <v>811</v>
      </c>
      <c r="N29" s="1117" t="s">
        <v>924</v>
      </c>
      <c r="O29" s="1118"/>
      <c r="P29" s="1119" t="s">
        <v>925</v>
      </c>
      <c r="Q29" s="1120"/>
      <c r="R29" s="1120"/>
      <c r="S29" s="1121"/>
      <c r="T29" s="1122" t="s">
        <v>774</v>
      </c>
      <c r="U29" s="1123"/>
      <c r="V29" s="1402"/>
    </row>
    <row r="30" spans="2:26" ht="79.2">
      <c r="B30" s="556">
        <f>+B24+1</f>
        <v>8</v>
      </c>
      <c r="C30" s="557" t="str">
        <f>+'Rango indicadores'!D12</f>
        <v>03-RI-01</v>
      </c>
      <c r="D30" s="557" t="str">
        <f>+'Rango indicadores'!E12</f>
        <v>Porcentaje de proyectos implementados de acuerdo al plan de tecnologías de la Información</v>
      </c>
      <c r="E30" s="561">
        <f>+'Rango indicadores'!Q12</f>
        <v>0.3</v>
      </c>
      <c r="F30" s="561">
        <f>+'1.Informe Seguimiento POA 2021'!S49</f>
        <v>0.09</v>
      </c>
      <c r="G30" s="561">
        <f>+'1.Informe Seguimiento POA 2021'!O49+'1.Informe Seguimiento POA 2021'!Q49+'1.Informe Seguimiento POA 2021'!S49</f>
        <v>0.24</v>
      </c>
      <c r="H30" s="561">
        <f>+'1.Informe Seguimiento POA 2021'!T49</f>
        <v>0.09</v>
      </c>
      <c r="I30" s="561">
        <f>+'1.Informe Seguimiento POA 2021'!P49+'1.Informe Seguimiento POA 2021'!R49+'1.Informe Seguimiento POA 2021'!T49</f>
        <v>0.24</v>
      </c>
      <c r="J30" s="561">
        <f>+'1.Informe Seguimiento POA 2021'!X49</f>
        <v>0.24</v>
      </c>
      <c r="K30" s="567">
        <f t="shared" ref="K30:L35" si="2">IF(AND(F30&gt;0),H30/F30,"No programado")</f>
        <v>1</v>
      </c>
      <c r="L30" s="567">
        <f>IF(AND(G30&gt;0),I30/G30,"No programado")</f>
        <v>1</v>
      </c>
      <c r="M30" s="546">
        <f>+'1.Informe Seguimiento POA 2021'!Y49</f>
        <v>0.8</v>
      </c>
      <c r="N30" s="564" t="str">
        <f>+'Rango indicadores'!H12</f>
        <v>Mayor o igual A:</v>
      </c>
      <c r="O30" s="559">
        <f>+'Rango indicadores'!I12</f>
        <v>90</v>
      </c>
      <c r="P30" s="559" t="str">
        <f>+'Rango indicadores'!J12</f>
        <v>Desde (&gt;):</v>
      </c>
      <c r="Q30" s="559">
        <f>+'Rango indicadores'!K12</f>
        <v>85</v>
      </c>
      <c r="R30" s="559" t="str">
        <f>+'Rango indicadores'!L12</f>
        <v>Hasta (&lt;):</v>
      </c>
      <c r="S30" s="559">
        <f>+'Rango indicadores'!M12</f>
        <v>90</v>
      </c>
      <c r="T30" s="559" t="str">
        <f>+'Rango indicadores'!N12</f>
        <v>Menor o Igual A:</v>
      </c>
      <c r="U30" s="559">
        <f>+'Rango indicadores'!O12</f>
        <v>85</v>
      </c>
      <c r="V30" s="653" t="s">
        <v>1145</v>
      </c>
    </row>
    <row r="31" spans="2:26" ht="86.25" customHeight="1">
      <c r="B31" s="556">
        <f t="shared" ref="B31:B36" si="3">+B30+1</f>
        <v>9</v>
      </c>
      <c r="C31" s="557" t="str">
        <f>+'Rango indicadores'!D13</f>
        <v>03-RI-02</v>
      </c>
      <c r="D31" s="557" t="str">
        <f>+'Rango indicadores'!E13</f>
        <v>Porcentaje de actividades ejecutadas de acuerdo al plan de Seguridad de información</v>
      </c>
      <c r="E31" s="561">
        <f>+'Rango indicadores'!Q13</f>
        <v>0.3</v>
      </c>
      <c r="F31" s="561">
        <f>+'1.Informe Seguimiento POA 2021'!S50</f>
        <v>0.09</v>
      </c>
      <c r="G31" s="561">
        <f>+'1.Informe Seguimiento POA 2021'!O50+'1.Informe Seguimiento POA 2021'!Q50+'1.Informe Seguimiento POA 2021'!S50</f>
        <v>0.24</v>
      </c>
      <c r="H31" s="561">
        <f>+'1.Informe Seguimiento POA 2021'!T50</f>
        <v>0.09</v>
      </c>
      <c r="I31" s="561">
        <f>+'1.Informe Seguimiento POA 2021'!P50+'1.Informe Seguimiento POA 2021'!R50+'1.Informe Seguimiento POA 2021'!T50</f>
        <v>0.24</v>
      </c>
      <c r="J31" s="561">
        <f>+'1.Informe Seguimiento POA 2021'!X50</f>
        <v>0.24</v>
      </c>
      <c r="K31" s="567">
        <f t="shared" si="2"/>
        <v>1</v>
      </c>
      <c r="L31" s="567">
        <f t="shared" si="2"/>
        <v>1</v>
      </c>
      <c r="M31" s="546">
        <f>+'1.Informe Seguimiento POA 2021'!Y50</f>
        <v>0.8</v>
      </c>
      <c r="N31" s="564" t="str">
        <f>+'Rango indicadores'!H13</f>
        <v>Mayor o igual A:</v>
      </c>
      <c r="O31" s="559">
        <f>+'Rango indicadores'!I13</f>
        <v>90</v>
      </c>
      <c r="P31" s="559" t="str">
        <f>+'Rango indicadores'!J13</f>
        <v>Desde (&gt;):</v>
      </c>
      <c r="Q31" s="559">
        <f>+'Rango indicadores'!K13</f>
        <v>85</v>
      </c>
      <c r="R31" s="559" t="str">
        <f>+'Rango indicadores'!L13</f>
        <v>Hasta (&lt;):</v>
      </c>
      <c r="S31" s="559">
        <f>+'Rango indicadores'!M13</f>
        <v>90</v>
      </c>
      <c r="T31" s="559" t="str">
        <f>+'Rango indicadores'!N13</f>
        <v>Menor o Igual A:</v>
      </c>
      <c r="U31" s="559">
        <f>+'Rango indicadores'!O13</f>
        <v>85</v>
      </c>
      <c r="V31" s="653" t="s">
        <v>1145</v>
      </c>
      <c r="W31" s="568"/>
      <c r="X31" s="568"/>
      <c r="Y31" s="568"/>
    </row>
    <row r="32" spans="2:26" ht="86.4" customHeight="1">
      <c r="B32" s="556">
        <f t="shared" si="3"/>
        <v>10</v>
      </c>
      <c r="C32" s="557" t="str">
        <f>+'Rango indicadores'!D14</f>
        <v>03-RI-03</v>
      </c>
      <c r="D32" s="557" t="str">
        <f>+'Rango indicadores'!E14</f>
        <v xml:space="preserve">Porcentaje de actividades ejecutadas  en la estrategia de servicios ciudadanos digitales </v>
      </c>
      <c r="E32" s="561">
        <f>+'Rango indicadores'!Q14</f>
        <v>0.3</v>
      </c>
      <c r="F32" s="561">
        <f>+'1.Informe Seguimiento POA 2021'!S51</f>
        <v>0.09</v>
      </c>
      <c r="G32" s="561">
        <f>+'1.Informe Seguimiento POA 2021'!O51+'1.Informe Seguimiento POA 2021'!Q51+'1.Informe Seguimiento POA 2021'!S51</f>
        <v>0.23</v>
      </c>
      <c r="H32" s="561">
        <f>+'1.Informe Seguimiento POA 2021'!T51</f>
        <v>0.09</v>
      </c>
      <c r="I32" s="561">
        <f>+'1.Informe Seguimiento POA 2021'!P51+'1.Informe Seguimiento POA 2021'!R51+'1.Informe Seguimiento POA 2021'!T51</f>
        <v>0.23</v>
      </c>
      <c r="J32" s="561">
        <f>+'1.Informe Seguimiento POA 2021'!X51</f>
        <v>0.23</v>
      </c>
      <c r="K32" s="567">
        <f t="shared" si="2"/>
        <v>1</v>
      </c>
      <c r="L32" s="567">
        <f>IF(AND(G32&gt;0),I32/G32,"No programado")</f>
        <v>1</v>
      </c>
      <c r="M32" s="546">
        <f>+'1.Informe Seguimiento POA 2021'!Y51</f>
        <v>0.76666666666666661</v>
      </c>
      <c r="N32" s="564" t="str">
        <f>+'Rango indicadores'!H14</f>
        <v>Mayor o igual A:</v>
      </c>
      <c r="O32" s="559">
        <f>+'Rango indicadores'!I14</f>
        <v>90</v>
      </c>
      <c r="P32" s="559" t="str">
        <f>+'Rango indicadores'!J14</f>
        <v>Desde (&gt;):</v>
      </c>
      <c r="Q32" s="559">
        <f>+'Rango indicadores'!K14</f>
        <v>85</v>
      </c>
      <c r="R32" s="559" t="str">
        <f>+'Rango indicadores'!L14</f>
        <v>Hasta (&lt;):</v>
      </c>
      <c r="S32" s="559">
        <f>+'Rango indicadores'!M14</f>
        <v>90</v>
      </c>
      <c r="T32" s="559" t="str">
        <f>+'Rango indicadores'!N14</f>
        <v>Menor o Igual A:</v>
      </c>
      <c r="U32" s="559">
        <f>+'Rango indicadores'!O14</f>
        <v>85</v>
      </c>
      <c r="V32" s="653" t="s">
        <v>1145</v>
      </c>
    </row>
    <row r="33" spans="2:22" ht="93" customHeight="1">
      <c r="B33" s="556">
        <f t="shared" si="3"/>
        <v>11</v>
      </c>
      <c r="C33" s="557" t="str">
        <f>+'Rango indicadores'!D15</f>
        <v>03-RI-04</v>
      </c>
      <c r="D33" s="557" t="str">
        <f>+'Rango indicadores'!E15</f>
        <v>Porcentaje de lineamientos adoptados  en la estrategia de gestión de datos</v>
      </c>
      <c r="E33" s="561">
        <f>+'Rango indicadores'!Q15</f>
        <v>0.3</v>
      </c>
      <c r="F33" s="561">
        <f>+'1.Informe Seguimiento POA 2021'!S52</f>
        <v>0.09</v>
      </c>
      <c r="G33" s="561">
        <f>+'1.Informe Seguimiento POA 2021'!O52+'1.Informe Seguimiento POA 2021'!Q52+'1.Informe Seguimiento POA 2021'!S52</f>
        <v>0.23</v>
      </c>
      <c r="H33" s="561">
        <f>+'1.Informe Seguimiento POA 2021'!T52</f>
        <v>0.09</v>
      </c>
      <c r="I33" s="561">
        <f>+'1.Informe Seguimiento POA 2021'!P52+'1.Informe Seguimiento POA 2021'!R52+'1.Informe Seguimiento POA 2021'!T52</f>
        <v>0.23</v>
      </c>
      <c r="J33" s="561">
        <f>+'1.Informe Seguimiento POA 2021'!X52</f>
        <v>0.23</v>
      </c>
      <c r="K33" s="567">
        <f t="shared" si="2"/>
        <v>1</v>
      </c>
      <c r="L33" s="567">
        <f>IF(AND(G33&gt;0),I33/G33,"No programado")</f>
        <v>1</v>
      </c>
      <c r="M33" s="546">
        <f>+'1.Informe Seguimiento POA 2021'!Y52</f>
        <v>0.76666666666666661</v>
      </c>
      <c r="N33" s="564" t="str">
        <f>+'Rango indicadores'!H15</f>
        <v>Mayor o igual A:</v>
      </c>
      <c r="O33" s="559">
        <f>+'Rango indicadores'!I15</f>
        <v>90</v>
      </c>
      <c r="P33" s="559" t="str">
        <f>+'Rango indicadores'!J15</f>
        <v>Desde (&gt;):</v>
      </c>
      <c r="Q33" s="559">
        <f>+'Rango indicadores'!K15</f>
        <v>85</v>
      </c>
      <c r="R33" s="559" t="str">
        <f>+'Rango indicadores'!L15</f>
        <v>Hasta (&lt;):</v>
      </c>
      <c r="S33" s="559">
        <f>+'Rango indicadores'!M15</f>
        <v>90</v>
      </c>
      <c r="T33" s="559" t="str">
        <f>+'Rango indicadores'!N15</f>
        <v>Menor o Igual A:</v>
      </c>
      <c r="U33" s="559">
        <f>+'Rango indicadores'!O15</f>
        <v>85</v>
      </c>
      <c r="V33" s="653" t="s">
        <v>995</v>
      </c>
    </row>
    <row r="34" spans="2:22" ht="97.5" customHeight="1">
      <c r="B34" s="556">
        <f t="shared" si="3"/>
        <v>12</v>
      </c>
      <c r="C34" s="557" t="str">
        <f>+'Rango indicadores'!D16</f>
        <v>03-RI-05</v>
      </c>
      <c r="D34" s="557" t="str">
        <f>+'Rango indicadores'!E16</f>
        <v>Cantidad de requerimientos prioritarios desarrollados para los sistemas información</v>
      </c>
      <c r="E34" s="561">
        <f>+'Rango indicadores'!Q16</f>
        <v>0.3</v>
      </c>
      <c r="F34" s="561">
        <f>+'1.Informe Seguimiento POA 2021'!S53</f>
        <v>0.09</v>
      </c>
      <c r="G34" s="561">
        <f>+'1.Informe Seguimiento POA 2021'!O53+'1.Informe Seguimiento POA 2021'!Q53+'1.Informe Seguimiento POA 2021'!S53</f>
        <v>0.23</v>
      </c>
      <c r="H34" s="561">
        <f>+'1.Informe Seguimiento POA 2021'!T53</f>
        <v>0.09</v>
      </c>
      <c r="I34" s="561">
        <f>+'1.Informe Seguimiento POA 2021'!P53+'1.Informe Seguimiento POA 2021'!R53+'1.Informe Seguimiento POA 2021'!T53</f>
        <v>0.23</v>
      </c>
      <c r="J34" s="561">
        <f>+'1.Informe Seguimiento POA 2021'!X53</f>
        <v>0.23</v>
      </c>
      <c r="K34" s="567">
        <f t="shared" si="2"/>
        <v>1</v>
      </c>
      <c r="L34" s="567">
        <f>IF(AND(G34&gt;0),I34/G34,"No programado")</f>
        <v>1</v>
      </c>
      <c r="M34" s="546">
        <f>+'1.Informe Seguimiento POA 2021'!Y53</f>
        <v>0.76666666666666672</v>
      </c>
      <c r="N34" s="564" t="str">
        <f>+'Rango indicadores'!H16</f>
        <v>Mayor o igual A:</v>
      </c>
      <c r="O34" s="559">
        <f>+'Rango indicadores'!I16</f>
        <v>90</v>
      </c>
      <c r="P34" s="559" t="str">
        <f>+'Rango indicadores'!J16</f>
        <v>Desde (&gt;):</v>
      </c>
      <c r="Q34" s="559">
        <f>+'Rango indicadores'!K16</f>
        <v>85</v>
      </c>
      <c r="R34" s="559" t="str">
        <f>+'Rango indicadores'!L16</f>
        <v>Hasta (&lt;):</v>
      </c>
      <c r="S34" s="559">
        <f>+'Rango indicadores'!M16</f>
        <v>90</v>
      </c>
      <c r="T34" s="559" t="str">
        <f>+'Rango indicadores'!N16</f>
        <v>Menor o Igual A:</v>
      </c>
      <c r="U34" s="559">
        <f>+'Rango indicadores'!O16</f>
        <v>85</v>
      </c>
      <c r="V34" s="653" t="s">
        <v>1145</v>
      </c>
    </row>
    <row r="35" spans="2:22" ht="79.5" customHeight="1">
      <c r="B35" s="556">
        <f t="shared" si="3"/>
        <v>13</v>
      </c>
      <c r="C35" s="557" t="str">
        <f>+'Rango indicadores'!D17</f>
        <v>03-RI-06</v>
      </c>
      <c r="D35" s="557" t="str">
        <f>+'Rango indicadores'!E17</f>
        <v>Porcentaje de actividades ejecutadas del plan de uso y apropiación</v>
      </c>
      <c r="E35" s="561">
        <f>+'Rango indicadores'!Q17</f>
        <v>0.3</v>
      </c>
      <c r="F35" s="561">
        <f>+'1.Informe Seguimiento POA 2021'!S54</f>
        <v>0.09</v>
      </c>
      <c r="G35" s="561">
        <f>+'1.Informe Seguimiento POA 2021'!O54+'1.Informe Seguimiento POA 2021'!Q54+'1.Informe Seguimiento POA 2021'!S54</f>
        <v>0.23</v>
      </c>
      <c r="H35" s="561">
        <f>+'1.Informe Seguimiento POA 2021'!T54</f>
        <v>0.09</v>
      </c>
      <c r="I35" s="561">
        <f>+'1.Informe Seguimiento POA 2021'!P54+'1.Informe Seguimiento POA 2021'!R54+'1.Informe Seguimiento POA 2021'!T54</f>
        <v>0.23</v>
      </c>
      <c r="J35" s="561">
        <f>+'1.Informe Seguimiento POA 2021'!X54</f>
        <v>0.23</v>
      </c>
      <c r="K35" s="567">
        <f t="shared" si="2"/>
        <v>1</v>
      </c>
      <c r="L35" s="567">
        <f>IF(AND(G35&gt;0),I35/G35,"No programado")</f>
        <v>1</v>
      </c>
      <c r="M35" s="546">
        <f>+'1.Informe Seguimiento POA 2021'!Y54</f>
        <v>0.76666666666666661</v>
      </c>
      <c r="N35" s="564" t="str">
        <f>+'Rango indicadores'!H17</f>
        <v>Mayor o igual A:</v>
      </c>
      <c r="O35" s="559">
        <f>+'Rango indicadores'!I17</f>
        <v>90</v>
      </c>
      <c r="P35" s="559" t="str">
        <f>+'Rango indicadores'!J17</f>
        <v>Desde (&gt;):</v>
      </c>
      <c r="Q35" s="559">
        <f>+'Rango indicadores'!K17</f>
        <v>85</v>
      </c>
      <c r="R35" s="559" t="str">
        <f>+'Rango indicadores'!L17</f>
        <v>Hasta (&lt;):</v>
      </c>
      <c r="S35" s="559">
        <f>+'Rango indicadores'!M17</f>
        <v>90</v>
      </c>
      <c r="T35" s="559" t="str">
        <f>+'Rango indicadores'!N17</f>
        <v>Menor o Igual A:</v>
      </c>
      <c r="U35" s="559">
        <f>+'Rango indicadores'!O17</f>
        <v>85</v>
      </c>
      <c r="V35" s="653" t="s">
        <v>1145</v>
      </c>
    </row>
    <row r="36" spans="2:22" ht="79.5" customHeight="1">
      <c r="B36" s="556">
        <f t="shared" si="3"/>
        <v>14</v>
      </c>
      <c r="C36" s="557" t="str">
        <f>+'Rango indicadores'!D18</f>
        <v>03-RI-07</v>
      </c>
      <c r="D36" s="557" t="str">
        <f>+'Rango indicadores'!E18</f>
        <v>Porcentaje de actividades ejecutadas de la hoja de ruta de optimización tecnológica</v>
      </c>
      <c r="E36" s="561">
        <f>+'Rango indicadores'!Q18</f>
        <v>0.3</v>
      </c>
      <c r="F36" s="561">
        <f>+'1.Informe Seguimiento POA 2021'!S55</f>
        <v>0.09</v>
      </c>
      <c r="G36" s="561">
        <f>+'1.Informe Seguimiento POA 2021'!O55+'1.Informe Seguimiento POA 2021'!Q55+'1.Informe Seguimiento POA 2021'!S55</f>
        <v>0.24</v>
      </c>
      <c r="H36" s="561">
        <f>+'1.Informe Seguimiento POA 2021'!T55</f>
        <v>0.09</v>
      </c>
      <c r="I36" s="561">
        <f>+'1.Informe Seguimiento POA 2021'!P55+'1.Informe Seguimiento POA 2021'!R55+'1.Informe Seguimiento POA 2021'!T55</f>
        <v>0.24</v>
      </c>
      <c r="J36" s="561">
        <f>+'1.Informe Seguimiento POA 2021'!X55</f>
        <v>0.24</v>
      </c>
      <c r="K36" s="567">
        <f t="shared" ref="K36" si="4">IF(AND(F36&gt;0),H36/F36,"No programado")</f>
        <v>1</v>
      </c>
      <c r="L36" s="567">
        <f>IF(AND(G36&gt;0),I36/G36,"No programado")</f>
        <v>1</v>
      </c>
      <c r="M36" s="546">
        <f>+'1.Informe Seguimiento POA 2021'!Y55</f>
        <v>0.8</v>
      </c>
      <c r="N36" s="564" t="str">
        <f>+'Rango indicadores'!H18</f>
        <v>Mayor o igual A:</v>
      </c>
      <c r="O36" s="559">
        <f>+'Rango indicadores'!I18</f>
        <v>90</v>
      </c>
      <c r="P36" s="559" t="str">
        <f>+'Rango indicadores'!J18</f>
        <v>Desde (&gt;):</v>
      </c>
      <c r="Q36" s="559">
        <f>+'Rango indicadores'!K18</f>
        <v>85</v>
      </c>
      <c r="R36" s="559" t="str">
        <f>+'Rango indicadores'!L18</f>
        <v>Hasta (&lt;):</v>
      </c>
      <c r="S36" s="559">
        <f>+'Rango indicadores'!M18</f>
        <v>90</v>
      </c>
      <c r="T36" s="559" t="str">
        <f>+'Rango indicadores'!N18</f>
        <v>Menor o Igual A:</v>
      </c>
      <c r="U36" s="559">
        <f>+'Rango indicadores'!O18</f>
        <v>85</v>
      </c>
      <c r="V36" s="653" t="s">
        <v>1145</v>
      </c>
    </row>
    <row r="37" spans="2:22" ht="15.6">
      <c r="C37" s="1421" t="s">
        <v>926</v>
      </c>
      <c r="D37" s="1422"/>
      <c r="E37" s="1422"/>
      <c r="F37" s="1422"/>
      <c r="G37" s="1422"/>
      <c r="H37" s="1422"/>
      <c r="I37" s="1422"/>
      <c r="J37" s="1423"/>
      <c r="K37" s="562">
        <f>IFERROR(AVERAGE(K30:K36),0)</f>
        <v>1</v>
      </c>
      <c r="L37" s="562">
        <f t="shared" ref="L37" si="5">IFERROR(AVERAGE(L30:L36),0)</f>
        <v>1</v>
      </c>
      <c r="M37" s="562">
        <f>IFERROR(AVERAGE(M30:M36),0)</f>
        <v>0.78095238095238084</v>
      </c>
      <c r="N37" s="550"/>
      <c r="O37" s="550"/>
      <c r="P37" s="550"/>
      <c r="Q37" s="550"/>
      <c r="R37" s="550"/>
      <c r="S37" s="550"/>
      <c r="T37" s="550"/>
      <c r="U37" s="550"/>
      <c r="V37" s="654"/>
    </row>
    <row r="38" spans="2:22" s="552" customFormat="1">
      <c r="D38" s="554"/>
      <c r="V38" s="554"/>
    </row>
    <row r="39" spans="2:22" s="552" customFormat="1" ht="15.6">
      <c r="C39" s="555" t="s">
        <v>929</v>
      </c>
      <c r="D39" s="587"/>
      <c r="V39" s="554"/>
    </row>
    <row r="40" spans="2:22" ht="34.5" customHeight="1">
      <c r="C40" s="1402" t="str">
        <f>+$C$11</f>
        <v>Identifificación del Indicador</v>
      </c>
      <c r="D40" s="1401" t="s">
        <v>919</v>
      </c>
      <c r="E40" s="1405" t="s">
        <v>920</v>
      </c>
      <c r="F40" s="1406"/>
      <c r="G40" s="1407"/>
      <c r="H40" s="1402" t="s">
        <v>921</v>
      </c>
      <c r="I40" s="1408" t="str">
        <f>$I$9</f>
        <v>Ejecución Acumulada Corte
30/09/2021</v>
      </c>
      <c r="J40" s="1402" t="s">
        <v>922</v>
      </c>
      <c r="K40" s="1402" t="s">
        <v>915</v>
      </c>
      <c r="L40" s="1402"/>
      <c r="M40" s="1402"/>
      <c r="N40" s="1404" t="s">
        <v>766</v>
      </c>
      <c r="O40" s="1404"/>
      <c r="P40" s="1404"/>
      <c r="Q40" s="1404"/>
      <c r="R40" s="1404"/>
      <c r="S40" s="1404"/>
      <c r="T40" s="1404"/>
      <c r="U40" s="1404"/>
      <c r="V40" s="1402" t="s">
        <v>944</v>
      </c>
    </row>
    <row r="41" spans="2:22" ht="47.4" customHeight="1">
      <c r="C41" s="1402"/>
      <c r="D41" s="1401"/>
      <c r="E41" s="1032" t="str">
        <f>$E$12</f>
        <v>Año 2021</v>
      </c>
      <c r="F41" s="1032" t="str">
        <f>$D$5</f>
        <v>Tercer Trimestre</v>
      </c>
      <c r="G41" s="1033" t="str">
        <f>$G$9</f>
        <v>Acumulada Corte
30/09/2021</v>
      </c>
      <c r="H41" s="1402"/>
      <c r="I41" s="1408"/>
      <c r="J41" s="1402"/>
      <c r="K41" s="1032" t="str">
        <f>+$D$5</f>
        <v>Tercer Trimestre</v>
      </c>
      <c r="L41" s="1033" t="str">
        <f>$L$12</f>
        <v>Acumulado Corte 30/09/2021</v>
      </c>
      <c r="M41" s="1031" t="s">
        <v>811</v>
      </c>
      <c r="N41" s="1117" t="s">
        <v>924</v>
      </c>
      <c r="O41" s="1118"/>
      <c r="P41" s="1119" t="s">
        <v>925</v>
      </c>
      <c r="Q41" s="1120"/>
      <c r="R41" s="1120"/>
      <c r="S41" s="1121"/>
      <c r="T41" s="1122" t="s">
        <v>774</v>
      </c>
      <c r="U41" s="1123"/>
      <c r="V41" s="1402"/>
    </row>
    <row r="42" spans="2:22" ht="90.6" customHeight="1">
      <c r="B42" s="556">
        <f>1+B36</f>
        <v>15</v>
      </c>
      <c r="C42" s="557" t="str">
        <f>+'Rango indicadores'!D19</f>
        <v>04-RI-01</v>
      </c>
      <c r="D42" s="557" t="str">
        <f>+'Rango indicadores'!E19</f>
        <v>Productos de comunicación externa desarrollados</v>
      </c>
      <c r="E42" s="561">
        <f>+'Rango indicadores'!Q19</f>
        <v>1</v>
      </c>
      <c r="F42" s="561">
        <f>+'1.Informe Seguimiento POA 2021'!S94</f>
        <v>1</v>
      </c>
      <c r="G42" s="561">
        <f>IFERROR(AVERAGE('1.Informe Seguimiento POA 2021'!O94,'1.Informe Seguimiento POA 2021'!Q94,'1.Informe Seguimiento POA 2021'!S94),0)</f>
        <v>1</v>
      </c>
      <c r="H42" s="561">
        <f>+'1.Informe Seguimiento POA 2021'!T94</f>
        <v>1</v>
      </c>
      <c r="I42" s="561">
        <f>IFERROR(AVERAGE('1.Informe Seguimiento POA 2021'!P94,'1.Informe Seguimiento POA 2021'!R94,'1.Informe Seguimiento POA 2021'!T94),0)</f>
        <v>1</v>
      </c>
      <c r="J42" s="561">
        <f>+'1.Informe Seguimiento POA 2021'!X94</f>
        <v>1</v>
      </c>
      <c r="K42" s="595">
        <f>IF(AND(F42&gt;0),H42/F42,"No programado")</f>
        <v>1</v>
      </c>
      <c r="L42" s="595">
        <f>IF(AND(G42&gt;0),I42/G42,"No programado")</f>
        <v>1</v>
      </c>
      <c r="M42" s="546">
        <f>+'1.Informe Seguimiento POA 2021'!Y94</f>
        <v>0.75</v>
      </c>
      <c r="N42" s="564" t="str">
        <f>+'Rango indicadores'!H19</f>
        <v>Mayor A:</v>
      </c>
      <c r="O42" s="559">
        <f>+'Rango indicadores'!I19</f>
        <v>90</v>
      </c>
      <c r="P42" s="559" t="str">
        <f>+'Rango indicadores'!J19</f>
        <v>Desde (&gt;=):</v>
      </c>
      <c r="Q42" s="559">
        <f>+'Rango indicadores'!K19</f>
        <v>75</v>
      </c>
      <c r="R42" s="559" t="str">
        <f>+'Rango indicadores'!L19</f>
        <v>Hasta (&lt;=):</v>
      </c>
      <c r="S42" s="559">
        <f>+'Rango indicadores'!M19</f>
        <v>90</v>
      </c>
      <c r="T42" s="559" t="str">
        <f>+'Rango indicadores'!N19</f>
        <v>Menor A:</v>
      </c>
      <c r="U42" s="559">
        <f>+'Rango indicadores'!O19</f>
        <v>75</v>
      </c>
      <c r="V42" s="653" t="s">
        <v>996</v>
      </c>
    </row>
    <row r="43" spans="2:22" ht="97.8" customHeight="1">
      <c r="B43" s="556">
        <f>+B42+1</f>
        <v>16</v>
      </c>
      <c r="C43" s="557" t="str">
        <f>+'Rango indicadores'!D20</f>
        <v>04-RI-02</v>
      </c>
      <c r="D43" s="557" t="str">
        <f>+'Rango indicadores'!E20</f>
        <v>Productos  de comunicación interna
desarrollados</v>
      </c>
      <c r="E43" s="561">
        <f>+'Rango indicadores'!Q20</f>
        <v>1</v>
      </c>
      <c r="F43" s="561">
        <f>+'1.Informe Seguimiento POA 2021'!S95</f>
        <v>1</v>
      </c>
      <c r="G43" s="561">
        <f>IFERROR(AVERAGE('1.Informe Seguimiento POA 2021'!O95,'1.Informe Seguimiento POA 2021'!Q95,'1.Informe Seguimiento POA 2021'!S95),0)</f>
        <v>1</v>
      </c>
      <c r="H43" s="561">
        <f>+'1.Informe Seguimiento POA 2021'!T95</f>
        <v>1</v>
      </c>
      <c r="I43" s="561">
        <f>IFERROR(AVERAGE('1.Informe Seguimiento POA 2021'!P95,'1.Informe Seguimiento POA 2021'!R95,'1.Informe Seguimiento POA 2021'!T95),0)</f>
        <v>1</v>
      </c>
      <c r="J43" s="561">
        <f>+'1.Informe Seguimiento POA 2021'!X95</f>
        <v>1</v>
      </c>
      <c r="K43" s="595">
        <f>IF(AND(F43&gt;0),H43/F43,"No programado")</f>
        <v>1</v>
      </c>
      <c r="L43" s="595">
        <f t="shared" ref="L43" si="6">IF(AND(G43&gt;0),I43/G43,"No programado")</f>
        <v>1</v>
      </c>
      <c r="M43" s="546">
        <f>+'1.Informe Seguimiento POA 2021'!Y95</f>
        <v>0.75</v>
      </c>
      <c r="N43" s="564" t="str">
        <f>+'Rango indicadores'!H20</f>
        <v>Mayor A:</v>
      </c>
      <c r="O43" s="559">
        <f>+'Rango indicadores'!I20</f>
        <v>90</v>
      </c>
      <c r="P43" s="559" t="str">
        <f>+'Rango indicadores'!J20</f>
        <v>Desde (&gt;=):</v>
      </c>
      <c r="Q43" s="559">
        <f>+'Rango indicadores'!K20</f>
        <v>75</v>
      </c>
      <c r="R43" s="559" t="str">
        <f>+'Rango indicadores'!L20</f>
        <v>Hasta (&lt;=):</v>
      </c>
      <c r="S43" s="559">
        <f>+'Rango indicadores'!M20</f>
        <v>90</v>
      </c>
      <c r="T43" s="559" t="str">
        <f>+'Rango indicadores'!N20</f>
        <v>Menor A:</v>
      </c>
      <c r="U43" s="559">
        <f>+'Rango indicadores'!O20</f>
        <v>75</v>
      </c>
      <c r="V43" s="653" t="s">
        <v>996</v>
      </c>
    </row>
    <row r="44" spans="2:22" ht="15.6">
      <c r="C44" s="1421" t="s">
        <v>926</v>
      </c>
      <c r="D44" s="1422"/>
      <c r="E44" s="1422"/>
      <c r="F44" s="1422"/>
      <c r="G44" s="1422"/>
      <c r="H44" s="1422"/>
      <c r="I44" s="1422"/>
      <c r="J44" s="1423"/>
      <c r="K44" s="562">
        <f>IFERROR(AVERAGE(K42:K43),0)</f>
        <v>1</v>
      </c>
      <c r="L44" s="562">
        <f>IFERROR(AVERAGE(L42:L43),0)</f>
        <v>1</v>
      </c>
      <c r="M44" s="562">
        <f>IFERROR(AVERAGE(M42:M43),0)</f>
        <v>0.75</v>
      </c>
      <c r="N44" s="569"/>
      <c r="O44" s="569"/>
      <c r="P44" s="569"/>
      <c r="Q44" s="569"/>
      <c r="R44" s="569"/>
      <c r="S44" s="569"/>
      <c r="T44" s="569"/>
      <c r="U44" s="569"/>
      <c r="V44" s="654"/>
    </row>
    <row r="45" spans="2:22" s="552" customFormat="1">
      <c r="D45" s="554"/>
      <c r="V45" s="554"/>
    </row>
    <row r="46" spans="2:22" s="552" customFormat="1" ht="15.6">
      <c r="C46" s="555" t="s">
        <v>930</v>
      </c>
      <c r="D46" s="587"/>
      <c r="V46" s="554"/>
    </row>
    <row r="47" spans="2:22" ht="28.2" customHeight="1">
      <c r="C47" s="1402" t="str">
        <f>+$C$11</f>
        <v>Identifificación del Indicador</v>
      </c>
      <c r="D47" s="1401" t="s">
        <v>919</v>
      </c>
      <c r="E47" s="1405" t="s">
        <v>920</v>
      </c>
      <c r="F47" s="1406"/>
      <c r="G47" s="1407"/>
      <c r="H47" s="1402" t="s">
        <v>921</v>
      </c>
      <c r="I47" s="1408" t="str">
        <f>$I$9</f>
        <v>Ejecución Acumulada Corte
30/09/2021</v>
      </c>
      <c r="J47" s="1402" t="s">
        <v>922</v>
      </c>
      <c r="K47" s="1405" t="s">
        <v>915</v>
      </c>
      <c r="L47" s="1406"/>
      <c r="M47" s="1407"/>
      <c r="N47" s="1404" t="s">
        <v>766</v>
      </c>
      <c r="O47" s="1404"/>
      <c r="P47" s="1404"/>
      <c r="Q47" s="1404"/>
      <c r="R47" s="1404"/>
      <c r="S47" s="1404"/>
      <c r="T47" s="1404"/>
      <c r="U47" s="1404"/>
      <c r="V47" s="1402" t="s">
        <v>944</v>
      </c>
    </row>
    <row r="48" spans="2:22" ht="46.2" customHeight="1">
      <c r="C48" s="1402"/>
      <c r="D48" s="1401"/>
      <c r="E48" s="1032" t="str">
        <f>$E$12</f>
        <v>Año 2021</v>
      </c>
      <c r="F48" s="1032" t="str">
        <f>$D$5</f>
        <v>Tercer Trimestre</v>
      </c>
      <c r="G48" s="1033" t="str">
        <f>$G$9</f>
        <v>Acumulada Corte
30/09/2021</v>
      </c>
      <c r="H48" s="1402"/>
      <c r="I48" s="1408"/>
      <c r="J48" s="1402"/>
      <c r="K48" s="1032" t="str">
        <f>+$D$5</f>
        <v>Tercer Trimestre</v>
      </c>
      <c r="L48" s="1033" t="str">
        <f>$L$12</f>
        <v>Acumulado Corte 30/09/2021</v>
      </c>
      <c r="M48" s="1032" t="s">
        <v>811</v>
      </c>
      <c r="N48" s="1117" t="s">
        <v>924</v>
      </c>
      <c r="O48" s="1118"/>
      <c r="P48" s="1119" t="s">
        <v>925</v>
      </c>
      <c r="Q48" s="1120"/>
      <c r="R48" s="1120"/>
      <c r="S48" s="1121"/>
      <c r="T48" s="1122" t="s">
        <v>774</v>
      </c>
      <c r="U48" s="1123"/>
      <c r="V48" s="1402"/>
    </row>
    <row r="49" spans="2:26" ht="122.4" customHeight="1">
      <c r="B49" s="556">
        <f>+B43+1</f>
        <v>17</v>
      </c>
      <c r="C49" s="557" t="str">
        <f>+'Rango indicadores'!D83</f>
        <v>14-RI-01</v>
      </c>
      <c r="D49" s="557" t="str">
        <f>+'Rango indicadores'!E83</f>
        <v>Porcentaje de Percepción de los usuarios en calificación excelente y bueno incrementado</v>
      </c>
      <c r="E49" s="561">
        <f>+'Rango indicadores'!Q83</f>
        <v>0.9</v>
      </c>
      <c r="F49" s="561">
        <f>+'1.Informe Seguimiento POA 2021'!S60</f>
        <v>0.9</v>
      </c>
      <c r="G49" s="561">
        <f>+'1.Informe Seguimiento POA 2021'!S60</f>
        <v>0.9</v>
      </c>
      <c r="H49" s="561">
        <f>+'1.Informe Seguimiento POA 2021'!T60</f>
        <v>0.93400000000000005</v>
      </c>
      <c r="I49" s="561">
        <f>+'1.Informe Seguimiento POA 2021'!T60</f>
        <v>0.93400000000000005</v>
      </c>
      <c r="J49" s="561">
        <f>+'1.Informe Seguimiento POA 2021'!X60</f>
        <v>0.93400000000000005</v>
      </c>
      <c r="K49" s="546">
        <f>IF(AND(F49&gt;0),H49/F49,"No programado")</f>
        <v>1.0377777777777779</v>
      </c>
      <c r="L49" s="546">
        <f>IF(AND(G49&gt;0),I49/G49,"No programado")</f>
        <v>1.0377777777777779</v>
      </c>
      <c r="M49" s="546">
        <f>+'1.Informe Seguimiento POA 2021'!Y60</f>
        <v>1.0377777777777779</v>
      </c>
      <c r="N49" s="570" t="str">
        <f>+'Rango indicadores'!H83</f>
        <v>Mayor A:</v>
      </c>
      <c r="O49" s="559">
        <f>+'Rango indicadores'!I83</f>
        <v>90</v>
      </c>
      <c r="P49" s="559" t="str">
        <f>+'Rango indicadores'!J83</f>
        <v>Desde (&gt;=):</v>
      </c>
      <c r="Q49" s="559">
        <f>+'Rango indicadores'!K83</f>
        <v>70</v>
      </c>
      <c r="R49" s="559" t="str">
        <f>+'Rango indicadores'!L83</f>
        <v>Hasta (&lt;=):</v>
      </c>
      <c r="S49" s="559">
        <f>+'Rango indicadores'!M83</f>
        <v>90</v>
      </c>
      <c r="T49" s="559" t="str">
        <f>+'Rango indicadores'!N83</f>
        <v>Menor A:</v>
      </c>
      <c r="U49" s="559">
        <f>+'Rango indicadores'!O83</f>
        <v>70</v>
      </c>
      <c r="V49" s="653" t="s">
        <v>1146</v>
      </c>
    </row>
    <row r="50" spans="2:26" ht="80.400000000000006" customHeight="1">
      <c r="B50" s="556">
        <f>+B49+1</f>
        <v>18</v>
      </c>
      <c r="C50" s="557" t="str">
        <f>+'Rango indicadores'!D84</f>
        <v>14-RI-02</v>
      </c>
      <c r="D50" s="557" t="str">
        <f>+'Rango indicadores'!E84</f>
        <v>Lineamientos implementados</v>
      </c>
      <c r="E50" s="559">
        <f>+'Rango indicadores'!Q84</f>
        <v>2</v>
      </c>
      <c r="F50" s="561">
        <f>+'1.Informe Seguimiento POA 2021'!S61</f>
        <v>0</v>
      </c>
      <c r="G50" s="559">
        <f>+'1.Informe Seguimiento POA 2021'!O61+'1.Informe Seguimiento POA 2021'!Q61+'1.Informe Seguimiento POA 2021'!S61</f>
        <v>2</v>
      </c>
      <c r="H50" s="559">
        <f>+'1.Informe Seguimiento POA 2021'!T61</f>
        <v>0</v>
      </c>
      <c r="I50" s="559">
        <f>+'1.Informe Seguimiento POA 2021'!P61+'1.Informe Seguimiento POA 2021'!R61+'1.Informe Seguimiento POA 2021'!T61</f>
        <v>2</v>
      </c>
      <c r="J50" s="559">
        <f>+'1.Informe Seguimiento POA 2021'!X61</f>
        <v>2</v>
      </c>
      <c r="K50" s="546" t="str">
        <f>IF(AND(F50&gt;0),H50/F50,"No programado")</f>
        <v>No programado</v>
      </c>
      <c r="L50" s="546">
        <f t="shared" ref="L50:L51" si="7">IF(AND(G50&gt;0),I50/G50,"No programado")</f>
        <v>1</v>
      </c>
      <c r="M50" s="546">
        <f>+'1.Informe Seguimiento POA 2021'!Y61</f>
        <v>1</v>
      </c>
      <c r="N50" s="570" t="str">
        <f>+'Rango indicadores'!H84</f>
        <v>Mayor A:</v>
      </c>
      <c r="O50" s="559">
        <f>+'Rango indicadores'!I84</f>
        <v>90</v>
      </c>
      <c r="P50" s="559" t="str">
        <f>+'Rango indicadores'!J84</f>
        <v>Desde (&gt;=):</v>
      </c>
      <c r="Q50" s="559">
        <f>+'Rango indicadores'!K84</f>
        <v>70</v>
      </c>
      <c r="R50" s="559" t="str">
        <f>+'Rango indicadores'!L84</f>
        <v>Hasta (&lt;=):</v>
      </c>
      <c r="S50" s="559">
        <f>+'Rango indicadores'!M84</f>
        <v>90</v>
      </c>
      <c r="T50" s="559" t="str">
        <f>+'Rango indicadores'!N84</f>
        <v>Menor A:</v>
      </c>
      <c r="U50" s="559">
        <f>+'Rango indicadores'!O84</f>
        <v>70</v>
      </c>
      <c r="V50" s="653" t="s">
        <v>997</v>
      </c>
    </row>
    <row r="51" spans="2:26" ht="26.4">
      <c r="B51" s="556">
        <f>+B50+1</f>
        <v>19</v>
      </c>
      <c r="C51" s="557" t="str">
        <f>+'Rango indicadores'!D85</f>
        <v>14-RI-03</v>
      </c>
      <c r="D51" s="557" t="str">
        <f>+'Rango indicadores'!E85</f>
        <v>Acuerdos interinstitucionales gestionados</v>
      </c>
      <c r="E51" s="559">
        <f>+'Rango indicadores'!Q85</f>
        <v>1</v>
      </c>
      <c r="F51" s="559">
        <f>+'1.Informe Seguimiento POA 2021'!S96</f>
        <v>0</v>
      </c>
      <c r="G51" s="559">
        <f>+'1.Informe Seguimiento POA 2021'!O96+'1.Informe Seguimiento POA 2021'!Q96+'1.Informe Seguimiento POA 2021'!S96</f>
        <v>0</v>
      </c>
      <c r="H51" s="559">
        <f>+'1.Informe Seguimiento POA 2021'!T96</f>
        <v>0</v>
      </c>
      <c r="I51" s="559">
        <f>+'1.Informe Seguimiento POA 2021'!P96+'1.Informe Seguimiento POA 2021'!R96+'1.Informe Seguimiento POA 2021'!T96</f>
        <v>0</v>
      </c>
      <c r="J51" s="559">
        <f>+'1.Informe Seguimiento POA 2021'!X96</f>
        <v>0</v>
      </c>
      <c r="K51" s="575" t="str">
        <f>IF(AND(F51&gt;0),H51/F51,"No programado")</f>
        <v>No programado</v>
      </c>
      <c r="L51" s="575" t="str">
        <f t="shared" si="7"/>
        <v>No programado</v>
      </c>
      <c r="M51" s="546">
        <f>+'1.Informe Seguimiento POA 2021'!Y96</f>
        <v>0</v>
      </c>
      <c r="N51" s="570" t="str">
        <f>+'Rango indicadores'!H85</f>
        <v>Mayor A:</v>
      </c>
      <c r="O51" s="559">
        <f>+'Rango indicadores'!I85</f>
        <v>90</v>
      </c>
      <c r="P51" s="559" t="str">
        <f>+'Rango indicadores'!J85</f>
        <v>Desde (&gt;=):</v>
      </c>
      <c r="Q51" s="559">
        <f>+'Rango indicadores'!K85</f>
        <v>70</v>
      </c>
      <c r="R51" s="559" t="str">
        <f>+'Rango indicadores'!L85</f>
        <v>Hasta (&lt;=):</v>
      </c>
      <c r="S51" s="559">
        <f>+'Rango indicadores'!M85</f>
        <v>90</v>
      </c>
      <c r="T51" s="559" t="str">
        <f>+'Rango indicadores'!N85</f>
        <v>Menor A:</v>
      </c>
      <c r="U51" s="559">
        <f>+'Rango indicadores'!O85</f>
        <v>70</v>
      </c>
      <c r="V51" s="653" t="s">
        <v>1147</v>
      </c>
    </row>
    <row r="52" spans="2:26" ht="15.6">
      <c r="C52" s="1421" t="s">
        <v>926</v>
      </c>
      <c r="D52" s="1422"/>
      <c r="E52" s="1422"/>
      <c r="F52" s="1422"/>
      <c r="G52" s="1422"/>
      <c r="H52" s="1422"/>
      <c r="I52" s="1422"/>
      <c r="J52" s="1423"/>
      <c r="K52" s="562">
        <f t="shared" ref="K52:L52" si="8">IFERROR(AVERAGE(K49:K51),0)</f>
        <v>1.0377777777777779</v>
      </c>
      <c r="L52" s="562">
        <f t="shared" si="8"/>
        <v>1.018888888888889</v>
      </c>
      <c r="M52" s="562">
        <f>IFERROR(AVERAGE(M49:M51),0)</f>
        <v>0.67925925925925934</v>
      </c>
      <c r="N52" s="569"/>
      <c r="O52" s="569"/>
      <c r="P52" s="569"/>
      <c r="Q52" s="569"/>
      <c r="R52" s="569"/>
      <c r="S52" s="569"/>
      <c r="T52" s="569"/>
      <c r="U52" s="569"/>
      <c r="V52" s="654"/>
    </row>
    <row r="53" spans="2:26" s="552" customFormat="1">
      <c r="D53" s="554"/>
      <c r="V53" s="554"/>
    </row>
    <row r="54" spans="2:26" s="552" customFormat="1" ht="15.6">
      <c r="C54" s="555" t="s">
        <v>931</v>
      </c>
      <c r="D54" s="587"/>
      <c r="V54" s="554"/>
    </row>
    <row r="55" spans="2:26" ht="27" customHeight="1">
      <c r="C55" s="1402" t="str">
        <f>+$C$11</f>
        <v>Identifificación del Indicador</v>
      </c>
      <c r="D55" s="1401" t="s">
        <v>919</v>
      </c>
      <c r="E55" s="1405" t="s">
        <v>920</v>
      </c>
      <c r="F55" s="1406"/>
      <c r="G55" s="1407"/>
      <c r="H55" s="1402" t="s">
        <v>921</v>
      </c>
      <c r="I55" s="1408" t="str">
        <f>$I$9</f>
        <v>Ejecución Acumulada Corte
30/09/2021</v>
      </c>
      <c r="J55" s="1402" t="s">
        <v>922</v>
      </c>
      <c r="K55" s="1402" t="s">
        <v>915</v>
      </c>
      <c r="L55" s="1402"/>
      <c r="M55" s="1402"/>
      <c r="N55" s="1404" t="s">
        <v>766</v>
      </c>
      <c r="O55" s="1404"/>
      <c r="P55" s="1404"/>
      <c r="Q55" s="1404"/>
      <c r="R55" s="1404"/>
      <c r="S55" s="1404"/>
      <c r="T55" s="1404"/>
      <c r="U55" s="1404"/>
      <c r="V55" s="1402" t="s">
        <v>944</v>
      </c>
    </row>
    <row r="56" spans="2:26" ht="43.95" customHeight="1">
      <c r="C56" s="1402"/>
      <c r="D56" s="1401"/>
      <c r="E56" s="1032" t="str">
        <f>$E$12</f>
        <v>Año 2021</v>
      </c>
      <c r="F56" s="1032" t="str">
        <f>$D$5</f>
        <v>Tercer Trimestre</v>
      </c>
      <c r="G56" s="1033" t="str">
        <f>$G$9</f>
        <v>Acumulada Corte
30/09/2021</v>
      </c>
      <c r="H56" s="1402"/>
      <c r="I56" s="1408"/>
      <c r="J56" s="1402"/>
      <c r="K56" s="1032" t="str">
        <f>+$D$5</f>
        <v>Tercer Trimestre</v>
      </c>
      <c r="L56" s="1033" t="str">
        <f>$L$12</f>
        <v>Acumulado Corte 30/09/2021</v>
      </c>
      <c r="M56" s="1032" t="s">
        <v>811</v>
      </c>
      <c r="N56" s="1117" t="s">
        <v>924</v>
      </c>
      <c r="O56" s="1118"/>
      <c r="P56" s="1119" t="s">
        <v>925</v>
      </c>
      <c r="Q56" s="1120"/>
      <c r="R56" s="1120"/>
      <c r="S56" s="1121"/>
      <c r="T56" s="1122" t="s">
        <v>774</v>
      </c>
      <c r="U56" s="1123"/>
      <c r="V56" s="1402"/>
    </row>
    <row r="57" spans="2:26" ht="142.19999999999999" customHeight="1">
      <c r="B57" s="556">
        <f>+B51+1</f>
        <v>20</v>
      </c>
      <c r="C57" s="557" t="str">
        <f>+'Rango indicadores'!D21</f>
        <v>05-RI-01</v>
      </c>
      <c r="D57" s="557" t="str">
        <f>+'Rango indicadores'!E21</f>
        <v>Intervenciones realizadas en defensa de los derechos</v>
      </c>
      <c r="E57" s="571">
        <f>+'Rango indicadores'!Q21</f>
        <v>102150</v>
      </c>
      <c r="F57" s="571">
        <f>+'1.Informe Seguimiento POA 2021'!S13</f>
        <v>28635</v>
      </c>
      <c r="G57" s="571">
        <f>+'1.Informe Seguimiento POA 2021'!O13+'1.Informe Seguimiento POA 2021'!Q13+'1.Informe Seguimiento POA 2021'!S13</f>
        <v>77760</v>
      </c>
      <c r="H57" s="571">
        <f>+'1.Informe Seguimiento POA 2021'!T13</f>
        <v>36860</v>
      </c>
      <c r="I57" s="571">
        <f>+'1.Informe Seguimiento POA 2021'!P13+'1.Informe Seguimiento POA 2021'!R13+'1.Informe Seguimiento POA 2021'!T13</f>
        <v>97202</v>
      </c>
      <c r="J57" s="571">
        <f>+'1.Informe Seguimiento POA 2021'!X13</f>
        <v>97202</v>
      </c>
      <c r="K57" s="560">
        <f t="shared" ref="K57:L73" si="9">IF(AND(F57&gt;0),H57/F57,"No programado")</f>
        <v>1.287235900122228</v>
      </c>
      <c r="L57" s="560">
        <f>IF(AND(G57&gt;0),I57/G57,"No programado")</f>
        <v>1.250025720164609</v>
      </c>
      <c r="M57" s="560">
        <f>+'1.Informe Seguimiento POA 2021'!Y13</f>
        <v>0.95156142927068033</v>
      </c>
      <c r="N57" s="564" t="str">
        <f>+'Rango indicadores'!H21</f>
        <v>Mayor A:</v>
      </c>
      <c r="O57" s="559">
        <f>+'Rango indicadores'!I21</f>
        <v>85</v>
      </c>
      <c r="P57" s="559" t="str">
        <f>+'Rango indicadores'!J21</f>
        <v>Desde (&gt;=):</v>
      </c>
      <c r="Q57" s="559">
        <f>+'Rango indicadores'!K21</f>
        <v>80</v>
      </c>
      <c r="R57" s="559" t="str">
        <f>+'Rango indicadores'!L21</f>
        <v>Hasta (&lt;=):</v>
      </c>
      <c r="S57" s="559">
        <f>+'Rango indicadores'!M21</f>
        <v>85</v>
      </c>
      <c r="T57" s="559" t="str">
        <f>+'Rango indicadores'!N21</f>
        <v>Menor A:</v>
      </c>
      <c r="U57" s="559">
        <f>+'Rango indicadores'!O21</f>
        <v>80</v>
      </c>
      <c r="V57" s="646" t="s">
        <v>1149</v>
      </c>
      <c r="W57" s="740"/>
      <c r="X57" s="740"/>
      <c r="Y57" s="740"/>
      <c r="Z57" s="572"/>
    </row>
    <row r="58" spans="2:26" ht="125.4" customHeight="1">
      <c r="B58" s="556">
        <f t="shared" ref="B58:B63" si="10">+B57+1</f>
        <v>21</v>
      </c>
      <c r="C58" s="557" t="str">
        <f>+'Rango indicadores'!D22</f>
        <v>05-RI-02</v>
      </c>
      <c r="D58" s="557" t="str">
        <f>+'Rango indicadores'!E22</f>
        <v>Personas orientadas en garantía de derechos</v>
      </c>
      <c r="E58" s="571">
        <f>+'Rango indicadores'!Q22</f>
        <v>76200</v>
      </c>
      <c r="F58" s="571">
        <f>+'1.Informe Seguimiento POA 2021'!S14</f>
        <v>20444</v>
      </c>
      <c r="G58" s="571">
        <f>+'1.Informe Seguimiento POA 2021'!O14+'1.Informe Seguimiento POA 2021'!Q14+'1.Informe Seguimiento POA 2021'!S14</f>
        <v>57244</v>
      </c>
      <c r="H58" s="571">
        <f>+'1.Informe Seguimiento POA 2021'!T14</f>
        <v>28295</v>
      </c>
      <c r="I58" s="571">
        <f>+'1.Informe Seguimiento POA 2021'!P14+'1.Informe Seguimiento POA 2021'!R14+'1.Informe Seguimiento POA 2021'!T14</f>
        <v>64034</v>
      </c>
      <c r="J58" s="571">
        <f>+'1.Informe Seguimiento POA 2021'!X14</f>
        <v>64034</v>
      </c>
      <c r="K58" s="560">
        <f t="shared" si="9"/>
        <v>1.3840246527098414</v>
      </c>
      <c r="L58" s="560">
        <f>IF(AND(G58&gt;0),I58/G58,"No programado")</f>
        <v>1.1186150513590944</v>
      </c>
      <c r="M58" s="560">
        <f>+'1.Informe Seguimiento POA 2021'!Y14</f>
        <v>0.84034120734908135</v>
      </c>
      <c r="N58" s="564" t="str">
        <f>+'Rango indicadores'!H22</f>
        <v>Mayor A:</v>
      </c>
      <c r="O58" s="559">
        <f>+'Rango indicadores'!I22</f>
        <v>85</v>
      </c>
      <c r="P58" s="559" t="str">
        <f>+'Rango indicadores'!J22</f>
        <v>Desde (&gt;=):</v>
      </c>
      <c r="Q58" s="559">
        <f>+'Rango indicadores'!K22</f>
        <v>80</v>
      </c>
      <c r="R58" s="559" t="str">
        <f>+'Rango indicadores'!L22</f>
        <v>Hasta (&lt;=):</v>
      </c>
      <c r="S58" s="559">
        <f>+'Rango indicadores'!M22</f>
        <v>85</v>
      </c>
      <c r="T58" s="559" t="str">
        <f>+'Rango indicadores'!N22</f>
        <v>Menor A:</v>
      </c>
      <c r="U58" s="559">
        <f>+'Rango indicadores'!O22</f>
        <v>80</v>
      </c>
      <c r="V58" s="646" t="s">
        <v>1148</v>
      </c>
      <c r="W58" s="740"/>
      <c r="X58" s="740"/>
      <c r="Y58" s="740"/>
      <c r="Z58" s="740">
        <f>I58-G58</f>
        <v>6790</v>
      </c>
    </row>
    <row r="59" spans="2:26" ht="123" customHeight="1">
      <c r="B59" s="592">
        <f t="shared" si="10"/>
        <v>22</v>
      </c>
      <c r="C59" s="557" t="str">
        <f>+'Rango indicadores'!D23</f>
        <v>05-RI-03</v>
      </c>
      <c r="D59" s="557" t="str">
        <f>+'Rango indicadores'!E23</f>
        <v>Personas asistidas en garantía de derechos</v>
      </c>
      <c r="E59" s="571">
        <f>+'Rango indicadores'!Q23</f>
        <v>28545</v>
      </c>
      <c r="F59" s="571">
        <f>+'1.Informe Seguimiento POA 2021'!S15</f>
        <v>6260</v>
      </c>
      <c r="G59" s="571">
        <f>+'1.Informe Seguimiento POA 2021'!O15+'1.Informe Seguimiento POA 2021'!Q15+'1.Informe Seguimiento POA 2021'!S15</f>
        <v>25360</v>
      </c>
      <c r="H59" s="571">
        <f>+'1.Informe Seguimiento POA 2021'!T15</f>
        <v>8637</v>
      </c>
      <c r="I59" s="571">
        <f>+'1.Informe Seguimiento POA 2021'!P15+'1.Informe Seguimiento POA 2021'!R15+'1.Informe Seguimiento POA 2021'!T15</f>
        <v>19069</v>
      </c>
      <c r="J59" s="571">
        <f>+'1.Informe Seguimiento POA 2021'!X15</f>
        <v>19069</v>
      </c>
      <c r="K59" s="560">
        <f t="shared" si="9"/>
        <v>1.3797124600638977</v>
      </c>
      <c r="L59" s="560">
        <f>IF(AND(G59&gt;0),I59/G59,"No programado")</f>
        <v>0.75193217665615142</v>
      </c>
      <c r="M59" s="560">
        <f>+'1.Informe Seguimiento POA 2021'!Y15</f>
        <v>0.66803293046067613</v>
      </c>
      <c r="N59" s="564" t="str">
        <f>+'Rango indicadores'!H23</f>
        <v>Mayor A:</v>
      </c>
      <c r="O59" s="559">
        <f>+'Rango indicadores'!I23</f>
        <v>80</v>
      </c>
      <c r="P59" s="559" t="str">
        <f>+'Rango indicadores'!J23</f>
        <v>Desde (&gt;=):</v>
      </c>
      <c r="Q59" s="559">
        <f>+'Rango indicadores'!K23</f>
        <v>70</v>
      </c>
      <c r="R59" s="559" t="str">
        <f>+'Rango indicadores'!L23</f>
        <v>Hasta (&lt;=):</v>
      </c>
      <c r="S59" s="559">
        <f>+'Rango indicadores'!M23</f>
        <v>80</v>
      </c>
      <c r="T59" s="559" t="str">
        <f>+'Rango indicadores'!N23</f>
        <v>Menor A:</v>
      </c>
      <c r="U59" s="559">
        <f>+'Rango indicadores'!O23</f>
        <v>70</v>
      </c>
      <c r="V59" s="646" t="s">
        <v>1150</v>
      </c>
      <c r="W59" s="740"/>
      <c r="X59" s="740"/>
      <c r="Y59" s="740"/>
      <c r="Z59" s="572"/>
    </row>
    <row r="60" spans="2:26" ht="152.4" customHeight="1">
      <c r="B60" s="556">
        <f t="shared" si="10"/>
        <v>23</v>
      </c>
      <c r="C60" s="557" t="str">
        <f>+'Rango indicadores'!D24</f>
        <v>05-RI-04</v>
      </c>
      <c r="D60" s="557" t="str">
        <f>+'Rango indicadores'!E24</f>
        <v>Personas asistidas en Mecanismos Alternativos de Solución de Conflictos</v>
      </c>
      <c r="E60" s="571">
        <f>+'Rango indicadores'!Q24</f>
        <v>6810</v>
      </c>
      <c r="F60" s="571">
        <f>+'1.Informe Seguimiento POA 2021'!S16</f>
        <v>1210</v>
      </c>
      <c r="G60" s="571">
        <f>+'1.Informe Seguimiento POA 2021'!O16+'1.Informe Seguimiento POA 2021'!Q16+'1.Informe Seguimiento POA 2021'!S16</f>
        <v>6360</v>
      </c>
      <c r="H60" s="571">
        <f>+'1.Informe Seguimiento POA 2021'!T16</f>
        <v>2484</v>
      </c>
      <c r="I60" s="571">
        <f>+'1.Informe Seguimiento POA 2021'!P16+'1.Informe Seguimiento POA 2021'!R16+'1.Informe Seguimiento POA 2021'!T16</f>
        <v>5636</v>
      </c>
      <c r="J60" s="571">
        <f>+'1.Informe Seguimiento POA 2021'!X16</f>
        <v>5636</v>
      </c>
      <c r="K60" s="560">
        <f t="shared" si="9"/>
        <v>2.0528925619834713</v>
      </c>
      <c r="L60" s="560">
        <f t="shared" si="9"/>
        <v>0.88616352201257864</v>
      </c>
      <c r="M60" s="560">
        <f>+'1.Informe Seguimiento POA 2021'!Y16</f>
        <v>0.82760646108663727</v>
      </c>
      <c r="N60" s="564" t="str">
        <f>+'Rango indicadores'!H24</f>
        <v>Mayor A:</v>
      </c>
      <c r="O60" s="559">
        <f>+'Rango indicadores'!I24</f>
        <v>85</v>
      </c>
      <c r="P60" s="559" t="str">
        <f>+'Rango indicadores'!J24</f>
        <v>Desde (&gt;=):</v>
      </c>
      <c r="Q60" s="559">
        <f>+'Rango indicadores'!K24</f>
        <v>80</v>
      </c>
      <c r="R60" s="559" t="str">
        <f>+'Rango indicadores'!L24</f>
        <v>Hasta (&lt;=):</v>
      </c>
      <c r="S60" s="559">
        <f>+'Rango indicadores'!M24</f>
        <v>85</v>
      </c>
      <c r="T60" s="559" t="str">
        <f>+'Rango indicadores'!N24</f>
        <v>Menor A:</v>
      </c>
      <c r="U60" s="559">
        <f>+'Rango indicadores'!O24</f>
        <v>80</v>
      </c>
      <c r="V60" s="646" t="s">
        <v>1151</v>
      </c>
      <c r="W60" s="740"/>
      <c r="X60" s="740"/>
      <c r="Y60" s="740"/>
      <c r="Z60" s="572"/>
    </row>
    <row r="61" spans="2:26" ht="177.6" customHeight="1">
      <c r="B61" s="592">
        <f t="shared" si="10"/>
        <v>24</v>
      </c>
      <c r="C61" s="557" t="str">
        <f>+'Rango indicadores'!D25</f>
        <v>05-RI-05</v>
      </c>
      <c r="D61" s="557" t="str">
        <f>+'Rango indicadores'!E25</f>
        <v>Peticiones o requerimientos ciudadanos atendidos en garantía de derechos</v>
      </c>
      <c r="E61" s="571">
        <f>+'Rango indicadores'!Q25</f>
        <v>17807</v>
      </c>
      <c r="F61" s="571">
        <f>+'1.Informe Seguimiento POA 2021'!S17</f>
        <v>5182</v>
      </c>
      <c r="G61" s="571">
        <f>+'1.Informe Seguimiento POA 2021'!O17+'1.Informe Seguimiento POA 2021'!Q17+'1.Informe Seguimiento POA 2021'!S17</f>
        <v>13232</v>
      </c>
      <c r="H61" s="571">
        <f>+'1.Informe Seguimiento POA 2021'!T17</f>
        <v>3793</v>
      </c>
      <c r="I61" s="571">
        <f>+'1.Informe Seguimiento POA 2021'!P17+'1.Informe Seguimiento POA 2021'!R17+'1.Informe Seguimiento POA 2021'!T17</f>
        <v>11242</v>
      </c>
      <c r="J61" s="571">
        <f>+'1.Informe Seguimiento POA 2021'!X17</f>
        <v>11242</v>
      </c>
      <c r="K61" s="560">
        <f t="shared" si="9"/>
        <v>0.73195677344654575</v>
      </c>
      <c r="L61" s="560">
        <f t="shared" si="9"/>
        <v>0.84960701330108823</v>
      </c>
      <c r="M61" s="560">
        <f>+'1.Informe Seguimiento POA 2021'!Y17</f>
        <v>0.63132475992587189</v>
      </c>
      <c r="N61" s="564" t="str">
        <f>+'Rango indicadores'!H25</f>
        <v>Mayor A:</v>
      </c>
      <c r="O61" s="559">
        <f>+'Rango indicadores'!I25</f>
        <v>85</v>
      </c>
      <c r="P61" s="559" t="str">
        <f>+'Rango indicadores'!J25</f>
        <v>Desde (&gt;=):</v>
      </c>
      <c r="Q61" s="559">
        <f>+'Rango indicadores'!K25</f>
        <v>80</v>
      </c>
      <c r="R61" s="559" t="str">
        <f>+'Rango indicadores'!L25</f>
        <v>Hasta (&lt;=):</v>
      </c>
      <c r="S61" s="559">
        <f>+'Rango indicadores'!M25</f>
        <v>85</v>
      </c>
      <c r="T61" s="559" t="str">
        <f>+'Rango indicadores'!N25</f>
        <v>Menor A:</v>
      </c>
      <c r="U61" s="559">
        <f>+'Rango indicadores'!O25</f>
        <v>80</v>
      </c>
      <c r="V61" s="646" t="s">
        <v>1152</v>
      </c>
      <c r="W61" s="740"/>
      <c r="X61" s="740"/>
      <c r="Y61" s="740"/>
      <c r="Z61" s="572"/>
    </row>
    <row r="62" spans="2:26" ht="127.95" customHeight="1">
      <c r="B62" s="556">
        <f t="shared" si="10"/>
        <v>25</v>
      </c>
      <c r="C62" s="557" t="str">
        <f>+'Rango indicadores'!D26</f>
        <v>05-RI-06</v>
      </c>
      <c r="D62" s="557" t="str">
        <f>+'Rango indicadores'!E26</f>
        <v>Espacios de mejora y transferencia de conocimiento realizados</v>
      </c>
      <c r="E62" s="571">
        <f>+'Rango indicadores'!Q26</f>
        <v>20</v>
      </c>
      <c r="F62" s="571">
        <f>+'1.Informe Seguimiento POA 2021'!S18</f>
        <v>0</v>
      </c>
      <c r="G62" s="571">
        <f>+'1.Informe Seguimiento POA 2021'!O18+'1.Informe Seguimiento POA 2021'!Q18+'1.Informe Seguimiento POA 2021'!S18</f>
        <v>20</v>
      </c>
      <c r="H62" s="571">
        <f>+'1.Informe Seguimiento POA 2021'!T18</f>
        <v>6</v>
      </c>
      <c r="I62" s="571">
        <f>+'1.Informe Seguimiento POA 2021'!P18+'1.Informe Seguimiento POA 2021'!R18+'1.Informe Seguimiento POA 2021'!T18</f>
        <v>17</v>
      </c>
      <c r="J62" s="571">
        <f>+'1.Informe Seguimiento POA 2021'!X18</f>
        <v>17</v>
      </c>
      <c r="K62" s="560" t="str">
        <f t="shared" si="9"/>
        <v>No programado</v>
      </c>
      <c r="L62" s="560">
        <f t="shared" si="9"/>
        <v>0.85</v>
      </c>
      <c r="M62" s="560">
        <f>+'1.Informe Seguimiento POA 2021'!Y18</f>
        <v>0.85</v>
      </c>
      <c r="N62" s="564" t="str">
        <f>+'Rango indicadores'!H26</f>
        <v>Mayor A:</v>
      </c>
      <c r="O62" s="559">
        <f>+'Rango indicadores'!I26</f>
        <v>85</v>
      </c>
      <c r="P62" s="559" t="str">
        <f>+'Rango indicadores'!J26</f>
        <v>Desde (&gt;=):</v>
      </c>
      <c r="Q62" s="559">
        <f>+'Rango indicadores'!K26</f>
        <v>80</v>
      </c>
      <c r="R62" s="559" t="str">
        <f>+'Rango indicadores'!L26</f>
        <v>Hasta (&lt;=):</v>
      </c>
      <c r="S62" s="559">
        <f>+'Rango indicadores'!M26</f>
        <v>85</v>
      </c>
      <c r="T62" s="559" t="str">
        <f>+'Rango indicadores'!N26</f>
        <v>Menor A:</v>
      </c>
      <c r="U62" s="559">
        <f>+'Rango indicadores'!O26</f>
        <v>80</v>
      </c>
      <c r="V62" s="646" t="s">
        <v>1153</v>
      </c>
      <c r="W62" s="740"/>
      <c r="X62" s="740"/>
      <c r="Y62" s="740"/>
      <c r="Z62" s="572"/>
    </row>
    <row r="63" spans="2:26" ht="122.4" customHeight="1">
      <c r="B63" s="556">
        <f t="shared" si="10"/>
        <v>26</v>
      </c>
      <c r="C63" s="557" t="str">
        <f>+'Rango indicadores'!D27</f>
        <v>05-RI-07</v>
      </c>
      <c r="D63" s="557" t="str">
        <f>+'Rango indicadores'!E27</f>
        <v>Porcentaje de Acciones de Tutela, Desacatos e Impugnaciones Entregadas en un Termino Menor a Cinco (5) Días Hábiles</v>
      </c>
      <c r="E63" s="571" t="str">
        <f>+'Rango indicadores'!Q27</f>
        <v>&gt;=95%</v>
      </c>
      <c r="F63" s="647">
        <f>'1.Informe Seguimiento POA 2021'!S19</f>
        <v>0.94999999999999984</v>
      </c>
      <c r="G63" s="647">
        <f>IFERROR(AVERAGE('1.Informe Seguimiento POA 2021'!O19,'1.Informe Seguimiento POA 2021'!Q19,'1.Informe Seguimiento POA 2021'!S19),0)</f>
        <v>0.94999999999999984</v>
      </c>
      <c r="H63" s="647">
        <f>+'1.Informe Seguimiento POA 2021'!T19</f>
        <v>0.999</v>
      </c>
      <c r="I63" s="647">
        <f>IFERROR(AVERAGE('1.Informe Seguimiento POA 2021'!P19,'1.Informe Seguimiento POA 2021'!R19,'1.Informe Seguimiento POA 2021'!T19),0)</f>
        <v>0.99577777777777776</v>
      </c>
      <c r="J63" s="647">
        <f>+'1.Informe Seguimiento POA 2021'!X19</f>
        <v>0.995</v>
      </c>
      <c r="K63" s="560">
        <f t="shared" si="9"/>
        <v>1.0515789473684212</v>
      </c>
      <c r="L63" s="560">
        <f>(IF(AND(G63&gt;0),I63/G63,"No programado"))</f>
        <v>1.0481871345029241</v>
      </c>
      <c r="M63" s="560">
        <f>+'1.Informe Seguimiento POA 2021'!Y19</f>
        <v>0.78552631578947385</v>
      </c>
      <c r="N63" s="564" t="str">
        <f>+'Rango indicadores'!H27</f>
        <v>Mayor o igual A:</v>
      </c>
      <c r="O63" s="559">
        <f>+'Rango indicadores'!I27</f>
        <v>95</v>
      </c>
      <c r="P63" s="559" t="str">
        <f>+'Rango indicadores'!J27</f>
        <v>Desde (&gt;):</v>
      </c>
      <c r="Q63" s="559">
        <f>+'Rango indicadores'!K27</f>
        <v>90</v>
      </c>
      <c r="R63" s="559" t="str">
        <f>+'Rango indicadores'!L27</f>
        <v>Hasta (&lt;):</v>
      </c>
      <c r="S63" s="559">
        <f>+'Rango indicadores'!M27</f>
        <v>95</v>
      </c>
      <c r="T63" s="559" t="str">
        <f>+'Rango indicadores'!N27</f>
        <v>Menor o Igual A:</v>
      </c>
      <c r="U63" s="559">
        <f>+'Rango indicadores'!O27</f>
        <v>90</v>
      </c>
      <c r="V63" s="646" t="s">
        <v>1154</v>
      </c>
      <c r="W63" s="1022"/>
      <c r="X63" s="1023"/>
      <c r="Y63" s="740"/>
      <c r="Z63" s="572"/>
    </row>
    <row r="64" spans="2:26" ht="132.6" customHeight="1">
      <c r="B64" s="556">
        <f t="shared" ref="B64:B77" si="11">+B63+1</f>
        <v>27</v>
      </c>
      <c r="C64" s="557" t="str">
        <f>+'Rango indicadores'!D28</f>
        <v>05-RI-08</v>
      </c>
      <c r="D64" s="557" t="str">
        <f>+'Rango indicadores'!E28</f>
        <v>Audiencias Publicas Realizadas con Asistencia del Ministerio Público</v>
      </c>
      <c r="E64" s="571">
        <f>+'Rango indicadores'!Q28</f>
        <v>5000</v>
      </c>
      <c r="F64" s="571">
        <f>+'1.Informe Seguimiento POA 2021'!S20</f>
        <v>1380</v>
      </c>
      <c r="G64" s="571">
        <f>+'1.Informe Seguimiento POA 2021'!O20+'1.Informe Seguimiento POA 2021'!Q20+'1.Informe Seguimiento POA 2021'!S20</f>
        <v>3780</v>
      </c>
      <c r="H64" s="571">
        <f>+'1.Informe Seguimiento POA 2021'!T20</f>
        <v>1748</v>
      </c>
      <c r="I64" s="571">
        <f>+'1.Informe Seguimiento POA 2021'!P20+'1.Informe Seguimiento POA 2021'!R20+'1.Informe Seguimiento POA 2021'!T20</f>
        <v>4571</v>
      </c>
      <c r="J64" s="571">
        <f>+'1.Informe Seguimiento POA 2021'!X20</f>
        <v>4571</v>
      </c>
      <c r="K64" s="560">
        <f t="shared" si="9"/>
        <v>1.2666666666666666</v>
      </c>
      <c r="L64" s="560">
        <f t="shared" si="9"/>
        <v>1.2092592592592593</v>
      </c>
      <c r="M64" s="560">
        <f>+'1.Informe Seguimiento POA 2021'!Y20</f>
        <v>0.91420000000000001</v>
      </c>
      <c r="N64" s="564" t="str">
        <f>+'Rango indicadores'!H28</f>
        <v>Mayor o igual A:</v>
      </c>
      <c r="O64" s="559">
        <f>+'Rango indicadores'!I28</f>
        <v>95</v>
      </c>
      <c r="P64" s="559" t="str">
        <f>+'Rango indicadores'!J28</f>
        <v>Desde (&gt;):</v>
      </c>
      <c r="Q64" s="559">
        <f>+'Rango indicadores'!K28</f>
        <v>90</v>
      </c>
      <c r="R64" s="559" t="str">
        <f>+'Rango indicadores'!L28</f>
        <v>Hasta (&lt;):</v>
      </c>
      <c r="S64" s="559">
        <f>+'Rango indicadores'!M28</f>
        <v>95</v>
      </c>
      <c r="T64" s="559" t="str">
        <f>+'Rango indicadores'!N28</f>
        <v>Menor o Igual A:</v>
      </c>
      <c r="U64" s="559">
        <f>+'Rango indicadores'!O28</f>
        <v>90</v>
      </c>
      <c r="V64" s="646" t="s">
        <v>1155</v>
      </c>
      <c r="W64" s="740"/>
      <c r="X64" s="740"/>
      <c r="Y64" s="740"/>
    </row>
    <row r="65" spans="2:26" ht="124.2" customHeight="1">
      <c r="B65" s="556">
        <f t="shared" si="11"/>
        <v>28</v>
      </c>
      <c r="C65" s="557" t="str">
        <f>+'Rango indicadores'!D29</f>
        <v>05-RI-09</v>
      </c>
      <c r="D65" s="557" t="str">
        <f>+'Rango indicadores'!E29</f>
        <v>Intervenciones realizadas oportunamente para evitar la caducidad y perdida de fuerza ejecutoria (Impulsos procesales)</v>
      </c>
      <c r="E65" s="571">
        <f>+'Rango indicadores'!Q29</f>
        <v>3000</v>
      </c>
      <c r="F65" s="571">
        <f>+'1.Informe Seguimiento POA 2021'!S21</f>
        <v>810</v>
      </c>
      <c r="G65" s="571">
        <f>+'1.Informe Seguimiento POA 2021'!O21+'1.Informe Seguimiento POA 2021'!Q21+'1.Informe Seguimiento POA 2021'!S21</f>
        <v>2260</v>
      </c>
      <c r="H65" s="571">
        <f>+'1.Informe Seguimiento POA 2021'!T21</f>
        <v>1087</v>
      </c>
      <c r="I65" s="571">
        <f>+'1.Informe Seguimiento POA 2021'!P21+'1.Informe Seguimiento POA 2021'!R21+'1.Informe Seguimiento POA 2021'!T21</f>
        <v>2935</v>
      </c>
      <c r="J65" s="571">
        <f>+'1.Informe Seguimiento POA 2021'!X21</f>
        <v>2935</v>
      </c>
      <c r="K65" s="560">
        <f t="shared" si="9"/>
        <v>1.3419753086419752</v>
      </c>
      <c r="L65" s="560">
        <f t="shared" si="9"/>
        <v>1.2986725663716814</v>
      </c>
      <c r="M65" s="560">
        <f>+'1.Informe Seguimiento POA 2021'!Y21</f>
        <v>0.97833333333333339</v>
      </c>
      <c r="N65" s="564" t="str">
        <f>+'Rango indicadores'!H29</f>
        <v>Mayor o igual A:</v>
      </c>
      <c r="O65" s="559">
        <f>+'Rango indicadores'!I29</f>
        <v>95</v>
      </c>
      <c r="P65" s="559" t="str">
        <f>+'Rango indicadores'!J29</f>
        <v>Desde (&gt;):</v>
      </c>
      <c r="Q65" s="559">
        <f>+'Rango indicadores'!K29</f>
        <v>90</v>
      </c>
      <c r="R65" s="559" t="str">
        <f>+'Rango indicadores'!L29</f>
        <v>Hasta (&lt;):</v>
      </c>
      <c r="S65" s="559">
        <f>+'Rango indicadores'!M29</f>
        <v>95</v>
      </c>
      <c r="T65" s="559" t="str">
        <f>+'Rango indicadores'!N29</f>
        <v>Menor o Igual A:</v>
      </c>
      <c r="U65" s="559">
        <f>+'Rango indicadores'!O29</f>
        <v>90</v>
      </c>
      <c r="V65" s="646" t="s">
        <v>1156</v>
      </c>
      <c r="W65" s="740"/>
      <c r="X65" s="740"/>
      <c r="Y65" s="740"/>
    </row>
    <row r="66" spans="2:26" ht="153" customHeight="1">
      <c r="B66" s="556">
        <f t="shared" si="11"/>
        <v>29</v>
      </c>
      <c r="C66" s="557" t="str">
        <f>+'Rango indicadores'!D30</f>
        <v>05-RI-10</v>
      </c>
      <c r="D66" s="557" t="str">
        <f>+'Rango indicadores'!E30</f>
        <v>Expedientes con impulso procesal para la gestión de multas</v>
      </c>
      <c r="E66" s="571">
        <f>+'Rango indicadores'!Q30</f>
        <v>700</v>
      </c>
      <c r="F66" s="571">
        <f>+'1.Informe Seguimiento POA 2021'!S22</f>
        <v>195</v>
      </c>
      <c r="G66" s="571">
        <f>+'1.Informe Seguimiento POA 2021'!O22+'1.Informe Seguimiento POA 2021'!Q22+'1.Informe Seguimiento POA 2021'!S22</f>
        <v>530</v>
      </c>
      <c r="H66" s="571">
        <f>+'1.Informe Seguimiento POA 2021'!T22</f>
        <v>110</v>
      </c>
      <c r="I66" s="571">
        <f>+'1.Informe Seguimiento POA 2021'!P22+'1.Informe Seguimiento POA 2021'!R22+'1.Informe Seguimiento POA 2021'!T22</f>
        <v>819</v>
      </c>
      <c r="J66" s="571">
        <f>+'1.Informe Seguimiento POA 2021'!X22</f>
        <v>819</v>
      </c>
      <c r="K66" s="560">
        <f t="shared" si="9"/>
        <v>0.5641025641025641</v>
      </c>
      <c r="L66" s="560">
        <f t="shared" si="9"/>
        <v>1.5452830188679245</v>
      </c>
      <c r="M66" s="560">
        <f>+'1.Informe Seguimiento POA 2021'!Y22</f>
        <v>1.17</v>
      </c>
      <c r="N66" s="564" t="str">
        <f>+'Rango indicadores'!H30</f>
        <v>Mayor o igual A:</v>
      </c>
      <c r="O66" s="559">
        <f>+'Rango indicadores'!I30</f>
        <v>95</v>
      </c>
      <c r="P66" s="559" t="str">
        <f>+'Rango indicadores'!J30</f>
        <v>Desde (&gt;):</v>
      </c>
      <c r="Q66" s="559">
        <f>+'Rango indicadores'!K30</f>
        <v>90</v>
      </c>
      <c r="R66" s="559" t="str">
        <f>+'Rango indicadores'!L30</f>
        <v>Hasta (&lt;):</v>
      </c>
      <c r="S66" s="559">
        <f>+'Rango indicadores'!M30</f>
        <v>95</v>
      </c>
      <c r="T66" s="559" t="str">
        <f>+'Rango indicadores'!N30</f>
        <v>Menor o Igual A:</v>
      </c>
      <c r="U66" s="559">
        <f>+'Rango indicadores'!O30</f>
        <v>90</v>
      </c>
      <c r="V66" s="646" t="s">
        <v>1157</v>
      </c>
      <c r="W66" s="740"/>
      <c r="X66" s="740"/>
      <c r="Y66" s="740"/>
    </row>
    <row r="67" spans="2:26" ht="26.4">
      <c r="B67" s="556">
        <f t="shared" si="11"/>
        <v>30</v>
      </c>
      <c r="C67" s="557" t="str">
        <f>+'Rango indicadores'!D31</f>
        <v>05-RI-11</v>
      </c>
      <c r="D67" s="557" t="str">
        <f>+'Rango indicadores'!E31</f>
        <v>Estados de vulneración establecidos</v>
      </c>
      <c r="E67" s="571">
        <f>+'Rango indicadores'!Q31</f>
        <v>0</v>
      </c>
      <c r="F67" s="571">
        <f>+'1.Informe Seguimiento POA 2021'!S23</f>
        <v>0</v>
      </c>
      <c r="G67" s="571">
        <f>+'1.Informe Seguimiento POA 2021'!O23+'1.Informe Seguimiento POA 2021'!Q23+'1.Informe Seguimiento POA 2021'!S23</f>
        <v>0</v>
      </c>
      <c r="H67" s="571">
        <f>+'1.Informe Seguimiento POA 2021'!T23</f>
        <v>0</v>
      </c>
      <c r="I67" s="571">
        <f>+'1.Informe Seguimiento POA 2021'!P23+'1.Informe Seguimiento POA 2021'!R23+'1.Informe Seguimiento POA 2021'!T23</f>
        <v>0</v>
      </c>
      <c r="J67" s="571">
        <f>+'1.Informe Seguimiento POA 2021'!X23</f>
        <v>0</v>
      </c>
      <c r="K67" s="573" t="str">
        <f t="shared" si="9"/>
        <v>No programado</v>
      </c>
      <c r="L67" s="573" t="str">
        <f t="shared" si="9"/>
        <v>No programado</v>
      </c>
      <c r="M67" s="573" t="str">
        <f>+'1.Informe Seguimiento POA 2021'!Y23</f>
        <v>No programado</v>
      </c>
      <c r="N67" s="564" t="str">
        <f>+'Rango indicadores'!H31</f>
        <v>Mayor o igual A:</v>
      </c>
      <c r="O67" s="559">
        <f>+'Rango indicadores'!I31</f>
        <v>95</v>
      </c>
      <c r="P67" s="559" t="str">
        <f>+'Rango indicadores'!J31</f>
        <v>Desde (&gt;):</v>
      </c>
      <c r="Q67" s="559">
        <f>+'Rango indicadores'!K31</f>
        <v>90</v>
      </c>
      <c r="R67" s="559" t="str">
        <f>+'Rango indicadores'!L31</f>
        <v>Hasta (&lt;):</v>
      </c>
      <c r="S67" s="559">
        <f>+'Rango indicadores'!M31</f>
        <v>95</v>
      </c>
      <c r="T67" s="559" t="str">
        <f>+'Rango indicadores'!N31</f>
        <v>Menor o Igual A:</v>
      </c>
      <c r="U67" s="559">
        <f>+'Rango indicadores'!O31</f>
        <v>90</v>
      </c>
      <c r="V67" s="653" t="s">
        <v>1000</v>
      </c>
      <c r="W67" s="740"/>
      <c r="X67" s="740"/>
      <c r="Y67" s="740"/>
      <c r="Z67" s="572"/>
    </row>
    <row r="68" spans="2:26" ht="216.6" customHeight="1">
      <c r="B68" s="556">
        <f t="shared" si="11"/>
        <v>31</v>
      </c>
      <c r="C68" s="557" t="str">
        <f>+'Rango indicadores'!D32</f>
        <v>05-RI-12</v>
      </c>
      <c r="D68" s="557" t="str">
        <f>+'Rango indicadores'!E32</f>
        <v>Personas sensibilizadas en el Distrito Capital</v>
      </c>
      <c r="E68" s="571">
        <f>+'Rango indicadores'!Q32</f>
        <v>62360</v>
      </c>
      <c r="F68" s="571">
        <f>+'1.Informe Seguimiento POA 2021'!S24</f>
        <v>21720</v>
      </c>
      <c r="G68" s="571">
        <f>+'1.Informe Seguimiento POA 2021'!O24+'1.Informe Seguimiento POA 2021'!Q24+'1.Informe Seguimiento POA 2021'!S24</f>
        <v>42950</v>
      </c>
      <c r="H68" s="571">
        <f>+'1.Informe Seguimiento POA 2021'!T24</f>
        <v>17775</v>
      </c>
      <c r="I68" s="571">
        <f>+'1.Informe Seguimiento POA 2021'!P24+'1.Informe Seguimiento POA 2021'!R24+'1.Informe Seguimiento POA 2021'!T24</f>
        <v>69006</v>
      </c>
      <c r="J68" s="571">
        <f>+'1.Informe Seguimiento POA 2021'!X24</f>
        <v>69006</v>
      </c>
      <c r="K68" s="560">
        <f t="shared" si="9"/>
        <v>0.8183701657458563</v>
      </c>
      <c r="L68" s="560">
        <f t="shared" si="9"/>
        <v>1.6066589057043072</v>
      </c>
      <c r="M68" s="560">
        <f>+'1.Informe Seguimiento POA 2021'!Y24</f>
        <v>1.1065747273893523</v>
      </c>
      <c r="N68" s="564" t="str">
        <f>+'Rango indicadores'!H32</f>
        <v>Mayor A:</v>
      </c>
      <c r="O68" s="559">
        <f>+'Rango indicadores'!I32</f>
        <v>85</v>
      </c>
      <c r="P68" s="559" t="str">
        <f>+'Rango indicadores'!J32</f>
        <v>Desde (&gt;=):</v>
      </c>
      <c r="Q68" s="559">
        <f>+'Rango indicadores'!K32</f>
        <v>80</v>
      </c>
      <c r="R68" s="559" t="str">
        <f>+'Rango indicadores'!L32</f>
        <v>Hasta (&lt;=):</v>
      </c>
      <c r="S68" s="559">
        <f>+'Rango indicadores'!M32</f>
        <v>85</v>
      </c>
      <c r="T68" s="559" t="str">
        <f>+'Rango indicadores'!N32</f>
        <v>Menor A:</v>
      </c>
      <c r="U68" s="559">
        <f>+'Rango indicadores'!O32</f>
        <v>80</v>
      </c>
      <c r="V68" s="646" t="s">
        <v>1158</v>
      </c>
      <c r="W68" s="740"/>
      <c r="X68" s="740"/>
      <c r="Y68" s="740"/>
      <c r="Z68" s="572"/>
    </row>
    <row r="69" spans="2:26" ht="159" customHeight="1">
      <c r="B69" s="556">
        <f t="shared" si="11"/>
        <v>32</v>
      </c>
      <c r="C69" s="557" t="str">
        <f>+'Rango indicadores'!D33</f>
        <v>05-RI-13</v>
      </c>
      <c r="D69" s="557" t="str">
        <f>+'Rango indicadores'!E33</f>
        <v>Acciones en favor de las víctimas del conflicto armado interno adelantadas</v>
      </c>
      <c r="E69" s="571">
        <f>+'Rango indicadores'!Q33</f>
        <v>4080</v>
      </c>
      <c r="F69" s="571">
        <f>+'1.Informe Seguimiento POA 2021'!S25</f>
        <v>684</v>
      </c>
      <c r="G69" s="571">
        <f>+'1.Informe Seguimiento POA 2021'!O25+'1.Informe Seguimiento POA 2021'!Q25+'1.Informe Seguimiento POA 2021'!S25</f>
        <v>4032</v>
      </c>
      <c r="H69" s="571">
        <f>+'1.Informe Seguimiento POA 2021'!T25</f>
        <v>2806</v>
      </c>
      <c r="I69" s="571">
        <f>+'1.Informe Seguimiento POA 2021'!P25+'1.Informe Seguimiento POA 2021'!R25+'1.Informe Seguimiento POA 2021'!T25</f>
        <v>5704</v>
      </c>
      <c r="J69" s="571">
        <f>+'1.Informe Seguimiento POA 2021'!X25</f>
        <v>5704</v>
      </c>
      <c r="K69" s="560">
        <f t="shared" si="9"/>
        <v>4.10233918128655</v>
      </c>
      <c r="L69" s="560">
        <f t="shared" si="9"/>
        <v>1.4146825396825398</v>
      </c>
      <c r="M69" s="560">
        <f>+'1.Informe Seguimiento POA 2021'!Y25</f>
        <v>1.3980392156862744</v>
      </c>
      <c r="N69" s="564" t="str">
        <f>+'Rango indicadores'!H33</f>
        <v>Mayor A:</v>
      </c>
      <c r="O69" s="559">
        <f>+'Rango indicadores'!I33</f>
        <v>85</v>
      </c>
      <c r="P69" s="559" t="str">
        <f>+'Rango indicadores'!J33</f>
        <v>Desde (&gt;=):</v>
      </c>
      <c r="Q69" s="559">
        <f>+'Rango indicadores'!K33</f>
        <v>80</v>
      </c>
      <c r="R69" s="559" t="str">
        <f>+'Rango indicadores'!L33</f>
        <v>Hasta (&lt;=):</v>
      </c>
      <c r="S69" s="559">
        <f>+'Rango indicadores'!M33</f>
        <v>85</v>
      </c>
      <c r="T69" s="559" t="str">
        <f>+'Rango indicadores'!N33</f>
        <v>Menor A:</v>
      </c>
      <c r="U69" s="559">
        <f>+'Rango indicadores'!O33</f>
        <v>80</v>
      </c>
      <c r="V69" s="646" t="s">
        <v>1159</v>
      </c>
      <c r="W69" s="740"/>
      <c r="X69" s="740"/>
      <c r="Y69" s="740"/>
      <c r="Z69" s="572"/>
    </row>
    <row r="70" spans="2:26" ht="153.6" customHeight="1">
      <c r="B70" s="556">
        <f t="shared" si="11"/>
        <v>33</v>
      </c>
      <c r="C70" s="557" t="str">
        <f>+'Rango indicadores'!D34</f>
        <v>05-RI-14</v>
      </c>
      <c r="D70" s="557" t="str">
        <f>+'Rango indicadores'!E34</f>
        <v>Acciones constitucionales elaboradas para prevenir vulneración de derechos</v>
      </c>
      <c r="E70" s="571">
        <f>+'Rango indicadores'!Q34</f>
        <v>4790</v>
      </c>
      <c r="F70" s="571">
        <f>+'1.Informe Seguimiento POA 2021'!S26</f>
        <v>1070</v>
      </c>
      <c r="G70" s="571">
        <f>+'1.Informe Seguimiento POA 2021'!O26+'1.Informe Seguimiento POA 2021'!Q26+'1.Informe Seguimiento POA 2021'!S26</f>
        <v>4070</v>
      </c>
      <c r="H70" s="571">
        <f>+'1.Informe Seguimiento POA 2021'!T26</f>
        <v>1356</v>
      </c>
      <c r="I70" s="571">
        <f>+'1.Informe Seguimiento POA 2021'!P26+'1.Informe Seguimiento POA 2021'!R26+'1.Informe Seguimiento POA 2021'!T26</f>
        <v>3712</v>
      </c>
      <c r="J70" s="571">
        <f>+'1.Informe Seguimiento POA 2021'!X26</f>
        <v>3712</v>
      </c>
      <c r="K70" s="560">
        <f t="shared" si="9"/>
        <v>1.2672897196261683</v>
      </c>
      <c r="L70" s="560">
        <f t="shared" si="9"/>
        <v>0.91203931203931199</v>
      </c>
      <c r="M70" s="560">
        <f>+'1.Informe Seguimiento POA 2021'!Y26</f>
        <v>0.77494780793319418</v>
      </c>
      <c r="N70" s="564" t="str">
        <f>+'Rango indicadores'!H34</f>
        <v>Mayor A:</v>
      </c>
      <c r="O70" s="559">
        <f>+'Rango indicadores'!I34</f>
        <v>85</v>
      </c>
      <c r="P70" s="559" t="str">
        <f>+'Rango indicadores'!J34</f>
        <v>Desde (&gt;=):</v>
      </c>
      <c r="Q70" s="559">
        <f>+'Rango indicadores'!K34</f>
        <v>80</v>
      </c>
      <c r="R70" s="559" t="str">
        <f>+'Rango indicadores'!L34</f>
        <v>Hasta (&lt;=):</v>
      </c>
      <c r="S70" s="559">
        <f>+'Rango indicadores'!M34</f>
        <v>85</v>
      </c>
      <c r="T70" s="559" t="str">
        <f>+'Rango indicadores'!N34</f>
        <v>Menor A:</v>
      </c>
      <c r="U70" s="559">
        <f>+'Rango indicadores'!O34</f>
        <v>80</v>
      </c>
      <c r="V70" s="646" t="s">
        <v>1160</v>
      </c>
      <c r="W70" s="740"/>
      <c r="X70" s="740"/>
      <c r="Y70" s="740"/>
      <c r="Z70" s="572"/>
    </row>
    <row r="71" spans="2:26" ht="132">
      <c r="B71" s="556">
        <f t="shared" si="11"/>
        <v>34</v>
      </c>
      <c r="C71" s="557" t="str">
        <f>+'Rango indicadores'!D35</f>
        <v>05-RI-15</v>
      </c>
      <c r="D71" s="557" t="str">
        <f>+'Rango indicadores'!E35</f>
        <v>Seguimientos realizados por el Ministerio Público a las medidas de protección impuestas por las Comisarias de Familia</v>
      </c>
      <c r="E71" s="571">
        <f>+'Rango indicadores'!Q35</f>
        <v>940</v>
      </c>
      <c r="F71" s="571">
        <f>+'1.Informe Seguimiento POA 2021'!S27</f>
        <v>290</v>
      </c>
      <c r="G71" s="571">
        <f>+'1.Informe Seguimiento POA 2021'!O27+'1.Informe Seguimiento POA 2021'!Q27+'1.Informe Seguimiento POA 2021'!S27</f>
        <v>780</v>
      </c>
      <c r="H71" s="571">
        <f>+'1.Informe Seguimiento POA 2021'!T27</f>
        <v>244</v>
      </c>
      <c r="I71" s="571">
        <f>+'1.Informe Seguimiento POA 2021'!P27+'1.Informe Seguimiento POA 2021'!R27+'1.Informe Seguimiento POA 2021'!T27</f>
        <v>732</v>
      </c>
      <c r="J71" s="571">
        <f>+'1.Informe Seguimiento POA 2021'!X27</f>
        <v>732</v>
      </c>
      <c r="K71" s="560">
        <f t="shared" si="9"/>
        <v>0.8413793103448276</v>
      </c>
      <c r="L71" s="560">
        <f t="shared" si="9"/>
        <v>0.93846153846153846</v>
      </c>
      <c r="M71" s="560">
        <f>+'1.Informe Seguimiento POA 2021'!Y27</f>
        <v>0.77872340425531916</v>
      </c>
      <c r="N71" s="564" t="str">
        <f>+'Rango indicadores'!H35</f>
        <v>Mayor A:</v>
      </c>
      <c r="O71" s="559">
        <f>+'Rango indicadores'!I35</f>
        <v>85</v>
      </c>
      <c r="P71" s="559" t="str">
        <f>+'Rango indicadores'!J35</f>
        <v>Desde (&gt;=):</v>
      </c>
      <c r="Q71" s="559">
        <f>+'Rango indicadores'!K35</f>
        <v>80</v>
      </c>
      <c r="R71" s="559" t="str">
        <f>+'Rango indicadores'!L35</f>
        <v>Hasta (&lt;=):</v>
      </c>
      <c r="S71" s="559">
        <f>+'Rango indicadores'!M35</f>
        <v>85</v>
      </c>
      <c r="T71" s="559" t="str">
        <f>+'Rango indicadores'!N35</f>
        <v>Menor A:</v>
      </c>
      <c r="U71" s="559">
        <f>+'Rango indicadores'!O35</f>
        <v>80</v>
      </c>
      <c r="V71" s="646" t="s">
        <v>1161</v>
      </c>
      <c r="W71" s="740"/>
      <c r="X71" s="740"/>
      <c r="Y71" s="740"/>
      <c r="Z71" s="572"/>
    </row>
    <row r="72" spans="2:26" ht="208.95" customHeight="1">
      <c r="B72" s="556">
        <f t="shared" si="11"/>
        <v>35</v>
      </c>
      <c r="C72" s="557" t="str">
        <f>+'Rango indicadores'!D36</f>
        <v>05-RI-16</v>
      </c>
      <c r="D72" s="557" t="str">
        <f>+'Rango indicadores'!E36</f>
        <v>Espacios Interinstitucionales con participación</v>
      </c>
      <c r="E72" s="571">
        <f>+'Rango indicadores'!Q36</f>
        <v>1402</v>
      </c>
      <c r="F72" s="571">
        <f>+'1.Informe Seguimiento POA 2021'!S28</f>
        <v>451</v>
      </c>
      <c r="G72" s="571">
        <f>+'1.Informe Seguimiento POA 2021'!O28+'1.Informe Seguimiento POA 2021'!Q28+'1.Informe Seguimiento POA 2021'!S28</f>
        <v>974</v>
      </c>
      <c r="H72" s="571">
        <f>+'1.Informe Seguimiento POA 2021'!T28</f>
        <v>856</v>
      </c>
      <c r="I72" s="571">
        <f>+'1.Informe Seguimiento POA 2021'!P28+'1.Informe Seguimiento POA 2021'!R28+'1.Informe Seguimiento POA 2021'!T28</f>
        <v>2220</v>
      </c>
      <c r="J72" s="571">
        <f>+'1.Informe Seguimiento POA 2021'!X28</f>
        <v>2220</v>
      </c>
      <c r="K72" s="560">
        <f t="shared" si="9"/>
        <v>1.8980044345898004</v>
      </c>
      <c r="L72" s="560">
        <f t="shared" si="9"/>
        <v>2.2792607802874745</v>
      </c>
      <c r="M72" s="560">
        <f>+'1.Informe Seguimiento POA 2021'!Y28</f>
        <v>1.5834522111269616</v>
      </c>
      <c r="N72" s="564" t="str">
        <f>+'Rango indicadores'!H36</f>
        <v>Mayor A:</v>
      </c>
      <c r="O72" s="559">
        <f>+'Rango indicadores'!I36</f>
        <v>85</v>
      </c>
      <c r="P72" s="559" t="str">
        <f>+'Rango indicadores'!J36</f>
        <v>Desde (&gt;=):</v>
      </c>
      <c r="Q72" s="559">
        <f>+'Rango indicadores'!K36</f>
        <v>80</v>
      </c>
      <c r="R72" s="559" t="str">
        <f>+'Rango indicadores'!L36</f>
        <v>Hasta (&lt;=):</v>
      </c>
      <c r="S72" s="559">
        <f>+'Rango indicadores'!M36</f>
        <v>85</v>
      </c>
      <c r="T72" s="559" t="str">
        <f>+'Rango indicadores'!N36</f>
        <v>Menor A:</v>
      </c>
      <c r="U72" s="559">
        <f>+'Rango indicadores'!O36</f>
        <v>80</v>
      </c>
      <c r="V72" s="646" t="s">
        <v>1162</v>
      </c>
      <c r="W72" s="740"/>
      <c r="X72" s="740"/>
      <c r="Y72" s="740"/>
      <c r="Z72" s="572"/>
    </row>
    <row r="73" spans="2:26" ht="155.4" customHeight="1">
      <c r="B73" s="556">
        <f t="shared" si="11"/>
        <v>36</v>
      </c>
      <c r="C73" s="557" t="str">
        <f>+'Rango indicadores'!D37</f>
        <v>05-RI-17</v>
      </c>
      <c r="D73" s="557" t="str">
        <f>+'Rango indicadores'!E37</f>
        <v>Seguimientos a la Amenaza y Vulneración de los Derechos Realizados</v>
      </c>
      <c r="E73" s="571">
        <f>+'Rango indicadores'!Q37</f>
        <v>228</v>
      </c>
      <c r="F73" s="571">
        <f>+'1.Informe Seguimiento POA 2021'!S29</f>
        <v>72</v>
      </c>
      <c r="G73" s="571">
        <f>+'1.Informe Seguimiento POA 2021'!O29+'1.Informe Seguimiento POA 2021'!Q29+'1.Informe Seguimiento POA 2021'!S29</f>
        <v>164</v>
      </c>
      <c r="H73" s="571">
        <f>+'1.Informe Seguimiento POA 2021'!T29</f>
        <v>87</v>
      </c>
      <c r="I73" s="571">
        <f>+'1.Informe Seguimiento POA 2021'!P29+'1.Informe Seguimiento POA 2021'!R29+'1.Informe Seguimiento POA 2021'!T29</f>
        <v>239</v>
      </c>
      <c r="J73" s="571">
        <f>+'1.Informe Seguimiento POA 2021'!X29</f>
        <v>239</v>
      </c>
      <c r="K73" s="560">
        <f t="shared" si="9"/>
        <v>1.2083333333333333</v>
      </c>
      <c r="L73" s="560">
        <f t="shared" si="9"/>
        <v>1.4573170731707317</v>
      </c>
      <c r="M73" s="560">
        <f>+'1.Informe Seguimiento POA 2021'!Y29</f>
        <v>1.0482456140350878</v>
      </c>
      <c r="N73" s="564" t="str">
        <f>+'Rango indicadores'!H37</f>
        <v>Mayor A:</v>
      </c>
      <c r="O73" s="559">
        <f>+'Rango indicadores'!I37</f>
        <v>85</v>
      </c>
      <c r="P73" s="559" t="str">
        <f>+'Rango indicadores'!J37</f>
        <v>Desde (&gt;=):</v>
      </c>
      <c r="Q73" s="559">
        <f>+'Rango indicadores'!K37</f>
        <v>80</v>
      </c>
      <c r="R73" s="559" t="str">
        <f>+'Rango indicadores'!L37</f>
        <v>Hasta (&lt;=):</v>
      </c>
      <c r="S73" s="559">
        <f>+'Rango indicadores'!M37</f>
        <v>85</v>
      </c>
      <c r="T73" s="559" t="str">
        <f>+'Rango indicadores'!N37</f>
        <v>Menor A:</v>
      </c>
      <c r="U73" s="559">
        <f>+'Rango indicadores'!O37</f>
        <v>80</v>
      </c>
      <c r="V73" s="646" t="s">
        <v>1165</v>
      </c>
      <c r="W73" s="740"/>
      <c r="X73" s="740"/>
      <c r="Y73" s="740"/>
      <c r="Z73" s="572"/>
    </row>
    <row r="74" spans="2:26" ht="106.2" customHeight="1">
      <c r="B74" s="556">
        <f t="shared" si="11"/>
        <v>37</v>
      </c>
      <c r="C74" s="557" t="str">
        <f>+'Rango indicadores'!D38</f>
        <v>05-RI-18</v>
      </c>
      <c r="D74" s="557" t="str">
        <f>+'Rango indicadores'!E38</f>
        <v>Actividades de acercamiento de la Entidad a la comunidad realizadas</v>
      </c>
      <c r="E74" s="571">
        <f>+'Rango indicadores'!Q38</f>
        <v>2</v>
      </c>
      <c r="F74" s="571">
        <f>+'1.Informe Seguimiento POA 2021'!S30</f>
        <v>2</v>
      </c>
      <c r="G74" s="571">
        <f>+'1.Informe Seguimiento POA 2021'!O30+'1.Informe Seguimiento POA 2021'!Q30+'1.Informe Seguimiento POA 2021'!S30</f>
        <v>2</v>
      </c>
      <c r="H74" s="571">
        <f>+'1.Informe Seguimiento POA 2021'!T30</f>
        <v>0.6</v>
      </c>
      <c r="I74" s="571">
        <f>+'1.Informe Seguimiento POA 2021'!P30+'1.Informe Seguimiento POA 2021'!R30+'1.Informe Seguimiento POA 2021'!T30</f>
        <v>0.7</v>
      </c>
      <c r="J74" s="571">
        <f>+'1.Informe Seguimiento POA 2021'!X30</f>
        <v>0.7</v>
      </c>
      <c r="K74" s="573">
        <f t="shared" ref="K74:K77" si="12">IF(AND(F74&gt;0),H74/F74,"No programado")</f>
        <v>0.3</v>
      </c>
      <c r="L74" s="573">
        <f t="shared" ref="L74:L77" si="13">IF(AND(G74&gt;0),I74/G74,"No programado")</f>
        <v>0.35</v>
      </c>
      <c r="M74" s="560">
        <f>+'1.Informe Seguimiento POA 2021'!Y30</f>
        <v>0.35</v>
      </c>
      <c r="N74" s="564" t="str">
        <f>+'Rango indicadores'!H38</f>
        <v>Mayor A:</v>
      </c>
      <c r="O74" s="559">
        <f>+'Rango indicadores'!I38</f>
        <v>85</v>
      </c>
      <c r="P74" s="559" t="str">
        <f>+'Rango indicadores'!J38</f>
        <v>Desde (&gt;=):</v>
      </c>
      <c r="Q74" s="559">
        <f>+'Rango indicadores'!K38</f>
        <v>80</v>
      </c>
      <c r="R74" s="559" t="str">
        <f>+'Rango indicadores'!L38</f>
        <v>Hasta (&lt;=):</v>
      </c>
      <c r="S74" s="559">
        <f>+'Rango indicadores'!M38</f>
        <v>85</v>
      </c>
      <c r="T74" s="559" t="str">
        <f>+'Rango indicadores'!N38</f>
        <v>Menor A:</v>
      </c>
      <c r="U74" s="559">
        <f>+'Rango indicadores'!O38</f>
        <v>80</v>
      </c>
      <c r="V74" s="653" t="s">
        <v>1208</v>
      </c>
      <c r="W74" s="740"/>
      <c r="X74" s="740"/>
      <c r="Y74" s="740"/>
      <c r="Z74" s="572"/>
    </row>
    <row r="75" spans="2:26" ht="106.2" customHeight="1">
      <c r="B75" s="556">
        <f t="shared" si="11"/>
        <v>38</v>
      </c>
      <c r="C75" s="557" t="str">
        <f>+'Rango indicadores'!D39</f>
        <v>05-RI-19</v>
      </c>
      <c r="D75" s="557" t="str">
        <f>+'Rango indicadores'!E39</f>
        <v>Acciones realizadas para incrementar la cobertura de los servicios</v>
      </c>
      <c r="E75" s="571">
        <f>+'Rango indicadores'!Q39</f>
        <v>3</v>
      </c>
      <c r="F75" s="571">
        <f>+'1.Informe Seguimiento POA 2021'!S31</f>
        <v>2</v>
      </c>
      <c r="G75" s="571">
        <f>+'1.Informe Seguimiento POA 2021'!O31+'1.Informe Seguimiento POA 2021'!Q31+'1.Informe Seguimiento POA 2021'!S31</f>
        <v>3</v>
      </c>
      <c r="H75" s="571">
        <f>+'1.Informe Seguimiento POA 2021'!T31</f>
        <v>1</v>
      </c>
      <c r="I75" s="571">
        <f>+'1.Informe Seguimiento POA 2021'!P31+'1.Informe Seguimiento POA 2021'!R31+'1.Informe Seguimiento POA 2021'!T31</f>
        <v>1</v>
      </c>
      <c r="J75" s="571">
        <f>+'1.Informe Seguimiento POA 2021'!X31</f>
        <v>1</v>
      </c>
      <c r="K75" s="573">
        <f t="shared" si="12"/>
        <v>0.5</v>
      </c>
      <c r="L75" s="573">
        <f t="shared" si="13"/>
        <v>0.33333333333333331</v>
      </c>
      <c r="M75" s="560">
        <f>+'1.Informe Seguimiento POA 2021'!Y31</f>
        <v>0.33333333333333331</v>
      </c>
      <c r="N75" s="564" t="str">
        <f>+'Rango indicadores'!H39</f>
        <v>Mayor A:</v>
      </c>
      <c r="O75" s="559">
        <f>+'Rango indicadores'!I39</f>
        <v>85</v>
      </c>
      <c r="P75" s="559" t="str">
        <f>+'Rango indicadores'!J39</f>
        <v>Desde (&gt;=):</v>
      </c>
      <c r="Q75" s="559">
        <f>+'Rango indicadores'!K39</f>
        <v>80</v>
      </c>
      <c r="R75" s="559" t="str">
        <f>+'Rango indicadores'!L39</f>
        <v>Hasta (&lt;=):</v>
      </c>
      <c r="S75" s="559">
        <f>+'Rango indicadores'!M39</f>
        <v>85</v>
      </c>
      <c r="T75" s="559" t="str">
        <f>+'Rango indicadores'!N39</f>
        <v>Menor A:</v>
      </c>
      <c r="U75" s="559">
        <f>+'Rango indicadores'!O39</f>
        <v>80</v>
      </c>
      <c r="V75" s="653" t="s">
        <v>1208</v>
      </c>
      <c r="W75" s="740"/>
      <c r="X75" s="740"/>
      <c r="Y75" s="740"/>
      <c r="Z75" s="572"/>
    </row>
    <row r="76" spans="2:26" ht="108" customHeight="1">
      <c r="B76" s="556">
        <f t="shared" si="11"/>
        <v>39</v>
      </c>
      <c r="C76" s="557" t="str">
        <f>+'Rango indicadores'!D40</f>
        <v>05-RI-20</v>
      </c>
      <c r="D76" s="557" t="str">
        <f>+'Rango indicadores'!E40</f>
        <v>Herramientas de promoción y prevención a infracciones del Derecho Internacional Humanitario implementadas</v>
      </c>
      <c r="E76" s="571">
        <f>+'Rango indicadores'!Q40</f>
        <v>1</v>
      </c>
      <c r="F76" s="571">
        <f>+'1.Informe Seguimiento POA 2021'!S32</f>
        <v>1</v>
      </c>
      <c r="G76" s="571">
        <f>+'1.Informe Seguimiento POA 2021'!O32+'1.Informe Seguimiento POA 2021'!Q32+'1.Informe Seguimiento POA 2021'!S32</f>
        <v>1</v>
      </c>
      <c r="H76" s="571">
        <f>+'1.Informe Seguimiento POA 2021'!T32</f>
        <v>0</v>
      </c>
      <c r="I76" s="571">
        <f>+'1.Informe Seguimiento POA 2021'!P32+'1.Informe Seguimiento POA 2021'!R32+'1.Informe Seguimiento POA 2021'!T32</f>
        <v>0</v>
      </c>
      <c r="J76" s="571">
        <f>+'1.Informe Seguimiento POA 2021'!X32</f>
        <v>0</v>
      </c>
      <c r="K76" s="573">
        <f t="shared" si="12"/>
        <v>0</v>
      </c>
      <c r="L76" s="573">
        <f t="shared" si="13"/>
        <v>0</v>
      </c>
      <c r="M76" s="560">
        <f>+'1.Informe Seguimiento POA 2021'!Y32</f>
        <v>0</v>
      </c>
      <c r="N76" s="564" t="str">
        <f>+'Rango indicadores'!H40</f>
        <v>Mayor A:</v>
      </c>
      <c r="O76" s="559">
        <f>+'Rango indicadores'!I40</f>
        <v>85</v>
      </c>
      <c r="P76" s="559" t="str">
        <f>+'Rango indicadores'!J40</f>
        <v>Desde (&gt;=):</v>
      </c>
      <c r="Q76" s="559">
        <f>+'Rango indicadores'!K40</f>
        <v>80</v>
      </c>
      <c r="R76" s="559" t="str">
        <f>+'Rango indicadores'!L40</f>
        <v>Hasta (&lt;=):</v>
      </c>
      <c r="S76" s="559">
        <f>+'Rango indicadores'!M40</f>
        <v>85</v>
      </c>
      <c r="T76" s="559" t="str">
        <f>+'Rango indicadores'!N40</f>
        <v>Menor A:</v>
      </c>
      <c r="U76" s="559">
        <f>+'Rango indicadores'!O40</f>
        <v>80</v>
      </c>
      <c r="V76" s="653" t="s">
        <v>1208</v>
      </c>
      <c r="W76" s="740"/>
      <c r="X76" s="740"/>
      <c r="Y76" s="740"/>
      <c r="Z76" s="572"/>
    </row>
    <row r="77" spans="2:26" ht="45">
      <c r="B77" s="556">
        <f t="shared" si="11"/>
        <v>40</v>
      </c>
      <c r="C77" s="557" t="str">
        <f>+'Rango indicadores'!D41</f>
        <v>05-RI-21</v>
      </c>
      <c r="D77" s="557" t="str">
        <f>+'Rango indicadores'!E41</f>
        <v>Coordinación interinstitucional realizada</v>
      </c>
      <c r="E77" s="571">
        <f>+'Rango indicadores'!Q41</f>
        <v>0</v>
      </c>
      <c r="F77" s="571">
        <f>+'1.Informe Seguimiento POA 2021'!S33</f>
        <v>0</v>
      </c>
      <c r="G77" s="571">
        <f>+'1.Informe Seguimiento POA 2021'!O33+'1.Informe Seguimiento POA 2021'!Q33+'1.Informe Seguimiento POA 2021'!S33</f>
        <v>0</v>
      </c>
      <c r="H77" s="571">
        <f>+'1.Informe Seguimiento POA 2021'!T33</f>
        <v>0</v>
      </c>
      <c r="I77" s="571">
        <f>+'1.Informe Seguimiento POA 2021'!P33+'1.Informe Seguimiento POA 2021'!R33+'1.Informe Seguimiento POA 2021'!T33</f>
        <v>0</v>
      </c>
      <c r="J77" s="571">
        <f>+'1.Informe Seguimiento POA 2021'!X33</f>
        <v>0</v>
      </c>
      <c r="K77" s="573" t="str">
        <f t="shared" si="12"/>
        <v>No programado</v>
      </c>
      <c r="L77" s="573" t="str">
        <f t="shared" si="13"/>
        <v>No programado</v>
      </c>
      <c r="M77" s="560" t="str">
        <f>+'1.Informe Seguimiento POA 2021'!Y33</f>
        <v>No programado</v>
      </c>
      <c r="N77" s="564" t="str">
        <f>+'Rango indicadores'!H41</f>
        <v>Mayor A:</v>
      </c>
      <c r="O77" s="559">
        <f>+'Rango indicadores'!I41</f>
        <v>85</v>
      </c>
      <c r="P77" s="559" t="str">
        <f>+'Rango indicadores'!J41</f>
        <v>Desde (&gt;=):</v>
      </c>
      <c r="Q77" s="559">
        <f>+'Rango indicadores'!K41</f>
        <v>80</v>
      </c>
      <c r="R77" s="559" t="str">
        <f>+'Rango indicadores'!L41</f>
        <v>Hasta (&lt;=):</v>
      </c>
      <c r="S77" s="559">
        <f>+'Rango indicadores'!M41</f>
        <v>85</v>
      </c>
      <c r="T77" s="559" t="str">
        <f>+'Rango indicadores'!N41</f>
        <v>Menor A:</v>
      </c>
      <c r="U77" s="559">
        <f>+'Rango indicadores'!O41</f>
        <v>80</v>
      </c>
      <c r="V77" s="653" t="s">
        <v>1163</v>
      </c>
      <c r="W77" s="740"/>
      <c r="X77" s="740"/>
      <c r="Y77" s="740"/>
      <c r="Z77" s="572"/>
    </row>
    <row r="78" spans="2:26" ht="15.6">
      <c r="C78" s="1421" t="s">
        <v>926</v>
      </c>
      <c r="D78" s="1422"/>
      <c r="E78" s="1422"/>
      <c r="F78" s="1422"/>
      <c r="G78" s="1422"/>
      <c r="H78" s="1422"/>
      <c r="I78" s="1422"/>
      <c r="J78" s="1423"/>
      <c r="K78" s="562">
        <f>IFERROR(AVERAGE(K57:K77),0)</f>
        <v>1.221992332224008</v>
      </c>
      <c r="L78" s="562">
        <f>IFERROR(AVERAGE(L57:L77),0)</f>
        <v>1.0578683655355026</v>
      </c>
      <c r="M78" s="562">
        <f>IFERROR(AVERAGE(M57:M77),0)</f>
        <v>0.84159172373554081</v>
      </c>
      <c r="N78" s="569"/>
      <c r="O78" s="569"/>
      <c r="P78" s="569"/>
      <c r="Q78" s="569"/>
      <c r="R78" s="569"/>
      <c r="S78" s="569"/>
      <c r="T78" s="569"/>
      <c r="U78" s="569"/>
      <c r="V78" s="654"/>
    </row>
    <row r="79" spans="2:26" s="552" customFormat="1">
      <c r="D79" s="554"/>
      <c r="V79" s="554"/>
    </row>
    <row r="80" spans="2:26" s="552" customFormat="1" ht="15.6">
      <c r="C80" s="555" t="s">
        <v>932</v>
      </c>
      <c r="D80" s="587"/>
      <c r="V80" s="554"/>
    </row>
    <row r="81" spans="2:26" ht="22.2" customHeight="1">
      <c r="C81" s="1402" t="str">
        <f>+$C$11</f>
        <v>Identifificación del Indicador</v>
      </c>
      <c r="D81" s="1401" t="s">
        <v>919</v>
      </c>
      <c r="E81" s="1405" t="s">
        <v>920</v>
      </c>
      <c r="F81" s="1406"/>
      <c r="G81" s="1407"/>
      <c r="H81" s="1402" t="s">
        <v>921</v>
      </c>
      <c r="I81" s="1408" t="str">
        <f>$I$9</f>
        <v>Ejecución Acumulada Corte
30/09/2021</v>
      </c>
      <c r="J81" s="1402" t="s">
        <v>922</v>
      </c>
      <c r="K81" s="1402" t="s">
        <v>915</v>
      </c>
      <c r="L81" s="1402"/>
      <c r="M81" s="1402"/>
      <c r="N81" s="1404" t="s">
        <v>766</v>
      </c>
      <c r="O81" s="1404"/>
      <c r="P81" s="1404"/>
      <c r="Q81" s="1404"/>
      <c r="R81" s="1404"/>
      <c r="S81" s="1404"/>
      <c r="T81" s="1404"/>
      <c r="U81" s="1404"/>
      <c r="V81" s="1402" t="s">
        <v>944</v>
      </c>
    </row>
    <row r="82" spans="2:26" ht="42" customHeight="1">
      <c r="C82" s="1402"/>
      <c r="D82" s="1401"/>
      <c r="E82" s="1032" t="str">
        <f>$E$12</f>
        <v>Año 2021</v>
      </c>
      <c r="F82" s="1032" t="str">
        <f>$D$5</f>
        <v>Tercer Trimestre</v>
      </c>
      <c r="G82" s="1033" t="str">
        <f>$G$9</f>
        <v>Acumulada Corte
30/09/2021</v>
      </c>
      <c r="H82" s="1402"/>
      <c r="I82" s="1408"/>
      <c r="J82" s="1402"/>
      <c r="K82" s="1032" t="str">
        <f>+$D$5</f>
        <v>Tercer Trimestre</v>
      </c>
      <c r="L82" s="1033" t="str">
        <f>$L$12</f>
        <v>Acumulado Corte 30/09/2021</v>
      </c>
      <c r="M82" s="1032" t="s">
        <v>811</v>
      </c>
      <c r="N82" s="1117" t="s">
        <v>924</v>
      </c>
      <c r="O82" s="1118"/>
      <c r="P82" s="1119" t="s">
        <v>925</v>
      </c>
      <c r="Q82" s="1120"/>
      <c r="R82" s="1120"/>
      <c r="S82" s="1121"/>
      <c r="T82" s="1122" t="s">
        <v>774</v>
      </c>
      <c r="U82" s="1123"/>
      <c r="V82" s="1402"/>
    </row>
    <row r="83" spans="2:26" ht="58.8" customHeight="1">
      <c r="B83" s="556">
        <f>+B77+1</f>
        <v>41</v>
      </c>
      <c r="C83" s="557" t="str">
        <f>+'Rango indicadores'!D42</f>
        <v>06-RI-01</v>
      </c>
      <c r="D83" s="557" t="str">
        <f>+'Rango indicadores'!E42</f>
        <v>Informes realizados en temas específicos.</v>
      </c>
      <c r="E83" s="571">
        <f>+'Rango indicadores'!Q42</f>
        <v>3</v>
      </c>
      <c r="F83" s="571">
        <f>+'1.Informe Seguimiento POA 2021'!S34</f>
        <v>2</v>
      </c>
      <c r="G83" s="571">
        <f>+'1.Informe Seguimiento POA 2021'!O34+'1.Informe Seguimiento POA 2021'!Q34+'1.Informe Seguimiento POA 2021'!S34</f>
        <v>2</v>
      </c>
      <c r="H83" s="571">
        <f>+'1.Informe Seguimiento POA 2021'!T34</f>
        <v>0</v>
      </c>
      <c r="I83" s="571">
        <f>+'1.Informe Seguimiento POA 2021'!P34+'1.Informe Seguimiento POA 2021'!R34+'1.Informe Seguimiento POA 2021'!T34</f>
        <v>0</v>
      </c>
      <c r="J83" s="571">
        <f>+'1.Informe Seguimiento POA 2021'!X34</f>
        <v>0</v>
      </c>
      <c r="K83" s="598">
        <f t="shared" ref="K83:L85" si="14">IF(AND(F83&gt;0),H83/F83,"No programado")</f>
        <v>0</v>
      </c>
      <c r="L83" s="598">
        <f>IF(AND(G83&gt;0),I83/G83,"No programado")</f>
        <v>0</v>
      </c>
      <c r="M83" s="574">
        <f>+'1.Informe Seguimiento POA 2021'!Y34</f>
        <v>0</v>
      </c>
      <c r="N83" s="564" t="str">
        <f>+'Rango indicadores'!H42</f>
        <v>Mayor A:</v>
      </c>
      <c r="O83" s="559">
        <f>+'Rango indicadores'!I42</f>
        <v>90</v>
      </c>
      <c r="P83" s="559" t="str">
        <f>+'Rango indicadores'!J42</f>
        <v>Desde (&gt;=):</v>
      </c>
      <c r="Q83" s="559">
        <f>+'Rango indicadores'!K42</f>
        <v>66</v>
      </c>
      <c r="R83" s="559" t="str">
        <f>+'Rango indicadores'!L42</f>
        <v>Hasta (&lt;=):</v>
      </c>
      <c r="S83" s="559">
        <f>+'Rango indicadores'!M42</f>
        <v>90</v>
      </c>
      <c r="T83" s="559" t="str">
        <f>+'Rango indicadores'!N42</f>
        <v>Menor A:</v>
      </c>
      <c r="U83" s="559">
        <f>+'Rango indicadores'!O42</f>
        <v>66</v>
      </c>
      <c r="V83" s="653" t="s">
        <v>1164</v>
      </c>
    </row>
    <row r="84" spans="2:26" ht="39.6">
      <c r="B84" s="556">
        <f>+B83+1</f>
        <v>42</v>
      </c>
      <c r="C84" s="557" t="str">
        <f>+'Rango indicadores'!D43</f>
        <v>06-RI-02</v>
      </c>
      <c r="D84" s="557" t="str">
        <f>+'Rango indicadores'!E43</f>
        <v>Informes de seguimientos realizados en temas específicos.</v>
      </c>
      <c r="E84" s="571">
        <f>+'Rango indicadores'!Q43</f>
        <v>1</v>
      </c>
      <c r="F84" s="571">
        <f>+'1.Informe Seguimiento POA 2021'!S35</f>
        <v>0</v>
      </c>
      <c r="G84" s="571">
        <f>+'1.Informe Seguimiento POA 2021'!O35+'1.Informe Seguimiento POA 2021'!Q35+'1.Informe Seguimiento POA 2021'!S35</f>
        <v>1</v>
      </c>
      <c r="H84" s="571">
        <f>+'1.Informe Seguimiento POA 2021'!T35</f>
        <v>0</v>
      </c>
      <c r="I84" s="571">
        <f>+'1.Informe Seguimiento POA 2021'!P35+'1.Informe Seguimiento POA 2021'!R35+'1.Informe Seguimiento POA 2021'!T35</f>
        <v>1</v>
      </c>
      <c r="J84" s="571">
        <f>+'1.Informe Seguimiento POA 2021'!X35</f>
        <v>1</v>
      </c>
      <c r="K84" s="598" t="str">
        <f t="shared" si="14"/>
        <v>No programado</v>
      </c>
      <c r="L84" s="574">
        <f t="shared" si="14"/>
        <v>1</v>
      </c>
      <c r="M84" s="574">
        <f>+'1.Informe Seguimiento POA 2021'!Y35</f>
        <v>1</v>
      </c>
      <c r="N84" s="564" t="str">
        <f>+'Rango indicadores'!H43</f>
        <v>Mayor A:</v>
      </c>
      <c r="O84" s="559">
        <f>+'Rango indicadores'!I43</f>
        <v>90</v>
      </c>
      <c r="P84" s="559" t="str">
        <f>+'Rango indicadores'!J43</f>
        <v>Desde (&gt;=):</v>
      </c>
      <c r="Q84" s="559">
        <f>+'Rango indicadores'!K43</f>
        <v>69</v>
      </c>
      <c r="R84" s="559" t="str">
        <f>+'Rango indicadores'!L43</f>
        <v>Hasta (&lt;=):</v>
      </c>
      <c r="S84" s="559">
        <f>+'Rango indicadores'!M43</f>
        <v>90</v>
      </c>
      <c r="T84" s="559" t="str">
        <f>+'Rango indicadores'!N43</f>
        <v>Menor A:</v>
      </c>
      <c r="U84" s="559">
        <f>+'Rango indicadores'!O43</f>
        <v>69</v>
      </c>
      <c r="V84" s="648" t="s">
        <v>963</v>
      </c>
      <c r="W84" s="740"/>
      <c r="X84" s="740"/>
      <c r="Y84" s="572"/>
      <c r="Z84" s="572"/>
    </row>
    <row r="85" spans="2:26" ht="121.2" customHeight="1">
      <c r="B85" s="556">
        <f>+B84+1</f>
        <v>43</v>
      </c>
      <c r="C85" s="557" t="str">
        <f>+'Rango indicadores'!D44</f>
        <v>06-RI-03</v>
      </c>
      <c r="D85" s="557" t="str">
        <f>+'Rango indicadores'!E44</f>
        <v>Acciones de Prevención y Control a la Función Pública realizadas, con informe.</v>
      </c>
      <c r="E85" s="571">
        <f>+'Rango indicadores'!Q44</f>
        <v>200</v>
      </c>
      <c r="F85" s="571">
        <f>+'1.Informe Seguimiento POA 2021'!S36</f>
        <v>72</v>
      </c>
      <c r="G85" s="571">
        <f>+'1.Informe Seguimiento POA 2021'!O36+'1.Informe Seguimiento POA 2021'!Q36+'1.Informe Seguimiento POA 2021'!S36</f>
        <v>155</v>
      </c>
      <c r="H85" s="571">
        <f>+'1.Informe Seguimiento POA 2021'!T36</f>
        <v>40</v>
      </c>
      <c r="I85" s="571">
        <f>+'1.Informe Seguimiento POA 2021'!P36+'1.Informe Seguimiento POA 2021'!R36+'1.Informe Seguimiento POA 2021'!T36</f>
        <v>151</v>
      </c>
      <c r="J85" s="571">
        <f>+'1.Informe Seguimiento POA 2021'!X36</f>
        <v>151</v>
      </c>
      <c r="K85" s="574">
        <f t="shared" si="14"/>
        <v>0.55555555555555558</v>
      </c>
      <c r="L85" s="574">
        <f t="shared" si="14"/>
        <v>0.97419354838709682</v>
      </c>
      <c r="M85" s="574">
        <f>+'1.Informe Seguimiento POA 2021'!Y36</f>
        <v>0.755</v>
      </c>
      <c r="N85" s="564" t="str">
        <f>+'Rango indicadores'!H44</f>
        <v>Mayor A:</v>
      </c>
      <c r="O85" s="559">
        <f>+'Rango indicadores'!I44</f>
        <v>77</v>
      </c>
      <c r="P85" s="559" t="str">
        <f>+'Rango indicadores'!J44</f>
        <v>Desde (&gt;=):</v>
      </c>
      <c r="Q85" s="559">
        <f>+'Rango indicadores'!K44</f>
        <v>53</v>
      </c>
      <c r="R85" s="559" t="str">
        <f>+'Rango indicadores'!L44</f>
        <v>Hasta (&lt;=):</v>
      </c>
      <c r="S85" s="559">
        <f>+'Rango indicadores'!M44</f>
        <v>77</v>
      </c>
      <c r="T85" s="559" t="str">
        <f>+'Rango indicadores'!N44</f>
        <v>Menor A:</v>
      </c>
      <c r="U85" s="559">
        <f>+'Rango indicadores'!O44</f>
        <v>53</v>
      </c>
      <c r="V85" s="646" t="s">
        <v>1166</v>
      </c>
      <c r="W85" s="740"/>
      <c r="X85" s="740"/>
      <c r="Y85" s="572"/>
      <c r="Z85" s="572"/>
    </row>
    <row r="86" spans="2:26" ht="162" customHeight="1">
      <c r="B86" s="556">
        <f>+B85+1</f>
        <v>44</v>
      </c>
      <c r="C86" s="557" t="str">
        <f>+'Rango indicadores'!D45</f>
        <v>06-RI-04</v>
      </c>
      <c r="D86" s="557" t="str">
        <f>+'Rango indicadores'!E45</f>
        <v>Seguimientos realizados sobre acciones previas, con informe</v>
      </c>
      <c r="E86" s="571">
        <f>+'Rango indicadores'!Q45</f>
        <v>20</v>
      </c>
      <c r="F86" s="571">
        <f>+'1.Informe Seguimiento POA 2021'!S37</f>
        <v>8</v>
      </c>
      <c r="G86" s="571">
        <f>+'1.Informe Seguimiento POA 2021'!O37+'1.Informe Seguimiento POA 2021'!Q37+'1.Informe Seguimiento POA 2021'!S37</f>
        <v>12</v>
      </c>
      <c r="H86" s="571">
        <f>+'1.Informe Seguimiento POA 2021'!T37</f>
        <v>0</v>
      </c>
      <c r="I86" s="571">
        <f>+'1.Informe Seguimiento POA 2021'!P37+'1.Informe Seguimiento POA 2021'!R37+'1.Informe Seguimiento POA 2021'!T37</f>
        <v>23</v>
      </c>
      <c r="J86" s="571">
        <f>+'1.Informe Seguimiento POA 2021'!X37</f>
        <v>23</v>
      </c>
      <c r="K86" s="574">
        <f t="shared" ref="K86:K89" si="15">IF(AND(F86&gt;0),H86/F86,"No programado")</f>
        <v>0</v>
      </c>
      <c r="L86" s="574">
        <f t="shared" ref="L86:L89" si="16">IF(AND(G86&gt;0),I86/G86,"No programado")</f>
        <v>1.9166666666666667</v>
      </c>
      <c r="M86" s="574">
        <f>+'1.Informe Seguimiento POA 2021'!Y37</f>
        <v>1.1499999999999999</v>
      </c>
      <c r="N86" s="564" t="str">
        <f>+'Rango indicadores'!H45</f>
        <v>Mayor A:</v>
      </c>
      <c r="O86" s="559">
        <f>+'Rango indicadores'!I45</f>
        <v>80</v>
      </c>
      <c r="P86" s="559" t="str">
        <f>+'Rango indicadores'!J45</f>
        <v>Desde (&gt;=):</v>
      </c>
      <c r="Q86" s="559">
        <f>+'Rango indicadores'!K45</f>
        <v>45</v>
      </c>
      <c r="R86" s="559" t="str">
        <f>+'Rango indicadores'!L45</f>
        <v>Hasta (&lt;=):</v>
      </c>
      <c r="S86" s="559">
        <f>+'Rango indicadores'!M45</f>
        <v>80</v>
      </c>
      <c r="T86" s="559" t="str">
        <f>+'Rango indicadores'!N45</f>
        <v>Menor A:</v>
      </c>
      <c r="U86" s="559">
        <f>+'Rango indicadores'!O45</f>
        <v>45</v>
      </c>
      <c r="V86" s="648" t="s">
        <v>1167</v>
      </c>
      <c r="W86" s="740"/>
      <c r="X86" s="740"/>
      <c r="Y86" s="572"/>
      <c r="Z86" s="572"/>
    </row>
    <row r="87" spans="2:26" ht="132.6" customHeight="1">
      <c r="B87" s="556">
        <f>+B86+1</f>
        <v>45</v>
      </c>
      <c r="C87" s="557" t="str">
        <f>+'Rango indicadores'!D46</f>
        <v>06-RI-05</v>
      </c>
      <c r="D87" s="557" t="str">
        <f>+'Rango indicadores'!E46</f>
        <v>Audiencias públicas y/o mesas de trabajo realizadas.</v>
      </c>
      <c r="E87" s="571">
        <f>+'Rango indicadores'!Q46</f>
        <v>7</v>
      </c>
      <c r="F87" s="571">
        <f>+'1.Informe Seguimiento POA 2021'!S38</f>
        <v>3</v>
      </c>
      <c r="G87" s="571">
        <f>+'1.Informe Seguimiento POA 2021'!O38+'1.Informe Seguimiento POA 2021'!Q38+'1.Informe Seguimiento POA 2021'!S38</f>
        <v>7</v>
      </c>
      <c r="H87" s="571">
        <f>+'1.Informe Seguimiento POA 2021'!T38</f>
        <v>3</v>
      </c>
      <c r="I87" s="571">
        <f>+'1.Informe Seguimiento POA 2021'!P38+'1.Informe Seguimiento POA 2021'!R38+'1.Informe Seguimiento POA 2021'!T38</f>
        <v>8</v>
      </c>
      <c r="J87" s="571">
        <f>+'1.Informe Seguimiento POA 2021'!X38</f>
        <v>8</v>
      </c>
      <c r="K87" s="574">
        <f t="shared" si="15"/>
        <v>1</v>
      </c>
      <c r="L87" s="574">
        <f t="shared" si="16"/>
        <v>1.1428571428571428</v>
      </c>
      <c r="M87" s="574">
        <f>+'1.Informe Seguimiento POA 2021'!Y38</f>
        <v>1.1428571428571428</v>
      </c>
      <c r="N87" s="564" t="str">
        <f>+'Rango indicadores'!H46</f>
        <v>Mayor A:</v>
      </c>
      <c r="O87" s="559">
        <f>+'Rango indicadores'!I46</f>
        <v>85</v>
      </c>
      <c r="P87" s="559" t="str">
        <f>+'Rango indicadores'!J46</f>
        <v>Desde (&gt;=):</v>
      </c>
      <c r="Q87" s="559">
        <f>+'Rango indicadores'!K46</f>
        <v>57</v>
      </c>
      <c r="R87" s="559" t="str">
        <f>+'Rango indicadores'!L46</f>
        <v>Hasta (&lt;=):</v>
      </c>
      <c r="S87" s="559">
        <f>+'Rango indicadores'!M46</f>
        <v>85</v>
      </c>
      <c r="T87" s="559" t="str">
        <f>+'Rango indicadores'!N46</f>
        <v>Menor A:</v>
      </c>
      <c r="U87" s="559">
        <f>+'Rango indicadores'!O46</f>
        <v>57</v>
      </c>
      <c r="V87" s="646" t="s">
        <v>1168</v>
      </c>
      <c r="W87" s="740"/>
      <c r="X87" s="740"/>
      <c r="Y87" s="572"/>
    </row>
    <row r="88" spans="2:26" ht="173.4" customHeight="1">
      <c r="B88" s="556">
        <f t="shared" ref="B88:B89" si="17">+B87+1</f>
        <v>46</v>
      </c>
      <c r="C88" s="557" t="str">
        <f>+'Rango indicadores'!D47</f>
        <v>06-RI-06</v>
      </c>
      <c r="D88" s="557" t="str">
        <f>+'Rango indicadores'!E47</f>
        <v>Acompañamientos a los ciudadanos realizados.</v>
      </c>
      <c r="E88" s="571">
        <f>+'Rango indicadores'!Q47</f>
        <v>40</v>
      </c>
      <c r="F88" s="571">
        <f>+'1.Informe Seguimiento POA 2021'!S39</f>
        <v>12</v>
      </c>
      <c r="G88" s="571">
        <f>+'1.Informe Seguimiento POA 2021'!O39+'1.Informe Seguimiento POA 2021'!Q39+'1.Informe Seguimiento POA 2021'!S39</f>
        <v>32</v>
      </c>
      <c r="H88" s="571">
        <f>+'1.Informe Seguimiento POA 2021'!T39</f>
        <v>26</v>
      </c>
      <c r="I88" s="571">
        <f>+'1.Informe Seguimiento POA 2021'!P39+'1.Informe Seguimiento POA 2021'!R39+'1.Informe Seguimiento POA 2021'!T39</f>
        <v>70</v>
      </c>
      <c r="J88" s="571">
        <f>+'1.Informe Seguimiento POA 2021'!X39</f>
        <v>70</v>
      </c>
      <c r="K88" s="574">
        <f t="shared" si="15"/>
        <v>2.1666666666666665</v>
      </c>
      <c r="L88" s="574">
        <f t="shared" si="16"/>
        <v>2.1875</v>
      </c>
      <c r="M88" s="574">
        <f>+'1.Informe Seguimiento POA 2021'!Y39</f>
        <v>1.75</v>
      </c>
      <c r="N88" s="564" t="str">
        <f>+'Rango indicadores'!H47</f>
        <v>Mayor A:</v>
      </c>
      <c r="O88" s="559">
        <f>+'Rango indicadores'!I47</f>
        <v>90</v>
      </c>
      <c r="P88" s="559" t="str">
        <f>+'Rango indicadores'!J47</f>
        <v>Desde (&gt;=):</v>
      </c>
      <c r="Q88" s="559">
        <f>+'Rango indicadores'!K47</f>
        <v>69</v>
      </c>
      <c r="R88" s="559" t="str">
        <f>+'Rango indicadores'!L47</f>
        <v>Hasta (&lt;=):</v>
      </c>
      <c r="S88" s="559">
        <f>+'Rango indicadores'!M47</f>
        <v>90</v>
      </c>
      <c r="T88" s="559" t="str">
        <f>+'Rango indicadores'!N47</f>
        <v>Menor A:</v>
      </c>
      <c r="U88" s="559">
        <f>+'Rango indicadores'!O47</f>
        <v>69</v>
      </c>
      <c r="V88" s="646" t="s">
        <v>1169</v>
      </c>
      <c r="W88" s="1023"/>
      <c r="X88" s="1023"/>
      <c r="Y88" s="1044"/>
    </row>
    <row r="89" spans="2:26" ht="118.8">
      <c r="B89" s="556">
        <f t="shared" si="17"/>
        <v>47</v>
      </c>
      <c r="C89" s="557" t="str">
        <f>+'Rango indicadores'!D48</f>
        <v>06-RI-07</v>
      </c>
      <c r="D89" s="557" t="str">
        <f>+'Rango indicadores'!E48</f>
        <v>Espacios de dialogo realizados.</v>
      </c>
      <c r="E89" s="571">
        <f>+'Rango indicadores'!Q48</f>
        <v>20</v>
      </c>
      <c r="F89" s="571">
        <f>+'1.Informe Seguimiento POA 2021'!S40</f>
        <v>6</v>
      </c>
      <c r="G89" s="571">
        <f>+'1.Informe Seguimiento POA 2021'!O40+'1.Informe Seguimiento POA 2021'!Q40+'1.Informe Seguimiento POA 2021'!S40</f>
        <v>16</v>
      </c>
      <c r="H89" s="571">
        <f>+'1.Informe Seguimiento POA 2021'!T40</f>
        <v>7</v>
      </c>
      <c r="I89" s="571">
        <f>+'1.Informe Seguimiento POA 2021'!P40+'1.Informe Seguimiento POA 2021'!R40+'1.Informe Seguimiento POA 2021'!T40</f>
        <v>14</v>
      </c>
      <c r="J89" s="571">
        <f>+'1.Informe Seguimiento POA 2021'!X40</f>
        <v>14</v>
      </c>
      <c r="K89" s="574">
        <f t="shared" si="15"/>
        <v>1.1666666666666667</v>
      </c>
      <c r="L89" s="574">
        <f t="shared" si="16"/>
        <v>0.875</v>
      </c>
      <c r="M89" s="574">
        <f>+'1.Informe Seguimiento POA 2021'!Y40</f>
        <v>0.7</v>
      </c>
      <c r="N89" s="564" t="str">
        <f>+'Rango indicadores'!H48</f>
        <v>Mayor A:</v>
      </c>
      <c r="O89" s="559">
        <f>+'Rango indicadores'!I48</f>
        <v>90</v>
      </c>
      <c r="P89" s="559" t="str">
        <f>+'Rango indicadores'!J48</f>
        <v>Desde (&gt;=):</v>
      </c>
      <c r="Q89" s="559">
        <f>+'Rango indicadores'!K48</f>
        <v>69</v>
      </c>
      <c r="R89" s="559" t="str">
        <f>+'Rango indicadores'!L48</f>
        <v>Hasta (&lt;=):</v>
      </c>
      <c r="S89" s="559">
        <f>+'Rango indicadores'!M48</f>
        <v>90</v>
      </c>
      <c r="T89" s="559" t="str">
        <f>+'Rango indicadores'!N48</f>
        <v>Menor A:</v>
      </c>
      <c r="U89" s="559">
        <f>+'Rango indicadores'!O48</f>
        <v>69</v>
      </c>
      <c r="V89" s="646" t="s">
        <v>1170</v>
      </c>
      <c r="W89" s="740"/>
      <c r="X89" s="740"/>
      <c r="Y89" s="572"/>
      <c r="Z89" s="572"/>
    </row>
    <row r="90" spans="2:26" ht="15.6">
      <c r="C90" s="1424" t="s">
        <v>926</v>
      </c>
      <c r="D90" s="1424"/>
      <c r="E90" s="1424"/>
      <c r="F90" s="1424"/>
      <c r="G90" s="1424"/>
      <c r="H90" s="1424"/>
      <c r="I90" s="1036"/>
      <c r="J90" s="1036"/>
      <c r="K90" s="562">
        <f>IFERROR(AVERAGE(K83:K89),0)</f>
        <v>0.81481481481481488</v>
      </c>
      <c r="L90" s="562">
        <f>IFERROR(AVERAGE(L83:L89),0)</f>
        <v>1.1566024797015579</v>
      </c>
      <c r="M90" s="562">
        <f>IFERROR(AVERAGE(M83:M89),0)</f>
        <v>0.92826530612244895</v>
      </c>
      <c r="N90" s="569"/>
      <c r="O90" s="569"/>
      <c r="P90" s="569"/>
      <c r="Q90" s="569"/>
      <c r="R90" s="569"/>
      <c r="S90" s="569"/>
      <c r="T90" s="569"/>
      <c r="U90" s="569"/>
      <c r="V90" s="654"/>
    </row>
    <row r="91" spans="2:26" s="552" customFormat="1">
      <c r="D91" s="554"/>
      <c r="V91" s="554"/>
    </row>
    <row r="92" spans="2:26" s="552" customFormat="1" ht="15.6">
      <c r="C92" s="555" t="s">
        <v>933</v>
      </c>
      <c r="D92" s="587"/>
      <c r="V92" s="554"/>
    </row>
    <row r="93" spans="2:26" ht="30" customHeight="1">
      <c r="C93" s="1402" t="str">
        <f>+$C$11</f>
        <v>Identifificación del Indicador</v>
      </c>
      <c r="D93" s="1401" t="s">
        <v>919</v>
      </c>
      <c r="E93" s="1405" t="s">
        <v>920</v>
      </c>
      <c r="F93" s="1406"/>
      <c r="G93" s="1407"/>
      <c r="H93" s="1402" t="s">
        <v>921</v>
      </c>
      <c r="I93" s="1408" t="str">
        <f>$I$9</f>
        <v>Ejecución Acumulada Corte
30/09/2021</v>
      </c>
      <c r="J93" s="1402" t="s">
        <v>922</v>
      </c>
      <c r="K93" s="1402" t="s">
        <v>915</v>
      </c>
      <c r="L93" s="1402"/>
      <c r="M93" s="1402"/>
      <c r="N93" s="1404" t="s">
        <v>766</v>
      </c>
      <c r="O93" s="1404"/>
      <c r="P93" s="1404"/>
      <c r="Q93" s="1404"/>
      <c r="R93" s="1404"/>
      <c r="S93" s="1404"/>
      <c r="T93" s="1404"/>
      <c r="U93" s="1404"/>
      <c r="V93" s="1402" t="s">
        <v>944</v>
      </c>
    </row>
    <row r="94" spans="2:26" ht="51.75" customHeight="1">
      <c r="C94" s="1402"/>
      <c r="D94" s="1401"/>
      <c r="E94" s="1032" t="s">
        <v>923</v>
      </c>
      <c r="F94" s="1032" t="str">
        <f>$D$5</f>
        <v>Tercer Trimestre</v>
      </c>
      <c r="G94" s="1033" t="str">
        <f>$G$9</f>
        <v>Acumulada Corte
30/09/2021</v>
      </c>
      <c r="H94" s="1402"/>
      <c r="I94" s="1408"/>
      <c r="J94" s="1402"/>
      <c r="K94" s="1032" t="str">
        <f>+$D$5</f>
        <v>Tercer Trimestre</v>
      </c>
      <c r="L94" s="1033" t="str">
        <f>$L$12</f>
        <v>Acumulado Corte 30/09/2021</v>
      </c>
      <c r="M94" s="1032" t="s">
        <v>811</v>
      </c>
      <c r="N94" s="1117" t="s">
        <v>924</v>
      </c>
      <c r="O94" s="1118"/>
      <c r="P94" s="1119" t="s">
        <v>925</v>
      </c>
      <c r="Q94" s="1120"/>
      <c r="R94" s="1120"/>
      <c r="S94" s="1121"/>
      <c r="T94" s="1122" t="s">
        <v>774</v>
      </c>
      <c r="U94" s="1123"/>
      <c r="V94" s="1402"/>
    </row>
    <row r="95" spans="2:26" ht="158.4" customHeight="1">
      <c r="B95" s="556">
        <f>+B89+1</f>
        <v>48</v>
      </c>
      <c r="C95" s="557" t="str">
        <f>+'Rango indicadores'!D49</f>
        <v>07-RI-01</v>
      </c>
      <c r="D95" s="557" t="str">
        <f>+'Rango indicadores'!E49</f>
        <v>Procesos priorizados identificados y decididos de fondo</v>
      </c>
      <c r="E95" s="571">
        <f>+'Rango indicadores'!Q49</f>
        <v>900</v>
      </c>
      <c r="F95" s="571">
        <f>+'1.Informe Seguimiento POA 2021'!S41</f>
        <v>140</v>
      </c>
      <c r="G95" s="571">
        <f>+'1.Informe Seguimiento POA 2021'!O41+'1.Informe Seguimiento POA 2021'!Q41+'1.Informe Seguimiento POA 2021'!S41</f>
        <v>840</v>
      </c>
      <c r="H95" s="571">
        <f>+'1.Informe Seguimiento POA 2021'!T41</f>
        <v>329</v>
      </c>
      <c r="I95" s="571">
        <f>+'1.Informe Seguimiento POA 2021'!P41+'1.Informe Seguimiento POA 2021'!R41+'1.Informe Seguimiento POA 2021'!T41</f>
        <v>1176</v>
      </c>
      <c r="J95" s="571">
        <f>+'1.Informe Seguimiento POA 2021'!X41</f>
        <v>1176</v>
      </c>
      <c r="K95" s="575">
        <f>IF(AND(F95&gt;0),H95/F95,"No programado")</f>
        <v>2.35</v>
      </c>
      <c r="L95" s="575">
        <f t="shared" ref="L95" si="18">IF(AND(G95&gt;0),I95/G95,"No programado")</f>
        <v>1.4</v>
      </c>
      <c r="M95" s="546">
        <f>+'1.Informe Seguimiento POA 2021'!Y41</f>
        <v>1.3066666666666666</v>
      </c>
      <c r="N95" s="564" t="str">
        <f>+'Rango indicadores'!H49</f>
        <v>Mayor A:</v>
      </c>
      <c r="O95" s="559">
        <f>+'Rango indicadores'!I49</f>
        <v>90</v>
      </c>
      <c r="P95" s="559" t="str">
        <f>+'Rango indicadores'!J49</f>
        <v>Desde (&gt;=):</v>
      </c>
      <c r="Q95" s="559">
        <f>+'Rango indicadores'!K49</f>
        <v>60</v>
      </c>
      <c r="R95" s="559" t="str">
        <f>+'Rango indicadores'!L49</f>
        <v>Hasta (&lt;=):</v>
      </c>
      <c r="S95" s="559">
        <f>+'Rango indicadores'!M49</f>
        <v>90</v>
      </c>
      <c r="T95" s="559" t="str">
        <f>+'Rango indicadores'!N49</f>
        <v>Menor A:</v>
      </c>
      <c r="U95" s="559">
        <f>+'Rango indicadores'!O49</f>
        <v>60</v>
      </c>
      <c r="V95" s="646" t="s">
        <v>1171</v>
      </c>
      <c r="W95" s="740"/>
      <c r="X95" s="740"/>
      <c r="Y95" s="572"/>
    </row>
    <row r="96" spans="2:26" ht="153" customHeight="1">
      <c r="B96" s="556">
        <f t="shared" ref="B96:B102" si="19">+B95+1</f>
        <v>49</v>
      </c>
      <c r="C96" s="557" t="str">
        <f>+'Rango indicadores'!D50</f>
        <v>07-RI-02</v>
      </c>
      <c r="D96" s="557" t="str">
        <f>+'Rango indicadores'!E50</f>
        <v>Noticias disciplinarias  evaluadas y con impulso procesal</v>
      </c>
      <c r="E96" s="597">
        <f>+'Rango indicadores'!Q50</f>
        <v>1</v>
      </c>
      <c r="F96" s="597">
        <f>+'1.Informe Seguimiento POA 2021'!S42</f>
        <v>1</v>
      </c>
      <c r="G96" s="597">
        <f>IFERROR(AVERAGE('1.Informe Seguimiento POA 2021'!O42,'1.Informe Seguimiento POA 2021'!Q42,'1.Informe Seguimiento POA 2021'!S42),0)</f>
        <v>1</v>
      </c>
      <c r="H96" s="597">
        <f>+'1.Informe Seguimiento POA 2021'!T42</f>
        <v>1.0813333333333333</v>
      </c>
      <c r="I96" s="647">
        <f>IFERROR(AVERAGE('1.Informe Seguimiento POA 2021'!P42,'1.Informe Seguimiento POA 2021'!R42,'1.Informe Seguimiento POA 2021'!T42),0)</f>
        <v>0.83211111111111113</v>
      </c>
      <c r="J96" s="647">
        <f>+'1.Informe Seguimiento POA 2021'!X42</f>
        <v>0.83199999999999996</v>
      </c>
      <c r="K96" s="575">
        <f t="shared" ref="K96:K100" si="20">IF(AND(F96&gt;0),H96/F96,"No programado")</f>
        <v>1.0813333333333333</v>
      </c>
      <c r="L96" s="575">
        <f t="shared" ref="L96:L100" si="21">IF(AND(G96&gt;0),I96/G96,"No programado")</f>
        <v>0.83211111111111113</v>
      </c>
      <c r="M96" s="546">
        <f>+'1.Informe Seguimiento POA 2021'!Y42</f>
        <v>0.624</v>
      </c>
      <c r="N96" s="564" t="str">
        <f>+'Rango indicadores'!H50</f>
        <v>Mayor A:</v>
      </c>
      <c r="O96" s="559">
        <f>+'Rango indicadores'!I50</f>
        <v>90</v>
      </c>
      <c r="P96" s="559" t="str">
        <f>+'Rango indicadores'!J50</f>
        <v>Desde (&gt;=):</v>
      </c>
      <c r="Q96" s="559">
        <f>+'Rango indicadores'!K50</f>
        <v>60</v>
      </c>
      <c r="R96" s="559" t="str">
        <f>+'Rango indicadores'!L50</f>
        <v>Hasta (&lt;=):</v>
      </c>
      <c r="S96" s="559">
        <f>+'Rango indicadores'!M50</f>
        <v>90</v>
      </c>
      <c r="T96" s="559" t="str">
        <f>+'Rango indicadores'!N50</f>
        <v>Menor A:</v>
      </c>
      <c r="U96" s="559">
        <f>+'Rango indicadores'!O50</f>
        <v>60</v>
      </c>
      <c r="V96" s="646" t="s">
        <v>1172</v>
      </c>
      <c r="W96" s="740"/>
      <c r="X96" s="740"/>
      <c r="Y96" s="649"/>
    </row>
    <row r="97" spans="2:26" ht="72" customHeight="1">
      <c r="B97" s="556">
        <f t="shared" si="19"/>
        <v>50</v>
      </c>
      <c r="C97" s="557" t="str">
        <f>+'Rango indicadores'!D51</f>
        <v>07-RI-03</v>
      </c>
      <c r="D97" s="557" t="str">
        <f>+'Rango indicadores'!E51</f>
        <v>Visitas de seguimiento a Oficinas de Control Interno Disciplinario realizadas</v>
      </c>
      <c r="E97" s="571">
        <f>+'Rango indicadores'!Q51</f>
        <v>51</v>
      </c>
      <c r="F97" s="571">
        <f>+'1.Informe Seguimiento POA 2021'!S43</f>
        <v>15</v>
      </c>
      <c r="G97" s="571">
        <f>+'1.Informe Seguimiento POA 2021'!O43+'1.Informe Seguimiento POA 2021'!Q43+'1.Informe Seguimiento POA 2021'!S43</f>
        <v>30</v>
      </c>
      <c r="H97" s="599">
        <f>+'1.Informe Seguimiento POA 2021'!T43</f>
        <v>0</v>
      </c>
      <c r="I97" s="571">
        <f>+'1.Informe Seguimiento POA 2021'!P43+'1.Informe Seguimiento POA 2021'!R43+'1.Informe Seguimiento POA 2021'!T43</f>
        <v>51</v>
      </c>
      <c r="J97" s="571">
        <f>+'1.Informe Seguimiento POA 2021'!X43</f>
        <v>51</v>
      </c>
      <c r="K97" s="575">
        <f t="shared" si="20"/>
        <v>0</v>
      </c>
      <c r="L97" s="575">
        <f t="shared" si="21"/>
        <v>1.7</v>
      </c>
      <c r="M97" s="546">
        <f>+'1.Informe Seguimiento POA 2021'!Y43</f>
        <v>1</v>
      </c>
      <c r="N97" s="564" t="str">
        <f>+'Rango indicadores'!H51</f>
        <v>Mayor A:</v>
      </c>
      <c r="O97" s="559">
        <f>+'Rango indicadores'!I51</f>
        <v>90</v>
      </c>
      <c r="P97" s="559" t="str">
        <f>+'Rango indicadores'!J51</f>
        <v>Desde (&gt;=):</v>
      </c>
      <c r="Q97" s="559">
        <f>+'Rango indicadores'!K51</f>
        <v>65</v>
      </c>
      <c r="R97" s="559" t="str">
        <f>+'Rango indicadores'!L51</f>
        <v>Hasta (&lt;=):</v>
      </c>
      <c r="S97" s="559">
        <f>+'Rango indicadores'!M51</f>
        <v>90</v>
      </c>
      <c r="T97" s="559" t="str">
        <f>+'Rango indicadores'!N51</f>
        <v>Menor A:</v>
      </c>
      <c r="U97" s="559">
        <f>+'Rango indicadores'!O51</f>
        <v>65</v>
      </c>
      <c r="V97" s="648" t="s">
        <v>1173</v>
      </c>
      <c r="W97" s="740"/>
      <c r="X97" s="740"/>
      <c r="Y97" s="572"/>
    </row>
    <row r="98" spans="2:26" ht="112.95" customHeight="1">
      <c r="B98" s="556">
        <f t="shared" si="19"/>
        <v>51</v>
      </c>
      <c r="C98" s="557" t="str">
        <f>+'Rango indicadores'!D52</f>
        <v>07-RI-04</v>
      </c>
      <c r="D98" s="557" t="str">
        <f>+'Rango indicadores'!E52</f>
        <v>Procesos de interés e impacto asumidos por competencia</v>
      </c>
      <c r="E98" s="597">
        <f>+'Rango indicadores'!Q52</f>
        <v>1</v>
      </c>
      <c r="F98" s="571">
        <f>+'1.Informe Seguimiento POA 2021'!S44</f>
        <v>1</v>
      </c>
      <c r="G98" s="597">
        <f>IFERROR(AVERAGE('1.Informe Seguimiento POA 2021'!Q44,'1.Informe Seguimiento POA 2021'!S44),0)</f>
        <v>1</v>
      </c>
      <c r="H98" s="597">
        <f>+'1.Informe Seguimiento POA 2021'!T44</f>
        <v>1</v>
      </c>
      <c r="I98" s="647">
        <f>IFERROR(AVERAGE('1.Informe Seguimiento POA 2021'!P44,'1.Informe Seguimiento POA 2021'!R44,'1.Informe Seguimiento POA 2021'!T44),0)</f>
        <v>1</v>
      </c>
      <c r="J98" s="597">
        <f>+'1.Informe Seguimiento POA 2021'!X44</f>
        <v>1</v>
      </c>
      <c r="K98" s="575">
        <f t="shared" si="20"/>
        <v>1</v>
      </c>
      <c r="L98" s="575">
        <f t="shared" si="21"/>
        <v>1</v>
      </c>
      <c r="M98" s="546">
        <f>+'1.Informe Seguimiento POA 2021'!Y44</f>
        <v>0.75</v>
      </c>
      <c r="N98" s="564" t="str">
        <f>+'Rango indicadores'!H52</f>
        <v>Mayor A:</v>
      </c>
      <c r="O98" s="559">
        <f>+'Rango indicadores'!I52</f>
        <v>90</v>
      </c>
      <c r="P98" s="559" t="str">
        <f>+'Rango indicadores'!J52</f>
        <v>Desde (&gt;=):</v>
      </c>
      <c r="Q98" s="559">
        <f>+'Rango indicadores'!K52</f>
        <v>65</v>
      </c>
      <c r="R98" s="559" t="str">
        <f>+'Rango indicadores'!L52</f>
        <v>Hasta (&lt;=):</v>
      </c>
      <c r="S98" s="559">
        <f>+'Rango indicadores'!M52</f>
        <v>90</v>
      </c>
      <c r="T98" s="559" t="str">
        <f>+'Rango indicadores'!N52</f>
        <v>Menor A:</v>
      </c>
      <c r="U98" s="559">
        <f>+'Rango indicadores'!O52</f>
        <v>65</v>
      </c>
      <c r="V98" s="653" t="s">
        <v>1175</v>
      </c>
      <c r="W98" s="740"/>
      <c r="X98" s="740"/>
      <c r="Y98" s="572"/>
    </row>
    <row r="99" spans="2:26" ht="103.8" customHeight="1">
      <c r="B99" s="556">
        <f t="shared" si="19"/>
        <v>52</v>
      </c>
      <c r="C99" s="557" t="str">
        <f>+'Rango indicadores'!D53</f>
        <v>07-RI-05</v>
      </c>
      <c r="D99" s="557" t="str">
        <f>+'Rango indicadores'!E53</f>
        <v>Escenarios de intercambio de conocimiento generados</v>
      </c>
      <c r="E99" s="571">
        <f>+'Rango indicadores'!Q53</f>
        <v>2</v>
      </c>
      <c r="F99" s="571">
        <f>+'1.Informe Seguimiento POA 2021'!S45</f>
        <v>1</v>
      </c>
      <c r="G99" s="571">
        <f>+'1.Informe Seguimiento POA 2021'!O45+'1.Informe Seguimiento POA 2021'!Q45+'1.Informe Seguimiento POA 2021'!S45</f>
        <v>1</v>
      </c>
      <c r="H99" s="571">
        <f>+'1.Informe Seguimiento POA 2021'!T45</f>
        <v>0</v>
      </c>
      <c r="I99" s="571">
        <f>+'1.Informe Seguimiento POA 2021'!P45+'1.Informe Seguimiento POA 2021'!R45+'1.Informe Seguimiento POA 2021'!T45</f>
        <v>1</v>
      </c>
      <c r="J99" s="571">
        <f>+'1.Informe Seguimiento POA 2021'!X45</f>
        <v>1</v>
      </c>
      <c r="K99" s="575">
        <f t="shared" si="20"/>
        <v>0</v>
      </c>
      <c r="L99" s="575">
        <f t="shared" si="21"/>
        <v>1</v>
      </c>
      <c r="M99" s="546">
        <f>+'1.Informe Seguimiento POA 2021'!Y45</f>
        <v>0.5</v>
      </c>
      <c r="N99" s="564" t="str">
        <f>+'Rango indicadores'!H53</f>
        <v>Mayor A:</v>
      </c>
      <c r="O99" s="559">
        <f>+'Rango indicadores'!I53</f>
        <v>90</v>
      </c>
      <c r="P99" s="559" t="str">
        <f>+'Rango indicadores'!J53</f>
        <v>Desde (&gt;=):</v>
      </c>
      <c r="Q99" s="559">
        <f>+'Rango indicadores'!K53</f>
        <v>65</v>
      </c>
      <c r="R99" s="559" t="str">
        <f>+'Rango indicadores'!L53</f>
        <v>Hasta (&lt;=):</v>
      </c>
      <c r="S99" s="559">
        <f>+'Rango indicadores'!M53</f>
        <v>90</v>
      </c>
      <c r="T99" s="559" t="str">
        <f>+'Rango indicadores'!N53</f>
        <v>Menor A:</v>
      </c>
      <c r="U99" s="559">
        <f>+'Rango indicadores'!O53</f>
        <v>65</v>
      </c>
      <c r="V99" s="653" t="s">
        <v>1174</v>
      </c>
      <c r="W99" s="740"/>
      <c r="X99" s="740"/>
      <c r="Y99" s="572"/>
    </row>
    <row r="100" spans="2:26" ht="135.6" customHeight="1">
      <c r="B100" s="556">
        <f t="shared" si="19"/>
        <v>53</v>
      </c>
      <c r="C100" s="557" t="str">
        <f>+'Rango indicadores'!D54</f>
        <v>07-RI-06</v>
      </c>
      <c r="D100" s="557" t="str">
        <f>+'Rango indicadores'!E54</f>
        <v xml:space="preserve">Sistema de Comunicación con las Oficinas de Control Interno Disciplinario implementado </v>
      </c>
      <c r="E100" s="571">
        <f>+'Rango indicadores'!Q54</f>
        <v>0.5</v>
      </c>
      <c r="F100" s="599">
        <f>+'1.Informe Seguimiento POA 2021'!S46</f>
        <v>0.15000000000000002</v>
      </c>
      <c r="G100" s="599">
        <f>+'1.Informe Seguimiento POA 2021'!O46+'1.Informe Seguimiento POA 2021'!Q46+'1.Informe Seguimiento POA 2021'!S46</f>
        <v>0.4</v>
      </c>
      <c r="H100" s="599">
        <f>+'1.Informe Seguimiento POA 2021'!T46</f>
        <v>0.35</v>
      </c>
      <c r="I100" s="599">
        <f>+'1.Informe Seguimiento POA 2021'!P46+'1.Informe Seguimiento POA 2021'!R46+'1.Informe Seguimiento POA 2021'!T46</f>
        <v>0.39999999999999997</v>
      </c>
      <c r="J100" s="599">
        <f>+'1.Informe Seguimiento POA 2021'!X46</f>
        <v>0.39999999999999997</v>
      </c>
      <c r="K100" s="575">
        <f t="shared" si="20"/>
        <v>2.333333333333333</v>
      </c>
      <c r="L100" s="575">
        <f t="shared" si="21"/>
        <v>0.99999999999999989</v>
      </c>
      <c r="M100" s="546">
        <f>+'1.Informe Seguimiento POA 2021'!Y46</f>
        <v>0.79999999999999993</v>
      </c>
      <c r="N100" s="564" t="str">
        <f>+'Rango indicadores'!H54</f>
        <v>Mayor A:</v>
      </c>
      <c r="O100" s="559">
        <f>+'Rango indicadores'!I54</f>
        <v>90</v>
      </c>
      <c r="P100" s="559" t="str">
        <f>+'Rango indicadores'!J54</f>
        <v>Desde (&gt;=):</v>
      </c>
      <c r="Q100" s="559">
        <f>+'Rango indicadores'!K54</f>
        <v>65</v>
      </c>
      <c r="R100" s="559" t="str">
        <f>+'Rango indicadores'!L54</f>
        <v>Hasta (&lt;=):</v>
      </c>
      <c r="S100" s="559">
        <f>+'Rango indicadores'!M54</f>
        <v>90</v>
      </c>
      <c r="T100" s="559" t="str">
        <f>+'Rango indicadores'!N54</f>
        <v>Menor A:</v>
      </c>
      <c r="U100" s="559">
        <f>+'Rango indicadores'!O54</f>
        <v>65</v>
      </c>
      <c r="V100" s="653" t="s">
        <v>1176</v>
      </c>
      <c r="W100" s="740"/>
      <c r="X100" s="740"/>
      <c r="Y100" s="572"/>
      <c r="Z100" s="572"/>
    </row>
    <row r="101" spans="2:26" ht="105.6">
      <c r="B101" s="556">
        <f t="shared" si="19"/>
        <v>54</v>
      </c>
      <c r="C101" s="557" t="str">
        <f>+'Rango indicadores'!D55</f>
        <v>07-RI-07</v>
      </c>
      <c r="D101" s="557" t="str">
        <f>+'Rango indicadores'!E55</f>
        <v xml:space="preserve">Sistema de información misional implementado </v>
      </c>
      <c r="E101" s="571">
        <f>+'Rango indicadores'!Q55</f>
        <v>0.2</v>
      </c>
      <c r="F101" s="571">
        <f>+'1.Informe Seguimiento POA 2021'!S47</f>
        <v>0.06</v>
      </c>
      <c r="G101" s="571">
        <f>+'1.Informe Seguimiento POA 2021'!O47+'1.Informe Seguimiento POA 2021'!Q47+'1.Informe Seguimiento POA 2021'!S47</f>
        <v>0.14000000000000001</v>
      </c>
      <c r="H101" s="571">
        <f>+'1.Informe Seguimiento POA 2021'!T47</f>
        <v>0.06</v>
      </c>
      <c r="I101" s="571">
        <f>+'1.Informe Seguimiento POA 2021'!P47+'1.Informe Seguimiento POA 2021'!R47+'1.Informe Seguimiento POA 2021'!T47</f>
        <v>0.14000000000000001</v>
      </c>
      <c r="J101" s="571">
        <f>+'1.Informe Seguimiento POA 2021'!X47</f>
        <v>0.14000000000000001</v>
      </c>
      <c r="K101" s="575">
        <f t="shared" ref="K101:K102" si="22">IF(AND(F101&gt;0),H101/F101,"No programado")</f>
        <v>1</v>
      </c>
      <c r="L101" s="575">
        <f t="shared" ref="L101:L102" si="23">IF(AND(G101&gt;0),I101/G101,"No programado")</f>
        <v>1</v>
      </c>
      <c r="M101" s="546">
        <f>+'1.Informe Seguimiento POA 2021'!Y47</f>
        <v>0.70000000000000007</v>
      </c>
      <c r="N101" s="564" t="str">
        <f>+'Rango indicadores'!H55</f>
        <v>Mayor A:</v>
      </c>
      <c r="O101" s="559">
        <f>+'Rango indicadores'!I55</f>
        <v>90</v>
      </c>
      <c r="P101" s="559" t="str">
        <f>+'Rango indicadores'!J55</f>
        <v>Desde (&gt;=):</v>
      </c>
      <c r="Q101" s="559">
        <f>+'Rango indicadores'!K55</f>
        <v>65</v>
      </c>
      <c r="R101" s="559" t="str">
        <f>+'Rango indicadores'!L55</f>
        <v>Hasta (&lt;=):</v>
      </c>
      <c r="S101" s="559">
        <f>+'Rango indicadores'!M55</f>
        <v>90</v>
      </c>
      <c r="T101" s="559" t="str">
        <f>+'Rango indicadores'!N55</f>
        <v>Menor A:</v>
      </c>
      <c r="U101" s="559">
        <f>+'Rango indicadores'!O55</f>
        <v>65</v>
      </c>
      <c r="V101" s="653" t="s">
        <v>1177</v>
      </c>
      <c r="W101" s="740"/>
      <c r="X101" s="740"/>
      <c r="Y101" s="572"/>
      <c r="Z101" s="572"/>
    </row>
    <row r="102" spans="2:26" ht="125.4" customHeight="1">
      <c r="B102" s="556">
        <f t="shared" si="19"/>
        <v>55</v>
      </c>
      <c r="C102" s="557" t="str">
        <f>+'Rango indicadores'!D56</f>
        <v>07-RI-08</v>
      </c>
      <c r="D102" s="557" t="str">
        <f>+'Rango indicadores'!E56</f>
        <v>Relatoría diseñada e implementada</v>
      </c>
      <c r="E102" s="571">
        <f>+'Rango indicadores'!Q56</f>
        <v>0.1</v>
      </c>
      <c r="F102" s="571">
        <f>+'1.Informe Seguimiento POA 2021'!S48</f>
        <v>0.05</v>
      </c>
      <c r="G102" s="571">
        <f>+'1.Informe Seguimiento POA 2021'!O48+'1.Informe Seguimiento POA 2021'!Q48+'1.Informe Seguimiento POA 2021'!S48</f>
        <v>7.0000000000000007E-2</v>
      </c>
      <c r="H102" s="571">
        <f>+'1.Informe Seguimiento POA 2021'!T48</f>
        <v>0.06</v>
      </c>
      <c r="I102" s="571">
        <f>+'1.Informe Seguimiento POA 2021'!P48+'1.Informe Seguimiento POA 2021'!R48+'1.Informe Seguimiento POA 2021'!T48</f>
        <v>0.08</v>
      </c>
      <c r="J102" s="571">
        <f>+'1.Informe Seguimiento POA 2021'!X48</f>
        <v>0.08</v>
      </c>
      <c r="K102" s="575">
        <f t="shared" si="22"/>
        <v>1.2</v>
      </c>
      <c r="L102" s="575">
        <f t="shared" si="23"/>
        <v>1.1428571428571428</v>
      </c>
      <c r="M102" s="546">
        <f>+'1.Informe Seguimiento POA 2021'!Y48</f>
        <v>0.79999999999999993</v>
      </c>
      <c r="N102" s="564" t="str">
        <f>+'Rango indicadores'!H56</f>
        <v>Mayor A:</v>
      </c>
      <c r="O102" s="559">
        <f>+'Rango indicadores'!I56</f>
        <v>90</v>
      </c>
      <c r="P102" s="559" t="str">
        <f>+'Rango indicadores'!J56</f>
        <v>Desde (&gt;=):</v>
      </c>
      <c r="Q102" s="559">
        <f>+'Rango indicadores'!K56</f>
        <v>65</v>
      </c>
      <c r="R102" s="559" t="str">
        <f>+'Rango indicadores'!L56</f>
        <v>Hasta (&lt;=):</v>
      </c>
      <c r="S102" s="559">
        <f>+'Rango indicadores'!M56</f>
        <v>90</v>
      </c>
      <c r="T102" s="559" t="str">
        <f>+'Rango indicadores'!N56</f>
        <v>Menor A:</v>
      </c>
      <c r="U102" s="559">
        <f>+'Rango indicadores'!O56</f>
        <v>65</v>
      </c>
      <c r="V102" s="653" t="s">
        <v>1178</v>
      </c>
      <c r="W102" s="740"/>
      <c r="X102" s="1045"/>
      <c r="Y102" s="572"/>
      <c r="Z102" s="572"/>
    </row>
    <row r="103" spans="2:26" ht="15.6">
      <c r="C103" s="1421" t="s">
        <v>926</v>
      </c>
      <c r="D103" s="1422"/>
      <c r="E103" s="1422"/>
      <c r="F103" s="1422"/>
      <c r="G103" s="1422"/>
      <c r="H103" s="1422"/>
      <c r="I103" s="1422"/>
      <c r="J103" s="1423"/>
      <c r="K103" s="562">
        <f>IFERROR(AVERAGE(K95:K102),0)</f>
        <v>1.1205833333333333</v>
      </c>
      <c r="L103" s="562">
        <f t="shared" ref="L103:M103" si="24">IFERROR(AVERAGE(L95:L102),0)</f>
        <v>1.1343710317460318</v>
      </c>
      <c r="M103" s="562">
        <f t="shared" si="24"/>
        <v>0.81008333333333338</v>
      </c>
      <c r="N103" s="569"/>
      <c r="O103" s="569"/>
      <c r="P103" s="569"/>
      <c r="Q103" s="569"/>
      <c r="R103" s="569"/>
      <c r="S103" s="569"/>
      <c r="T103" s="569"/>
      <c r="U103" s="569"/>
      <c r="V103" s="655"/>
    </row>
    <row r="104" spans="2:26" s="552" customFormat="1">
      <c r="D104" s="554"/>
      <c r="M104" s="596"/>
      <c r="N104" s="596"/>
      <c r="O104" s="596"/>
      <c r="P104" s="596"/>
      <c r="Q104" s="596"/>
      <c r="R104" s="596"/>
      <c r="S104" s="596"/>
      <c r="T104" s="596"/>
      <c r="U104" s="596"/>
      <c r="V104" s="655"/>
    </row>
    <row r="105" spans="2:26" s="552" customFormat="1" ht="15.6">
      <c r="C105" s="555" t="s">
        <v>934</v>
      </c>
      <c r="D105" s="587"/>
      <c r="E105" s="652"/>
      <c r="F105" s="652"/>
      <c r="G105" s="652"/>
      <c r="H105" s="652"/>
      <c r="I105" s="652"/>
      <c r="J105" s="652"/>
      <c r="K105" s="652"/>
      <c r="L105" s="652"/>
      <c r="V105" s="655"/>
    </row>
    <row r="106" spans="2:26" ht="33" customHeight="1">
      <c r="C106" s="1402" t="str">
        <f>+$C$11</f>
        <v>Identifificación del Indicador</v>
      </c>
      <c r="D106" s="1401" t="s">
        <v>919</v>
      </c>
      <c r="E106" s="1405" t="s">
        <v>920</v>
      </c>
      <c r="F106" s="1406"/>
      <c r="G106" s="1407"/>
      <c r="H106" s="1402" t="s">
        <v>921</v>
      </c>
      <c r="I106" s="1408" t="str">
        <f>$I$9</f>
        <v>Ejecución Acumulada Corte
30/09/2021</v>
      </c>
      <c r="J106" s="1402" t="s">
        <v>922</v>
      </c>
      <c r="K106" s="1402" t="s">
        <v>915</v>
      </c>
      <c r="L106" s="1402"/>
      <c r="M106" s="1402"/>
      <c r="N106" s="1404" t="s">
        <v>766</v>
      </c>
      <c r="O106" s="1404"/>
      <c r="P106" s="1404"/>
      <c r="Q106" s="1404"/>
      <c r="R106" s="1404"/>
      <c r="S106" s="1404"/>
      <c r="T106" s="1404"/>
      <c r="U106" s="1404"/>
      <c r="V106" s="1402" t="s">
        <v>944</v>
      </c>
    </row>
    <row r="107" spans="2:26" ht="56.25" customHeight="1">
      <c r="C107" s="1402"/>
      <c r="D107" s="1401"/>
      <c r="E107" s="1032" t="str">
        <f>$E$12</f>
        <v>Año 2021</v>
      </c>
      <c r="F107" s="1032" t="str">
        <f>$D$5</f>
        <v>Tercer Trimestre</v>
      </c>
      <c r="G107" s="1033" t="str">
        <f>$G$9</f>
        <v>Acumulada Corte
30/09/2021</v>
      </c>
      <c r="H107" s="1402"/>
      <c r="I107" s="1408"/>
      <c r="J107" s="1402"/>
      <c r="K107" s="1032" t="str">
        <f>+$D$5</f>
        <v>Tercer Trimestre</v>
      </c>
      <c r="L107" s="1033" t="str">
        <f>$L$12</f>
        <v>Acumulado Corte 30/09/2021</v>
      </c>
      <c r="M107" s="1032" t="s">
        <v>811</v>
      </c>
      <c r="N107" s="1117" t="s">
        <v>924</v>
      </c>
      <c r="O107" s="1118"/>
      <c r="P107" s="1119" t="s">
        <v>925</v>
      </c>
      <c r="Q107" s="1120"/>
      <c r="R107" s="1120"/>
      <c r="S107" s="1121"/>
      <c r="T107" s="1122" t="s">
        <v>774</v>
      </c>
      <c r="U107" s="1123"/>
      <c r="V107" s="1402"/>
    </row>
    <row r="108" spans="2:26" ht="99.6" customHeight="1">
      <c r="B108" s="556">
        <f>+B102+1</f>
        <v>56</v>
      </c>
      <c r="C108" s="557" t="str">
        <f>+'Rango indicadores'!D57</f>
        <v>08-RI-01</v>
      </c>
      <c r="D108" s="557" t="str">
        <f>+'Rango indicadores'!E57</f>
        <v>Porcentaje de novedades y situaciones administrativas gestionadas</v>
      </c>
      <c r="E108" s="561">
        <f>+'Rango indicadores'!Q57</f>
        <v>1</v>
      </c>
      <c r="F108" s="561">
        <f>+'1.Informe Seguimiento POA 2021'!S62</f>
        <v>1</v>
      </c>
      <c r="G108" s="561">
        <f>IFERROR(AVERAGE('1.Informe Seguimiento POA 2021'!O62,'1.Informe Seguimiento POA 2021'!Q62,'1.Informe Seguimiento POA 2021'!S62),0)</f>
        <v>1</v>
      </c>
      <c r="H108" s="561">
        <f>+'1.Informe Seguimiento POA 2021'!T62</f>
        <v>1</v>
      </c>
      <c r="I108" s="561">
        <f>IFERROR(AVERAGE('1.Informe Seguimiento POA 2021'!P62,'1.Informe Seguimiento POA 2021'!R62,'1.Informe Seguimiento POA 2021'!T62),0)</f>
        <v>1</v>
      </c>
      <c r="J108" s="561">
        <f>+'1.Informe Seguimiento POA 2021'!X62</f>
        <v>1</v>
      </c>
      <c r="K108" s="546">
        <f t="shared" ref="K108" si="25">IF(AND(F108&gt;0),H108/F108,"No programado")</f>
        <v>1</v>
      </c>
      <c r="L108" s="546">
        <f>IF(AND(G108&gt;0),I108/G108,"No programado")</f>
        <v>1</v>
      </c>
      <c r="M108" s="546">
        <f>+'1.Informe Seguimiento POA 2021'!Y62</f>
        <v>0.75</v>
      </c>
      <c r="N108" s="564" t="str">
        <f>+'Rango indicadores'!H57</f>
        <v>Mayor o igual A:</v>
      </c>
      <c r="O108" s="559">
        <f>+'Rango indicadores'!I57</f>
        <v>90</v>
      </c>
      <c r="P108" s="559" t="str">
        <f>+'Rango indicadores'!J57</f>
        <v>Desde (&gt;):</v>
      </c>
      <c r="Q108" s="559">
        <f>+'Rango indicadores'!K57</f>
        <v>69</v>
      </c>
      <c r="R108" s="559" t="str">
        <f>+'Rango indicadores'!L57</f>
        <v>Hasta (&lt;):</v>
      </c>
      <c r="S108" s="559">
        <f>+'Rango indicadores'!M57</f>
        <v>90</v>
      </c>
      <c r="T108" s="559" t="str">
        <f>+'Rango indicadores'!N57</f>
        <v>Menor o Igual A:</v>
      </c>
      <c r="U108" s="559">
        <f>+'Rango indicadores'!O57</f>
        <v>69</v>
      </c>
      <c r="V108" s="653" t="s">
        <v>996</v>
      </c>
      <c r="W108" s="649"/>
      <c r="X108" s="740"/>
      <c r="Y108" s="649"/>
    </row>
    <row r="109" spans="2:26" ht="114.6" customHeight="1">
      <c r="B109" s="556">
        <f t="shared" ref="B109:B115" si="26">+B108+1</f>
        <v>57</v>
      </c>
      <c r="C109" s="557" t="str">
        <f>+'Rango indicadores'!D58</f>
        <v>08-RI-02</v>
      </c>
      <c r="D109" s="557" t="str">
        <f>+'Rango indicadores'!E58</f>
        <v xml:space="preserve">Novedades incluidas en la nómina  oportunamente  </v>
      </c>
      <c r="E109" s="561">
        <f>+'Rango indicadores'!Q58</f>
        <v>0.97</v>
      </c>
      <c r="F109" s="561">
        <f>+'1.Informe Seguimiento POA 2021'!S63</f>
        <v>0.97000000000000008</v>
      </c>
      <c r="G109" s="561">
        <f>IFERROR(AVERAGE('1.Informe Seguimiento POA 2021'!O63,'1.Informe Seguimiento POA 2021'!Q63,'1.Informe Seguimiento POA 2021'!S63),0)</f>
        <v>0.97000000000000008</v>
      </c>
      <c r="H109" s="561">
        <f>+'1.Informe Seguimiento POA 2021'!T63</f>
        <v>0.96833333333333327</v>
      </c>
      <c r="I109" s="561">
        <f>IFERROR(AVERAGE('1.Informe Seguimiento POA 2021'!P63,'1.Informe Seguimiento POA 2021'!R63,'1.Informe Seguimiento POA 2021'!T63),0)</f>
        <v>0.97755555555555551</v>
      </c>
      <c r="J109" s="561">
        <f>+'1.Informe Seguimiento POA 2021'!X63</f>
        <v>0.97699999999999998</v>
      </c>
      <c r="K109" s="546">
        <f t="shared" ref="K109:K115" si="27">IF(AND(F109&gt;0),H109/F109,"No programado")</f>
        <v>0.99828178694158065</v>
      </c>
      <c r="L109" s="546">
        <f t="shared" ref="L109:L115" si="28">IF(AND(G109&gt;0),I109/G109,"No programado")</f>
        <v>1.0077892325315005</v>
      </c>
      <c r="M109" s="546">
        <f>+'1.Informe Seguimiento POA 2021'!Y63</f>
        <v>0.7554123711340206</v>
      </c>
      <c r="N109" s="564" t="str">
        <f>+'Rango indicadores'!H58</f>
        <v>Mayor o igual A:</v>
      </c>
      <c r="O109" s="559">
        <f>+'Rango indicadores'!I58</f>
        <v>97</v>
      </c>
      <c r="P109" s="559" t="str">
        <f>+'Rango indicadores'!J58</f>
        <v>Desde (&gt;):</v>
      </c>
      <c r="Q109" s="559">
        <f>+'Rango indicadores'!K58</f>
        <v>84</v>
      </c>
      <c r="R109" s="559" t="str">
        <f>+'Rango indicadores'!L58</f>
        <v>Hasta (&lt;):</v>
      </c>
      <c r="S109" s="559">
        <f>+'Rango indicadores'!M58</f>
        <v>97</v>
      </c>
      <c r="T109" s="559" t="str">
        <f>+'Rango indicadores'!N58</f>
        <v>Menor o Igual A:</v>
      </c>
      <c r="U109" s="559">
        <f>+'Rango indicadores'!O58</f>
        <v>84</v>
      </c>
      <c r="V109" s="653" t="s">
        <v>1179</v>
      </c>
      <c r="W109" s="649"/>
      <c r="X109" s="740"/>
      <c r="Y109" s="649"/>
      <c r="Z109" s="576"/>
    </row>
    <row r="110" spans="2:26" ht="112.8" customHeight="1">
      <c r="B110" s="556">
        <f t="shared" si="26"/>
        <v>58</v>
      </c>
      <c r="C110" s="557" t="str">
        <f>+'Rango indicadores'!D59</f>
        <v>08-RI-03</v>
      </c>
      <c r="D110" s="557" t="str">
        <f>+'Rango indicadores'!E59</f>
        <v>Porcentaje de Usuarios internos satisfechos con las solicitudes de los servicios atendidas de la SGTH (Certificaciones laborales, bonos pensionales y autorizaciones de retiro de cesantías)</v>
      </c>
      <c r="E110" s="561">
        <f>+'Rango indicadores'!Q59</f>
        <v>0.9</v>
      </c>
      <c r="F110" s="561">
        <f>+'1.Informe Seguimiento POA 2021'!S64</f>
        <v>0.9</v>
      </c>
      <c r="G110" s="561">
        <f>IFERROR(AVERAGE('1.Informe Seguimiento POA 2021'!Q64,'1.Informe Seguimiento POA 2021'!S64),0)</f>
        <v>0.9</v>
      </c>
      <c r="H110" s="561">
        <f>+'1.Informe Seguimiento POA 2021'!T64</f>
        <v>0.97</v>
      </c>
      <c r="I110" s="561">
        <f>IFERROR(AVERAGE('1.Informe Seguimiento POA 2021'!R64,'1.Informe Seguimiento POA 2021'!T64),0)</f>
        <v>0.95899999999999996</v>
      </c>
      <c r="J110" s="561">
        <f>+'1.Informe Seguimiento POA 2021'!X64</f>
        <v>0.95899999999999996</v>
      </c>
      <c r="K110" s="546">
        <f t="shared" si="27"/>
        <v>1.0777777777777777</v>
      </c>
      <c r="L110" s="546">
        <f t="shared" si="28"/>
        <v>1.0655555555555556</v>
      </c>
      <c r="M110" s="546">
        <f>+'1.Informe Seguimiento POA 2021'!Y64</f>
        <v>0.79916666666666658</v>
      </c>
      <c r="N110" s="564" t="str">
        <f>+'Rango indicadores'!H59</f>
        <v>Mayor o igual A:</v>
      </c>
      <c r="O110" s="559">
        <f>+'Rango indicadores'!I59</f>
        <v>90</v>
      </c>
      <c r="P110" s="559" t="str">
        <f>+'Rango indicadores'!J59</f>
        <v>Desde (&gt;):</v>
      </c>
      <c r="Q110" s="559">
        <f>+'Rango indicadores'!K59</f>
        <v>79</v>
      </c>
      <c r="R110" s="559" t="str">
        <f>+'Rango indicadores'!L59</f>
        <v>Hasta (&lt;):</v>
      </c>
      <c r="S110" s="559">
        <f>+'Rango indicadores'!M59</f>
        <v>90</v>
      </c>
      <c r="T110" s="559" t="str">
        <f>+'Rango indicadores'!N59</f>
        <v>Menor o Igual A:</v>
      </c>
      <c r="U110" s="559">
        <f>+'Rango indicadores'!O59</f>
        <v>79</v>
      </c>
      <c r="V110" s="653" t="s">
        <v>1180</v>
      </c>
      <c r="W110" s="649"/>
      <c r="X110" s="740"/>
      <c r="Y110" s="649"/>
      <c r="Z110" s="577"/>
    </row>
    <row r="111" spans="2:26" ht="111" customHeight="1">
      <c r="B111" s="556">
        <f t="shared" si="26"/>
        <v>59</v>
      </c>
      <c r="C111" s="557" t="str">
        <f>+'Rango indicadores'!D60</f>
        <v>08-RI-04</v>
      </c>
      <c r="D111" s="557" t="str">
        <f>+'Rango indicadores'!E60</f>
        <v>Plan Institucional de Capacitación formulado y ejecutado</v>
      </c>
      <c r="E111" s="561">
        <f>+'Rango indicadores'!Q60</f>
        <v>1</v>
      </c>
      <c r="F111" s="1046">
        <f>+'1.Informe Seguimiento POA 2021'!S65</f>
        <v>0.16500000000000001</v>
      </c>
      <c r="G111" s="561">
        <f>+'1.Informe Seguimiento POA 2021'!O65+'1.Informe Seguimiento POA 2021'!Q65+'1.Informe Seguimiento POA 2021'!S65</f>
        <v>0.68100000000000005</v>
      </c>
      <c r="H111" s="1046">
        <f>+'1.Informe Seguimiento POA 2021'!T65</f>
        <v>0.16469999999999999</v>
      </c>
      <c r="I111" s="561">
        <f>+'1.Informe Seguimiento POA 2021'!P65+'1.Informe Seguimiento POA 2021'!R65+'1.Informe Seguimiento POA 2021'!T65</f>
        <v>0.66679999999999995</v>
      </c>
      <c r="J111" s="561">
        <f>+'1.Informe Seguimiento POA 2021'!X65</f>
        <v>0.66679999999999995</v>
      </c>
      <c r="K111" s="546">
        <f t="shared" si="27"/>
        <v>0.99818181818181806</v>
      </c>
      <c r="L111" s="546">
        <f t="shared" si="28"/>
        <v>0.9791483113069015</v>
      </c>
      <c r="M111" s="546">
        <f>+'1.Informe Seguimiento POA 2021'!Y65</f>
        <v>0.66679999999999995</v>
      </c>
      <c r="N111" s="564" t="str">
        <f>+'Rango indicadores'!H60</f>
        <v>Mayor o igual A:</v>
      </c>
      <c r="O111" s="559">
        <f>+'Rango indicadores'!I60</f>
        <v>90</v>
      </c>
      <c r="P111" s="559" t="str">
        <f>+'Rango indicadores'!J60</f>
        <v>Desde (&gt;):</v>
      </c>
      <c r="Q111" s="559">
        <f>+'Rango indicadores'!K60</f>
        <v>69</v>
      </c>
      <c r="R111" s="559" t="str">
        <f>+'Rango indicadores'!L60</f>
        <v>Hasta (&lt;):</v>
      </c>
      <c r="S111" s="559">
        <f>+'Rango indicadores'!M60</f>
        <v>90</v>
      </c>
      <c r="T111" s="559" t="str">
        <f>+'Rango indicadores'!N60</f>
        <v>Menor o Igual A:</v>
      </c>
      <c r="U111" s="559">
        <f>+'Rango indicadores'!O60</f>
        <v>69</v>
      </c>
      <c r="V111" s="653" t="s">
        <v>1181</v>
      </c>
      <c r="W111" s="740"/>
      <c r="X111" s="740"/>
      <c r="Y111" s="649"/>
    </row>
    <row r="112" spans="2:26" ht="111.6" customHeight="1">
      <c r="B112" s="556">
        <f t="shared" si="26"/>
        <v>60</v>
      </c>
      <c r="C112" s="557" t="str">
        <f>+'Rango indicadores'!D61</f>
        <v>08-RI-05</v>
      </c>
      <c r="D112" s="557" t="str">
        <f>+'Rango indicadores'!E61</f>
        <v>Plan Institucional de Bienestar formulado y ejecutado</v>
      </c>
      <c r="E112" s="561">
        <f>+'Rango indicadores'!Q61</f>
        <v>1</v>
      </c>
      <c r="F112" s="561">
        <f>+'1.Informe Seguimiento POA 2021'!S66</f>
        <v>0.19700000000000001</v>
      </c>
      <c r="G112" s="561">
        <f>+'1.Informe Seguimiento POA 2021'!O66+'1.Informe Seguimiento POA 2021'!Q66+'1.Informe Seguimiento POA 2021'!S66</f>
        <v>0.69199999999999995</v>
      </c>
      <c r="H112" s="561">
        <f>+'1.Informe Seguimiento POA 2021'!T66</f>
        <v>0.30000000000000004</v>
      </c>
      <c r="I112" s="561">
        <f>+'1.Informe Seguimiento POA 2021'!P66+'1.Informe Seguimiento POA 2021'!R66+'1.Informe Seguimiento POA 2021'!T66</f>
        <v>0.8096000000000001</v>
      </c>
      <c r="J112" s="561">
        <f>+'1.Informe Seguimiento POA 2021'!X66</f>
        <v>0.8096000000000001</v>
      </c>
      <c r="K112" s="546">
        <f t="shared" si="27"/>
        <v>1.5228426395939088</v>
      </c>
      <c r="L112" s="546">
        <f t="shared" si="28"/>
        <v>1.1699421965317922</v>
      </c>
      <c r="M112" s="546">
        <f>+'1.Informe Seguimiento POA 2021'!Y66</f>
        <v>0.8096000000000001</v>
      </c>
      <c r="N112" s="564" t="str">
        <f>+'Rango indicadores'!H61</f>
        <v>Mayor o igual A:</v>
      </c>
      <c r="O112" s="559">
        <f>+'Rango indicadores'!I61</f>
        <v>90</v>
      </c>
      <c r="P112" s="559" t="str">
        <f>+'Rango indicadores'!J61</f>
        <v>Desde (&gt;):</v>
      </c>
      <c r="Q112" s="559">
        <f>+'Rango indicadores'!K61</f>
        <v>69</v>
      </c>
      <c r="R112" s="559" t="str">
        <f>+'Rango indicadores'!L61</f>
        <v>Hasta (&lt;):</v>
      </c>
      <c r="S112" s="559">
        <f>+'Rango indicadores'!M61</f>
        <v>90</v>
      </c>
      <c r="T112" s="559" t="str">
        <f>+'Rango indicadores'!N61</f>
        <v>Menor o Igual A:</v>
      </c>
      <c r="U112" s="559">
        <f>+'Rango indicadores'!O61</f>
        <v>69</v>
      </c>
      <c r="V112" s="653" t="s">
        <v>1182</v>
      </c>
      <c r="W112" s="649"/>
      <c r="X112" s="740"/>
      <c r="Y112" s="649"/>
      <c r="Z112" s="576"/>
    </row>
    <row r="113" spans="2:26" ht="125.4" customHeight="1">
      <c r="B113" s="556">
        <f t="shared" si="26"/>
        <v>61</v>
      </c>
      <c r="C113" s="557" t="str">
        <f>+'Rango indicadores'!D62</f>
        <v>08-RI-06</v>
      </c>
      <c r="D113" s="557" t="str">
        <f>+'Rango indicadores'!E62</f>
        <v>Plan Institucional de Incentivos formulado y ejecutado</v>
      </c>
      <c r="E113" s="561">
        <f>+'Rango indicadores'!Q62</f>
        <v>1</v>
      </c>
      <c r="F113" s="561">
        <f>+'1.Informe Seguimiento POA 2021'!S67</f>
        <v>0.1275</v>
      </c>
      <c r="G113" s="561">
        <f>+'1.Informe Seguimiento POA 2021'!O67+'1.Informe Seguimiento POA 2021'!Q67+'1.Informe Seguimiento POA 2021'!S67</f>
        <v>0.56699999999999995</v>
      </c>
      <c r="H113" s="561">
        <f>+'1.Informe Seguimiento POA 2021'!T67</f>
        <v>0.22270000000000001</v>
      </c>
      <c r="I113" s="561">
        <f>+'1.Informe Seguimiento POA 2021'!P67+'1.Informe Seguimiento POA 2021'!R67+'1.Informe Seguimiento POA 2021'!T67</f>
        <v>0.51849999999999996</v>
      </c>
      <c r="J113" s="561">
        <f>+'1.Informe Seguimiento POA 2021'!X67</f>
        <v>0.51849999999999996</v>
      </c>
      <c r="K113" s="546">
        <f t="shared" si="27"/>
        <v>1.7466666666666668</v>
      </c>
      <c r="L113" s="546">
        <f t="shared" si="28"/>
        <v>0.91446208112874783</v>
      </c>
      <c r="M113" s="546">
        <f>+'1.Informe Seguimiento POA 2021'!Y67</f>
        <v>0.51849999999999996</v>
      </c>
      <c r="N113" s="564" t="str">
        <f>+'Rango indicadores'!H62</f>
        <v>Mayor o igual A:</v>
      </c>
      <c r="O113" s="559">
        <f>+'Rango indicadores'!I62</f>
        <v>90</v>
      </c>
      <c r="P113" s="559" t="str">
        <f>+'Rango indicadores'!J62</f>
        <v>Desde (&gt;):</v>
      </c>
      <c r="Q113" s="559">
        <f>+'Rango indicadores'!K62</f>
        <v>69</v>
      </c>
      <c r="R113" s="559" t="str">
        <f>+'Rango indicadores'!L62</f>
        <v>Hasta (&lt;):</v>
      </c>
      <c r="S113" s="559">
        <f>+'Rango indicadores'!M62</f>
        <v>90</v>
      </c>
      <c r="T113" s="559" t="str">
        <f>+'Rango indicadores'!N62</f>
        <v>Menor o Igual A:</v>
      </c>
      <c r="U113" s="559">
        <f>+'Rango indicadores'!O62</f>
        <v>69</v>
      </c>
      <c r="V113" s="646" t="s">
        <v>1183</v>
      </c>
      <c r="W113" s="773"/>
      <c r="X113" s="1045"/>
      <c r="Y113" s="649"/>
      <c r="Z113" s="577"/>
    </row>
    <row r="114" spans="2:26" ht="130.19999999999999" customHeight="1">
      <c r="B114" s="556">
        <f t="shared" si="26"/>
        <v>62</v>
      </c>
      <c r="C114" s="557" t="str">
        <f>+'Rango indicadores'!D63</f>
        <v>08-RI-07</v>
      </c>
      <c r="D114" s="557" t="str">
        <f>+'Rango indicadores'!E63</f>
        <v>Plan Anual de Trabajo del Sistema de Gestión de Seguridad y Salud en el Trabajo SG-SST diseñado y ejecutado</v>
      </c>
      <c r="E114" s="561">
        <f>+'Rango indicadores'!Q63</f>
        <v>1</v>
      </c>
      <c r="F114" s="561">
        <f>+'1.Informe Seguimiento POA 2021'!S68</f>
        <v>0.14424999999999999</v>
      </c>
      <c r="G114" s="561">
        <f>+'1.Informe Seguimiento POA 2021'!O68+'1.Informe Seguimiento POA 2021'!Q68+'1.Informe Seguimiento POA 2021'!S68</f>
        <v>0.67474999999999996</v>
      </c>
      <c r="H114" s="561">
        <f>+'1.Informe Seguimiento POA 2021'!T68</f>
        <v>0.1368</v>
      </c>
      <c r="I114" s="561">
        <f>+'1.Informe Seguimiento POA 2021'!P68+'1.Informe Seguimiento POA 2021'!R68+'1.Informe Seguimiento POA 2021'!T68</f>
        <v>0.66610000000000003</v>
      </c>
      <c r="J114" s="561">
        <f>+'1.Informe Seguimiento POA 2021'!X68</f>
        <v>0.66610000000000003</v>
      </c>
      <c r="K114" s="546">
        <f t="shared" si="27"/>
        <v>0.94835355285961886</v>
      </c>
      <c r="L114" s="546">
        <f t="shared" si="28"/>
        <v>0.98718043719896265</v>
      </c>
      <c r="M114" s="546">
        <f>+'1.Informe Seguimiento POA 2021'!Y68</f>
        <v>0.66610000000000003</v>
      </c>
      <c r="N114" s="564" t="str">
        <f>+'Rango indicadores'!H63</f>
        <v>Mayor o igual A:</v>
      </c>
      <c r="O114" s="559">
        <f>+'Rango indicadores'!I63</f>
        <v>90</v>
      </c>
      <c r="P114" s="559" t="str">
        <f>+'Rango indicadores'!J63</f>
        <v>Desde (&gt;):</v>
      </c>
      <c r="Q114" s="559">
        <f>+'Rango indicadores'!K63</f>
        <v>69</v>
      </c>
      <c r="R114" s="559" t="str">
        <f>+'Rango indicadores'!L63</f>
        <v>Hasta (&lt;):</v>
      </c>
      <c r="S114" s="559">
        <f>+'Rango indicadores'!M63</f>
        <v>90</v>
      </c>
      <c r="T114" s="559" t="str">
        <f>+'Rango indicadores'!N63</f>
        <v>Menor o Igual A:</v>
      </c>
      <c r="U114" s="559">
        <f>+'Rango indicadores'!O63</f>
        <v>69</v>
      </c>
      <c r="V114" s="646" t="s">
        <v>1184</v>
      </c>
      <c r="W114" s="650"/>
      <c r="X114" s="743"/>
      <c r="Y114" s="650"/>
      <c r="Z114" s="577"/>
    </row>
    <row r="115" spans="2:26" ht="79.2">
      <c r="B115" s="556">
        <f t="shared" si="26"/>
        <v>63</v>
      </c>
      <c r="C115" s="557" t="str">
        <f>+'Rango indicadores'!D64</f>
        <v>08-RI-08</v>
      </c>
      <c r="D115" s="557" t="str">
        <f>+'Rango indicadores'!E64</f>
        <v>Capacitaciones realizadas sobre los Sistemas de Gestión y Evaluación del Desempeño Laboral de la Personería de Bogotá, D.C.</v>
      </c>
      <c r="E115" s="571">
        <f>+'Rango indicadores'!Q64</f>
        <v>9</v>
      </c>
      <c r="F115" s="571">
        <f>+'1.Informe Seguimiento POA 2021'!S69</f>
        <v>3</v>
      </c>
      <c r="G115" s="571">
        <f>+'1.Informe Seguimiento POA 2021'!O69+'1.Informe Seguimiento POA 2021'!Q69+'1.Informe Seguimiento POA 2021'!S69</f>
        <v>6</v>
      </c>
      <c r="H115" s="571">
        <f>+'1.Informe Seguimiento POA 2021'!T69</f>
        <v>3</v>
      </c>
      <c r="I115" s="571">
        <f>+'1.Informe Seguimiento POA 2021'!P69+'1.Informe Seguimiento POA 2021'!R69+'1.Informe Seguimiento POA 2021'!T69</f>
        <v>6</v>
      </c>
      <c r="J115" s="571">
        <f>+'1.Informe Seguimiento POA 2021'!X69</f>
        <v>6</v>
      </c>
      <c r="K115" s="575">
        <f t="shared" si="27"/>
        <v>1</v>
      </c>
      <c r="L115" s="546">
        <f t="shared" si="28"/>
        <v>1</v>
      </c>
      <c r="M115" s="546">
        <f>+'1.Informe Seguimiento POA 2021'!Y69</f>
        <v>0.66666666666666663</v>
      </c>
      <c r="N115" s="564" t="str">
        <f>+'Rango indicadores'!H64</f>
        <v>Mayor A:</v>
      </c>
      <c r="O115" s="559">
        <f>+'Rango indicadores'!I64</f>
        <v>100</v>
      </c>
      <c r="P115" s="559" t="str">
        <f>+'Rango indicadores'!J64</f>
        <v>Desde (&gt;=):</v>
      </c>
      <c r="Q115" s="559">
        <f>+'Rango indicadores'!K64</f>
        <v>90</v>
      </c>
      <c r="R115" s="559" t="str">
        <f>+'Rango indicadores'!L64</f>
        <v>Hasta (&lt;=):</v>
      </c>
      <c r="S115" s="559">
        <f>+'Rango indicadores'!M64</f>
        <v>100</v>
      </c>
      <c r="T115" s="559" t="str">
        <f>+'Rango indicadores'!N64</f>
        <v>Menor A:</v>
      </c>
      <c r="U115" s="559">
        <f>+'Rango indicadores'!O64</f>
        <v>90</v>
      </c>
      <c r="V115" s="653" t="s">
        <v>1185</v>
      </c>
      <c r="W115" s="649"/>
      <c r="X115" s="740"/>
      <c r="Y115" s="649"/>
      <c r="Z115" s="577"/>
    </row>
    <row r="116" spans="2:26" ht="15.6">
      <c r="C116" s="1421" t="s">
        <v>926</v>
      </c>
      <c r="D116" s="1422"/>
      <c r="E116" s="1422"/>
      <c r="F116" s="1422"/>
      <c r="G116" s="1422"/>
      <c r="H116" s="1422"/>
      <c r="I116" s="1422"/>
      <c r="J116" s="1423"/>
      <c r="K116" s="562">
        <f>IFERROR(AVERAGE(K108:K115),0)</f>
        <v>1.1615130302526715</v>
      </c>
      <c r="L116" s="562">
        <f>IFERROR(AVERAGE(L108:L115),0)</f>
        <v>1.0155097267816826</v>
      </c>
      <c r="M116" s="562">
        <f>IFERROR(AVERAGE(M108:M115),0)</f>
        <v>0.70403071305841924</v>
      </c>
      <c r="N116" s="569"/>
      <c r="O116" s="569"/>
      <c r="P116" s="569"/>
      <c r="Q116" s="569"/>
      <c r="R116" s="569"/>
      <c r="S116" s="569"/>
      <c r="T116" s="569"/>
      <c r="U116" s="569"/>
      <c r="V116" s="655"/>
      <c r="X116" s="740"/>
    </row>
    <row r="117" spans="2:26" s="552" customFormat="1">
      <c r="D117" s="554"/>
      <c r="V117" s="554"/>
      <c r="X117" s="740"/>
    </row>
    <row r="118" spans="2:26" s="552" customFormat="1" ht="15.6">
      <c r="C118" s="555" t="s">
        <v>935</v>
      </c>
      <c r="D118" s="587"/>
      <c r="V118" s="554"/>
      <c r="X118" s="740"/>
    </row>
    <row r="119" spans="2:26" ht="29.4" customHeight="1">
      <c r="C119" s="1402" t="str">
        <f>+$C$11</f>
        <v>Identifificación del Indicador</v>
      </c>
      <c r="D119" s="1401" t="s">
        <v>919</v>
      </c>
      <c r="E119" s="1405" t="s">
        <v>920</v>
      </c>
      <c r="F119" s="1406"/>
      <c r="G119" s="1407"/>
      <c r="H119" s="1402" t="s">
        <v>921</v>
      </c>
      <c r="I119" s="1408" t="str">
        <f>$I$9</f>
        <v>Ejecución Acumulada Corte
30/09/2021</v>
      </c>
      <c r="J119" s="1402" t="s">
        <v>922</v>
      </c>
      <c r="K119" s="1402" t="s">
        <v>915</v>
      </c>
      <c r="L119" s="1402"/>
      <c r="M119" s="1402"/>
      <c r="N119" s="1404" t="s">
        <v>766</v>
      </c>
      <c r="O119" s="1404"/>
      <c r="P119" s="1404"/>
      <c r="Q119" s="1404"/>
      <c r="R119" s="1404"/>
      <c r="S119" s="1404"/>
      <c r="T119" s="1404"/>
      <c r="U119" s="1404"/>
      <c r="V119" s="1402" t="s">
        <v>944</v>
      </c>
      <c r="X119" s="740"/>
    </row>
    <row r="120" spans="2:26" ht="54.6" customHeight="1">
      <c r="C120" s="1402"/>
      <c r="D120" s="1401"/>
      <c r="E120" s="1032" t="str">
        <f>$E$12</f>
        <v>Año 2021</v>
      </c>
      <c r="F120" s="1032" t="str">
        <f>$D$5</f>
        <v>Tercer Trimestre</v>
      </c>
      <c r="G120" s="1033" t="str">
        <f>$G$9</f>
        <v>Acumulada Corte
30/09/2021</v>
      </c>
      <c r="H120" s="1402"/>
      <c r="I120" s="1408"/>
      <c r="J120" s="1402"/>
      <c r="K120" s="1032" t="str">
        <f>+$D$5</f>
        <v>Tercer Trimestre</v>
      </c>
      <c r="L120" s="1033" t="str">
        <f>$L$12</f>
        <v>Acumulado Corte 30/09/2021</v>
      </c>
      <c r="M120" s="1032" t="s">
        <v>811</v>
      </c>
      <c r="N120" s="1117" t="s">
        <v>924</v>
      </c>
      <c r="O120" s="1118"/>
      <c r="P120" s="1119" t="s">
        <v>925</v>
      </c>
      <c r="Q120" s="1120"/>
      <c r="R120" s="1120"/>
      <c r="S120" s="1121"/>
      <c r="T120" s="1122" t="s">
        <v>774</v>
      </c>
      <c r="U120" s="1123"/>
      <c r="V120" s="1402"/>
      <c r="X120" s="740"/>
    </row>
    <row r="121" spans="2:26" ht="141.6" customHeight="1">
      <c r="B121" s="556">
        <f>1+B115</f>
        <v>64</v>
      </c>
      <c r="C121" s="557" t="str">
        <f>+'Rango indicadores'!D65</f>
        <v>09-R1-01</v>
      </c>
      <c r="D121" s="557" t="str">
        <f>+'Rango indicadores'!E65</f>
        <v>Porcentaje de servicios atendidos</v>
      </c>
      <c r="E121" s="561">
        <f>+'Rango indicadores'!Q68</f>
        <v>0.95</v>
      </c>
      <c r="F121" s="561">
        <f>+'1.Informe Seguimiento POA 2021'!S70</f>
        <v>1</v>
      </c>
      <c r="G121" s="561">
        <f>IFERROR(AVERAGE('1.Informe Seguimiento POA 2021'!O70,'1.Informe Seguimiento POA 2021'!Q70,'1.Informe Seguimiento POA 2021'!S70),0)</f>
        <v>1</v>
      </c>
      <c r="H121" s="561">
        <f>+'1.Informe Seguimiento POA 2021'!T70</f>
        <v>1</v>
      </c>
      <c r="I121" s="561">
        <f>IFERROR(AVERAGE('1.Informe Seguimiento POA 2021'!P70,'1.Informe Seguimiento POA 2021'!R70,'1.Informe Seguimiento POA 2021'!T70),0)</f>
        <v>0.99877777777777776</v>
      </c>
      <c r="J121" s="561">
        <f>+'1.Informe Seguimiento POA 2021'!X70</f>
        <v>0.998</v>
      </c>
      <c r="K121" s="546">
        <f t="shared" ref="K121:L122" si="29">IF(AND(F121&gt;0),H121/F121,"No programado")</f>
        <v>1</v>
      </c>
      <c r="L121" s="546">
        <f>IF(AND(G121&gt;0),I121/G121,"No programado")</f>
        <v>0.99877777777777776</v>
      </c>
      <c r="M121" s="546">
        <f>+'1.Informe Seguimiento POA 2021'!Y70</f>
        <v>0.74849999999999994</v>
      </c>
      <c r="N121" s="564" t="str">
        <f>+'Rango indicadores'!H68</f>
        <v>Mayor o igual A:</v>
      </c>
      <c r="O121" s="559">
        <f>+'Rango indicadores'!I68</f>
        <v>95</v>
      </c>
      <c r="P121" s="559" t="str">
        <f>+'Rango indicadores'!J68</f>
        <v>Desde (&gt;):</v>
      </c>
      <c r="Q121" s="559">
        <f>+'Rango indicadores'!K68</f>
        <v>90</v>
      </c>
      <c r="R121" s="559" t="str">
        <f>+'Rango indicadores'!L68</f>
        <v>Hasta (&lt;):</v>
      </c>
      <c r="S121" s="559">
        <f>+'Rango indicadores'!M68</f>
        <v>95</v>
      </c>
      <c r="T121" s="559" t="str">
        <f>+'Rango indicadores'!N68</f>
        <v>Menor o Igual A:</v>
      </c>
      <c r="U121" s="559">
        <f>+'Rango indicadores'!O68</f>
        <v>90</v>
      </c>
      <c r="V121" s="646" t="s">
        <v>1186</v>
      </c>
      <c r="W121" s="649"/>
      <c r="X121" s="740"/>
      <c r="Y121" s="649"/>
      <c r="Z121" s="577"/>
    </row>
    <row r="122" spans="2:26" ht="139.94999999999999" customHeight="1">
      <c r="B122" s="556">
        <f>+B121+1</f>
        <v>65</v>
      </c>
      <c r="C122" s="557" t="str">
        <f>+'Rango indicadores'!D66</f>
        <v>09-R1-02</v>
      </c>
      <c r="D122" s="557" t="str">
        <f>+'Rango indicadores'!E66</f>
        <v>Porcentaje de actividades del PESV ejecutadas</v>
      </c>
      <c r="E122" s="561">
        <f>+'Rango indicadores'!Q69</f>
        <v>1</v>
      </c>
      <c r="F122" s="561">
        <f>+'1.Informe Seguimiento POA 2021'!S71</f>
        <v>0.97000000000000008</v>
      </c>
      <c r="G122" s="561">
        <f>IFERROR(AVERAGE('1.Informe Seguimiento POA 2021'!O71,'1.Informe Seguimiento POA 2021'!Q71,'1.Informe Seguimiento POA 2021'!S71),0)</f>
        <v>0.97000000000000008</v>
      </c>
      <c r="H122" s="561">
        <f>+'1.Informe Seguimiento POA 2021'!T71</f>
        <v>1.1609999999999998</v>
      </c>
      <c r="I122" s="561">
        <f>IFERROR(AVERAGE('1.Informe Seguimiento POA 2021'!P71,'1.Informe Seguimiento POA 2021'!R71,'1.Informe Seguimiento POA 2021'!T71),0)</f>
        <v>1.0660123456790123</v>
      </c>
      <c r="J122" s="561">
        <f>+'1.Informe Seguimiento POA 2021'!X71</f>
        <v>1.0660000000000001</v>
      </c>
      <c r="K122" s="546">
        <f t="shared" si="29"/>
        <v>1.1969072164948451</v>
      </c>
      <c r="L122" s="546">
        <f t="shared" si="29"/>
        <v>1.0989817996690847</v>
      </c>
      <c r="M122" s="546">
        <f>+'1.Informe Seguimiento POA 2021'!Y71</f>
        <v>0.8242268041237113</v>
      </c>
      <c r="N122" s="564" t="str">
        <f>+'Rango indicadores'!H69</f>
        <v>Mayor o igual A:</v>
      </c>
      <c r="O122" s="559">
        <f>+'Rango indicadores'!I69</f>
        <v>100</v>
      </c>
      <c r="P122" s="559" t="str">
        <f>+'Rango indicadores'!J69</f>
        <v>Desde (&gt;):</v>
      </c>
      <c r="Q122" s="559">
        <f>+'Rango indicadores'!K69</f>
        <v>95</v>
      </c>
      <c r="R122" s="559" t="str">
        <f>+'Rango indicadores'!L69</f>
        <v>Hasta (&lt;):</v>
      </c>
      <c r="S122" s="559">
        <f>+'Rango indicadores'!M69</f>
        <v>100</v>
      </c>
      <c r="T122" s="559" t="str">
        <f>+'Rango indicadores'!N69</f>
        <v>Menor o Igual A:</v>
      </c>
      <c r="U122" s="559">
        <f>+'Rango indicadores'!O69</f>
        <v>95</v>
      </c>
      <c r="V122" s="646" t="s">
        <v>1187</v>
      </c>
      <c r="W122" s="649"/>
      <c r="X122" s="740"/>
      <c r="Y122" s="649"/>
      <c r="Z122" s="577"/>
    </row>
    <row r="123" spans="2:26" ht="15.6">
      <c r="C123" s="1421" t="s">
        <v>926</v>
      </c>
      <c r="D123" s="1422"/>
      <c r="E123" s="1422"/>
      <c r="F123" s="1422"/>
      <c r="G123" s="1422"/>
      <c r="H123" s="1422"/>
      <c r="I123" s="1422"/>
      <c r="J123" s="1423"/>
      <c r="K123" s="562">
        <f>AVERAGE(K121:K122)</f>
        <v>1.0984536082474226</v>
      </c>
      <c r="L123" s="562">
        <f>AVERAGE(L121:L122)</f>
        <v>1.0488797887234313</v>
      </c>
      <c r="M123" s="562">
        <f>AVERAGE(M121:M122)</f>
        <v>0.78636340206185562</v>
      </c>
      <c r="N123" s="569"/>
      <c r="O123" s="569"/>
      <c r="P123" s="569"/>
      <c r="Q123" s="569"/>
      <c r="R123" s="569"/>
      <c r="S123" s="569"/>
      <c r="T123" s="569"/>
      <c r="U123" s="569"/>
      <c r="V123" s="654"/>
      <c r="X123" s="740"/>
    </row>
    <row r="124" spans="2:26" s="552" customFormat="1">
      <c r="D124" s="554"/>
      <c r="V124" s="554"/>
      <c r="X124" s="740"/>
    </row>
    <row r="125" spans="2:26" s="552" customFormat="1" ht="15.6">
      <c r="C125" s="555" t="s">
        <v>936</v>
      </c>
      <c r="D125" s="587"/>
      <c r="V125" s="554"/>
      <c r="X125" s="740"/>
    </row>
    <row r="126" spans="2:26" ht="35.25" customHeight="1">
      <c r="C126" s="1402" t="str">
        <f>+$C$11</f>
        <v>Identifificación del Indicador</v>
      </c>
      <c r="D126" s="1401" t="s">
        <v>919</v>
      </c>
      <c r="E126" s="1405" t="s">
        <v>920</v>
      </c>
      <c r="F126" s="1406"/>
      <c r="G126" s="1407"/>
      <c r="H126" s="1402" t="s">
        <v>921</v>
      </c>
      <c r="I126" s="1408" t="str">
        <f>$I$9</f>
        <v>Ejecución Acumulada Corte
30/09/2021</v>
      </c>
      <c r="J126" s="1402" t="s">
        <v>922</v>
      </c>
      <c r="K126" s="1402" t="s">
        <v>915</v>
      </c>
      <c r="L126" s="1402"/>
      <c r="M126" s="1402"/>
      <c r="N126" s="1404" t="s">
        <v>766</v>
      </c>
      <c r="O126" s="1404"/>
      <c r="P126" s="1404"/>
      <c r="Q126" s="1404"/>
      <c r="R126" s="1404"/>
      <c r="S126" s="1404"/>
      <c r="T126" s="1404"/>
      <c r="U126" s="1404"/>
      <c r="V126" s="1402" t="s">
        <v>944</v>
      </c>
      <c r="X126" s="740"/>
    </row>
    <row r="127" spans="2:26" ht="61.5" customHeight="1">
      <c r="C127" s="1402"/>
      <c r="D127" s="1401"/>
      <c r="E127" s="1032" t="str">
        <f>$E$12</f>
        <v>Año 2021</v>
      </c>
      <c r="F127" s="1032" t="str">
        <f>$D$5</f>
        <v>Tercer Trimestre</v>
      </c>
      <c r="G127" s="1033" t="str">
        <f>$G$9</f>
        <v>Acumulada Corte
30/09/2021</v>
      </c>
      <c r="H127" s="1402"/>
      <c r="I127" s="1408"/>
      <c r="J127" s="1402"/>
      <c r="K127" s="1032" t="str">
        <f>+$D$5</f>
        <v>Tercer Trimestre</v>
      </c>
      <c r="L127" s="1033" t="str">
        <f>$L$12</f>
        <v>Acumulado Corte 30/09/2021</v>
      </c>
      <c r="M127" s="1032" t="s">
        <v>811</v>
      </c>
      <c r="N127" s="1117" t="s">
        <v>924</v>
      </c>
      <c r="O127" s="1118"/>
      <c r="P127" s="1119" t="s">
        <v>925</v>
      </c>
      <c r="Q127" s="1120"/>
      <c r="R127" s="1120"/>
      <c r="S127" s="1121"/>
      <c r="T127" s="1122" t="s">
        <v>774</v>
      </c>
      <c r="U127" s="1123"/>
      <c r="V127" s="1402"/>
      <c r="X127" s="740"/>
    </row>
    <row r="128" spans="2:26" ht="141" customHeight="1">
      <c r="B128" s="556">
        <f>+B122+1</f>
        <v>66</v>
      </c>
      <c r="C128" s="557" t="str">
        <f>+'Rango indicadores'!D67</f>
        <v>10-R1-01</v>
      </c>
      <c r="D128" s="557" t="str">
        <f>+'Rango indicadores'!E67</f>
        <v>Porcentaje del presupuesto aprobado y ejecutado.</v>
      </c>
      <c r="E128" s="561">
        <f>+'Rango indicadores'!Q67</f>
        <v>0.95</v>
      </c>
      <c r="F128" s="561">
        <f>+'1.Informe Seguimiento POA 2021'!S72</f>
        <v>0.25</v>
      </c>
      <c r="G128" s="561">
        <f>+'1.Informe Seguimiento POA 2021'!O72+'1.Informe Seguimiento POA 2021'!Q72+'1.Informe Seguimiento POA 2021'!S72</f>
        <v>0.72</v>
      </c>
      <c r="H128" s="561">
        <f>+'1.Informe Seguimiento POA 2021'!T72</f>
        <v>0.19900000000000001</v>
      </c>
      <c r="I128" s="561">
        <f>+'1.Informe Seguimiento POA 2021'!P72+'1.Informe Seguimiento POA 2021'!R72+'1.Informe Seguimiento POA 2021'!T72</f>
        <v>0.66100000000000003</v>
      </c>
      <c r="J128" s="561">
        <f>+'1.Informe Seguimiento POA 2021'!X72</f>
        <v>0.66100000000000003</v>
      </c>
      <c r="K128" s="579">
        <f>IF(AND(F128&gt;0),H128/F128,"No programado")</f>
        <v>0.79600000000000004</v>
      </c>
      <c r="L128" s="579">
        <f>IF(AND(G128&gt;0),I128/G128,"No programado")</f>
        <v>0.91805555555555562</v>
      </c>
      <c r="M128" s="579">
        <f>+'1.Informe Seguimiento POA 2021'!Y72</f>
        <v>0.69578947368421062</v>
      </c>
      <c r="N128" s="564" t="str">
        <f>+'Rango indicadores'!H67</f>
        <v>Mayor o igual A:</v>
      </c>
      <c r="O128" s="559">
        <f>+'Rango indicadores'!I67</f>
        <v>95</v>
      </c>
      <c r="P128" s="559" t="str">
        <f>+'Rango indicadores'!J67</f>
        <v>Desde (&gt;):</v>
      </c>
      <c r="Q128" s="559">
        <f>+'Rango indicadores'!K67</f>
        <v>90</v>
      </c>
      <c r="R128" s="559" t="str">
        <f>+'Rango indicadores'!L67</f>
        <v>Hasta (&lt;):</v>
      </c>
      <c r="S128" s="559">
        <f>+'Rango indicadores'!M67</f>
        <v>95</v>
      </c>
      <c r="T128" s="559" t="str">
        <f>+'Rango indicadores'!N67</f>
        <v>Menor o Igual A:</v>
      </c>
      <c r="U128" s="559">
        <f>+'Rango indicadores'!O67</f>
        <v>90</v>
      </c>
      <c r="V128" s="646" t="s">
        <v>1188</v>
      </c>
      <c r="W128" s="649"/>
      <c r="X128" s="1047"/>
      <c r="Y128" s="649"/>
      <c r="Z128" s="576"/>
    </row>
    <row r="129" spans="2:26" ht="155.4" customHeight="1">
      <c r="B129" s="556">
        <f>+B128+1</f>
        <v>67</v>
      </c>
      <c r="C129" s="557" t="str">
        <f>+'Rango indicadores'!D68</f>
        <v>10-R1-02</v>
      </c>
      <c r="D129" s="557" t="str">
        <f>+'Rango indicadores'!E68</f>
        <v>Porcentaje de los compromisos de pago programados y ejecutados.</v>
      </c>
      <c r="E129" s="561">
        <f>+'Rango indicadores'!Q68</f>
        <v>0.95</v>
      </c>
      <c r="F129" s="561">
        <f>+'1.Informe Seguimiento POA 2021'!S73</f>
        <v>0.23000000000000004</v>
      </c>
      <c r="G129" s="561">
        <f>+'1.Informe Seguimiento POA 2021'!O73+'1.Informe Seguimiento POA 2021'!Q73+'1.Informe Seguimiento POA 2021'!S73</f>
        <v>0.62000000000000011</v>
      </c>
      <c r="H129" s="561">
        <f>+'1.Informe Seguimiento POA 2021'!T73</f>
        <v>0.22679170604630311</v>
      </c>
      <c r="I129" s="561">
        <f>+'1.Informe Seguimiento POA 2021'!P73+'1.Informe Seguimiento POA 2021'!R73+'1.Informe Seguimiento POA 2021'!T73</f>
        <v>0.55951182624136386</v>
      </c>
      <c r="J129" s="561">
        <f>+'1.Informe Seguimiento POA 2021'!X73</f>
        <v>0.55951182624136386</v>
      </c>
      <c r="K129" s="579">
        <f t="shared" ref="K129:K130" si="30">IF(AND(F129&gt;0),H129/F129,"No programado")</f>
        <v>0.98605089585349159</v>
      </c>
      <c r="L129" s="579">
        <f t="shared" ref="L129:L130" si="31">IF(AND(G129&gt;0),I129/G129,"No programado")</f>
        <v>0.9024384294215545</v>
      </c>
      <c r="M129" s="579">
        <f>+'1.Informe Seguimiento POA 2021'!Y73</f>
        <v>0.5889598170961724</v>
      </c>
      <c r="N129" s="564" t="str">
        <f>+'Rango indicadores'!H68</f>
        <v>Mayor o igual A:</v>
      </c>
      <c r="O129" s="559">
        <f>+'Rango indicadores'!I68</f>
        <v>95</v>
      </c>
      <c r="P129" s="559" t="str">
        <f>+'Rango indicadores'!J68</f>
        <v>Desde (&gt;):</v>
      </c>
      <c r="Q129" s="559">
        <f>+'Rango indicadores'!K68</f>
        <v>90</v>
      </c>
      <c r="R129" s="559" t="str">
        <f>+'Rango indicadores'!L68</f>
        <v>Hasta (&lt;):</v>
      </c>
      <c r="S129" s="559">
        <f>+'Rango indicadores'!M68</f>
        <v>95</v>
      </c>
      <c r="T129" s="559" t="str">
        <f>+'Rango indicadores'!N68</f>
        <v>Menor o Igual A:</v>
      </c>
      <c r="U129" s="559">
        <f>+'Rango indicadores'!O68</f>
        <v>90</v>
      </c>
      <c r="V129" s="646" t="s">
        <v>1189</v>
      </c>
      <c r="W129" s="649"/>
      <c r="X129" s="1047"/>
      <c r="Y129" s="649"/>
      <c r="Z129" s="576"/>
    </row>
    <row r="130" spans="2:26" ht="79.2">
      <c r="B130" s="556">
        <f>+B129+1</f>
        <v>68</v>
      </c>
      <c r="C130" s="557" t="str">
        <f>+'Rango indicadores'!D69</f>
        <v>10-R1-03</v>
      </c>
      <c r="D130" s="557" t="str">
        <f>+'Rango indicadores'!E69</f>
        <v>Porcentaje de estados financieros de la Entidad elaborados y presentados.</v>
      </c>
      <c r="E130" s="561">
        <f>+'Rango indicadores'!Q69</f>
        <v>1</v>
      </c>
      <c r="F130" s="561">
        <f>+'1.Informe Seguimiento POA 2021'!S74</f>
        <v>0.25</v>
      </c>
      <c r="G130" s="561">
        <f>+'1.Informe Seguimiento POA 2021'!O74+'1.Informe Seguimiento POA 2021'!Q74+'1.Informe Seguimiento POA 2021'!S74</f>
        <v>0.75</v>
      </c>
      <c r="H130" s="561">
        <f>+'1.Informe Seguimiento POA 2021'!T74</f>
        <v>0.25</v>
      </c>
      <c r="I130" s="561">
        <f>+'1.Informe Seguimiento POA 2021'!P74+'1.Informe Seguimiento POA 2021'!R74+'1.Informe Seguimiento POA 2021'!T74</f>
        <v>0.75</v>
      </c>
      <c r="J130" s="561">
        <f>+'1.Informe Seguimiento POA 2021'!X74</f>
        <v>0.75</v>
      </c>
      <c r="K130" s="579">
        <f t="shared" si="30"/>
        <v>1</v>
      </c>
      <c r="L130" s="579">
        <f t="shared" si="31"/>
        <v>1</v>
      </c>
      <c r="M130" s="579">
        <f>+'1.Informe Seguimiento POA 2021'!Y74</f>
        <v>0.75</v>
      </c>
      <c r="N130" s="564" t="str">
        <f>+'Rango indicadores'!H69</f>
        <v>Mayor o igual A:</v>
      </c>
      <c r="O130" s="559">
        <f>+'Rango indicadores'!I69</f>
        <v>100</v>
      </c>
      <c r="P130" s="559" t="str">
        <f>+'Rango indicadores'!J69</f>
        <v>Desde (&gt;):</v>
      </c>
      <c r="Q130" s="559">
        <f>+'Rango indicadores'!K69</f>
        <v>95</v>
      </c>
      <c r="R130" s="559" t="str">
        <f>+'Rango indicadores'!L69</f>
        <v>Hasta (&lt;):</v>
      </c>
      <c r="S130" s="559">
        <f>+'Rango indicadores'!M69</f>
        <v>100</v>
      </c>
      <c r="T130" s="559" t="str">
        <f>+'Rango indicadores'!N69</f>
        <v>Menor o Igual A:</v>
      </c>
      <c r="U130" s="559">
        <f>+'Rango indicadores'!O69</f>
        <v>95</v>
      </c>
      <c r="V130" s="653" t="s">
        <v>1001</v>
      </c>
      <c r="W130" s="649"/>
      <c r="X130" s="740"/>
      <c r="Y130" s="649"/>
      <c r="Z130" s="576"/>
    </row>
    <row r="131" spans="2:26" ht="15.6">
      <c r="C131" s="1421" t="s">
        <v>926</v>
      </c>
      <c r="D131" s="1422"/>
      <c r="E131" s="1422"/>
      <c r="F131" s="1422"/>
      <c r="G131" s="1422"/>
      <c r="H131" s="1422"/>
      <c r="I131" s="1422"/>
      <c r="J131" s="1423"/>
      <c r="K131" s="580">
        <f>IFERROR(AVERAGE(K128:K130),0)</f>
        <v>0.92735029861783058</v>
      </c>
      <c r="L131" s="580">
        <f>IFERROR(AVERAGE(L128:L130),0)</f>
        <v>0.94016466165903667</v>
      </c>
      <c r="M131" s="580">
        <f>IFERROR(AVERAGE(M128:M130),0)</f>
        <v>0.67824976359346101</v>
      </c>
      <c r="N131" s="569"/>
      <c r="O131" s="569"/>
      <c r="P131" s="569"/>
      <c r="Q131" s="569"/>
      <c r="R131" s="569"/>
      <c r="S131" s="569"/>
      <c r="T131" s="569"/>
      <c r="U131" s="569"/>
      <c r="V131" s="654"/>
      <c r="X131" s="740"/>
    </row>
    <row r="132" spans="2:26" s="552" customFormat="1">
      <c r="D132" s="554"/>
      <c r="V132" s="554"/>
      <c r="X132" s="740"/>
    </row>
    <row r="133" spans="2:26" s="552" customFormat="1" ht="15.6">
      <c r="C133" s="555" t="s">
        <v>937</v>
      </c>
      <c r="D133" s="587"/>
      <c r="V133" s="554"/>
      <c r="X133" s="740"/>
    </row>
    <row r="134" spans="2:26" ht="36.75" customHeight="1">
      <c r="C134" s="1402" t="str">
        <f>+$C$11</f>
        <v>Identifificación del Indicador</v>
      </c>
      <c r="D134" s="1401" t="s">
        <v>919</v>
      </c>
      <c r="E134" s="1405" t="s">
        <v>920</v>
      </c>
      <c r="F134" s="1406"/>
      <c r="G134" s="1407"/>
      <c r="H134" s="1402" t="s">
        <v>921</v>
      </c>
      <c r="I134" s="1408" t="str">
        <f>$I$9</f>
        <v>Ejecución Acumulada Corte
30/09/2021</v>
      </c>
      <c r="J134" s="1402" t="s">
        <v>922</v>
      </c>
      <c r="K134" s="1402" t="s">
        <v>915</v>
      </c>
      <c r="L134" s="1402"/>
      <c r="M134" s="1402"/>
      <c r="N134" s="1404" t="s">
        <v>766</v>
      </c>
      <c r="O134" s="1404"/>
      <c r="P134" s="1404"/>
      <c r="Q134" s="1404"/>
      <c r="R134" s="1404"/>
      <c r="S134" s="1404"/>
      <c r="T134" s="1404"/>
      <c r="U134" s="1404"/>
      <c r="V134" s="1402" t="s">
        <v>944</v>
      </c>
      <c r="X134" s="740"/>
    </row>
    <row r="135" spans="2:26" ht="60.75" customHeight="1">
      <c r="C135" s="1402"/>
      <c r="D135" s="1401"/>
      <c r="E135" s="1032" t="str">
        <f>$E$12</f>
        <v>Año 2021</v>
      </c>
      <c r="F135" s="1032" t="str">
        <f>$D$5</f>
        <v>Tercer Trimestre</v>
      </c>
      <c r="G135" s="1033" t="str">
        <f>$G$9</f>
        <v>Acumulada Corte
30/09/2021</v>
      </c>
      <c r="H135" s="1402"/>
      <c r="I135" s="1408"/>
      <c r="J135" s="1402"/>
      <c r="K135" s="1032" t="str">
        <f>+$D$5</f>
        <v>Tercer Trimestre</v>
      </c>
      <c r="L135" s="1033" t="str">
        <f>$L$12</f>
        <v>Acumulado Corte 30/09/2021</v>
      </c>
      <c r="M135" s="1032" t="s">
        <v>811</v>
      </c>
      <c r="N135" s="1117" t="s">
        <v>924</v>
      </c>
      <c r="O135" s="1118"/>
      <c r="P135" s="1119" t="s">
        <v>925</v>
      </c>
      <c r="Q135" s="1120"/>
      <c r="R135" s="1120"/>
      <c r="S135" s="1121"/>
      <c r="T135" s="1122" t="s">
        <v>774</v>
      </c>
      <c r="U135" s="1123"/>
      <c r="V135" s="1402"/>
      <c r="X135" s="740"/>
    </row>
    <row r="136" spans="2:26" ht="158.4">
      <c r="B136" s="556">
        <f>+B130+1</f>
        <v>69</v>
      </c>
      <c r="C136" s="581" t="str">
        <f>+'Rango indicadores'!D70</f>
        <v>11-RI-01</v>
      </c>
      <c r="D136" s="581" t="str">
        <f>+'Rango indicadores'!E70</f>
        <v xml:space="preserve">Porcentaje del Plan Anual de Adquisiciones ejecutado </v>
      </c>
      <c r="E136" s="546">
        <f>+'Rango indicadores'!Q70</f>
        <v>0.95</v>
      </c>
      <c r="F136" s="546">
        <f>+'1.Informe Seguimiento POA 2021'!S75</f>
        <v>0.08</v>
      </c>
      <c r="G136" s="561">
        <f>+'1.Informe Seguimiento POA 2021'!O75+'1.Informe Seguimiento POA 2021'!Q75+'1.Informe Seguimiento POA 2021'!S75</f>
        <v>0.8899999999999999</v>
      </c>
      <c r="H136" s="546">
        <f>+'1.Informe Seguimiento POA 2021'!T75</f>
        <v>0.21000000000000002</v>
      </c>
      <c r="I136" s="546">
        <f>+'1.Informe Seguimiento POA 2021'!P75+'1.Informe Seguimiento POA 2021'!R75+'1.Informe Seguimiento POA 2021'!T75</f>
        <v>0.71</v>
      </c>
      <c r="J136" s="546">
        <f>+'1.Informe Seguimiento POA 2021'!X75</f>
        <v>0.71</v>
      </c>
      <c r="K136" s="546">
        <f>IF(AND(F136&gt;0),H136/F136,"No programado")</f>
        <v>2.625</v>
      </c>
      <c r="L136" s="546">
        <f>IF(AND(G136&gt;0),I136/G136,"No programado")</f>
        <v>0.79775280898876411</v>
      </c>
      <c r="M136" s="546">
        <f>+'1.Informe Seguimiento POA 2021'!Y75</f>
        <v>0.74736842105263157</v>
      </c>
      <c r="N136" s="564" t="str">
        <f>+'Rango indicadores'!H70</f>
        <v>Mayor o igual A:</v>
      </c>
      <c r="O136" s="559">
        <f>+'Rango indicadores'!I70</f>
        <v>95</v>
      </c>
      <c r="P136" s="559" t="str">
        <f>+'Rango indicadores'!J70</f>
        <v>Desde (&gt;):</v>
      </c>
      <c r="Q136" s="559">
        <f>+'Rango indicadores'!K70</f>
        <v>90</v>
      </c>
      <c r="R136" s="559" t="str">
        <f>+'Rango indicadores'!L70</f>
        <v>Hasta (&lt;):</v>
      </c>
      <c r="S136" s="559">
        <f>+'Rango indicadores'!M70</f>
        <v>95</v>
      </c>
      <c r="T136" s="559" t="str">
        <f>+'Rango indicadores'!N70</f>
        <v>Menor o Igual A:</v>
      </c>
      <c r="U136" s="559">
        <f>+'Rango indicadores'!O70</f>
        <v>90</v>
      </c>
      <c r="V136" s="646" t="s">
        <v>1190</v>
      </c>
      <c r="W136" s="649"/>
      <c r="X136" s="741"/>
      <c r="Y136" s="649"/>
    </row>
    <row r="137" spans="2:26" ht="118.8">
      <c r="B137" s="556">
        <f>+B136+1</f>
        <v>70</v>
      </c>
      <c r="C137" s="581" t="str">
        <f>+'Rango indicadores'!D71</f>
        <v>11-RI-02</v>
      </c>
      <c r="D137" s="581" t="str">
        <f>+'Rango indicadores'!E71</f>
        <v xml:space="preserve">Porcentaje de contratos en la modalidad de contratacion directa elaborados en los tiempos óptimos </v>
      </c>
      <c r="E137" s="546">
        <f>+'Rango indicadores'!Q71</f>
        <v>0.6</v>
      </c>
      <c r="F137" s="546">
        <f>+'1.Informe Seguimiento POA 2021'!S85</f>
        <v>0.6</v>
      </c>
      <c r="G137" s="561">
        <f>IFERROR(AVERAGE('1.Informe Seguimiento POA 2021'!S85),0)</f>
        <v>0.6</v>
      </c>
      <c r="H137" s="546">
        <f>+'1.Informe Seguimiento POA 2021'!T85</f>
        <v>0.505</v>
      </c>
      <c r="I137" s="546">
        <f>IFERROR(AVERAGE('1.Informe Seguimiento POA 2021'!T85),0)</f>
        <v>0.505</v>
      </c>
      <c r="J137" s="546">
        <f>+'1.Informe Seguimiento POA 2021'!X85</f>
        <v>0.505</v>
      </c>
      <c r="K137" s="575">
        <f t="shared" ref="K137:K139" si="32">IF(AND(F137&gt;0),H137/F137,"No programado")</f>
        <v>0.84166666666666667</v>
      </c>
      <c r="L137" s="575">
        <f t="shared" ref="L137:L139" si="33">IF(AND(G137&gt;0),I137/G137,"No programado")</f>
        <v>0.84166666666666667</v>
      </c>
      <c r="M137" s="546">
        <f>+'1.Informe Seguimiento POA 2021'!Y85</f>
        <v>0.63124999999999998</v>
      </c>
      <c r="N137" s="564" t="str">
        <f>+'Rango indicadores'!H71</f>
        <v>Mayor o igual A:</v>
      </c>
      <c r="O137" s="559">
        <f>+'Rango indicadores'!I71</f>
        <v>95</v>
      </c>
      <c r="P137" s="559" t="str">
        <f>+'Rango indicadores'!J71</f>
        <v>Desde (&gt;):</v>
      </c>
      <c r="Q137" s="559">
        <f>+'Rango indicadores'!K71</f>
        <v>80</v>
      </c>
      <c r="R137" s="559" t="str">
        <f>+'Rango indicadores'!L71</f>
        <v>Hasta (&lt;):</v>
      </c>
      <c r="S137" s="559">
        <f>+'Rango indicadores'!M71</f>
        <v>95</v>
      </c>
      <c r="T137" s="559" t="str">
        <f>+'Rango indicadores'!N71</f>
        <v>Menor o Igual A:</v>
      </c>
      <c r="U137" s="559">
        <f>+'Rango indicadores'!O71</f>
        <v>80</v>
      </c>
      <c r="V137" s="646" t="s">
        <v>1191</v>
      </c>
      <c r="W137" s="649"/>
      <c r="X137" s="743"/>
      <c r="Y137" s="649"/>
    </row>
    <row r="138" spans="2:26" ht="118.8">
      <c r="B138" s="556">
        <f t="shared" ref="B138:B139" si="34">+B137+1</f>
        <v>71</v>
      </c>
      <c r="C138" s="581" t="str">
        <f>+'Rango indicadores'!D72</f>
        <v>11-RI-03</v>
      </c>
      <c r="D138" s="581" t="str">
        <f>+'Rango indicadores'!E72</f>
        <v xml:space="preserve">Porcentaje de contratos en la modalidad de selección abreviada de menor cuantía elaborados en los tiempos óptimos </v>
      </c>
      <c r="E138" s="546">
        <f>+'Rango indicadores'!Q72</f>
        <v>0.6</v>
      </c>
      <c r="F138" s="546">
        <f>+'1.Informe Seguimiento POA 2021'!S86</f>
        <v>0.6</v>
      </c>
      <c r="G138" s="561">
        <f>IFERROR(AVERAGE('1.Informe Seguimiento POA 2021'!S86),0)</f>
        <v>0.6</v>
      </c>
      <c r="H138" s="546">
        <f>+'1.Informe Seguimiento POA 2021'!T86</f>
        <v>0.58299999999999996</v>
      </c>
      <c r="I138" s="546">
        <f>IFERROR(AVERAGE('1.Informe Seguimiento POA 2021'!T86),0)</f>
        <v>0.58299999999999996</v>
      </c>
      <c r="J138" s="546">
        <f>+'1.Informe Seguimiento POA 2021'!X86</f>
        <v>0.58299999999999996</v>
      </c>
      <c r="K138" s="575">
        <f t="shared" si="32"/>
        <v>0.97166666666666668</v>
      </c>
      <c r="L138" s="575">
        <f t="shared" si="33"/>
        <v>0.97166666666666668</v>
      </c>
      <c r="M138" s="546">
        <f>+'1.Informe Seguimiento POA 2021'!Y86</f>
        <v>0.72875000000000001</v>
      </c>
      <c r="N138" s="564" t="str">
        <f>+'Rango indicadores'!H72</f>
        <v>Mayor o igual A:</v>
      </c>
      <c r="O138" s="559">
        <f>+'Rango indicadores'!I72</f>
        <v>95</v>
      </c>
      <c r="P138" s="559" t="str">
        <f>+'Rango indicadores'!J72</f>
        <v>Desde (&gt;):</v>
      </c>
      <c r="Q138" s="559">
        <f>+'Rango indicadores'!K72</f>
        <v>80</v>
      </c>
      <c r="R138" s="559" t="str">
        <f>+'Rango indicadores'!L72</f>
        <v>Hasta (&lt;):</v>
      </c>
      <c r="S138" s="559">
        <f>+'Rango indicadores'!M72</f>
        <v>95</v>
      </c>
      <c r="T138" s="559" t="str">
        <f>+'Rango indicadores'!N72</f>
        <v>Menor o Igual A:</v>
      </c>
      <c r="U138" s="559">
        <f>+'Rango indicadores'!O72</f>
        <v>80</v>
      </c>
      <c r="V138" s="646" t="s">
        <v>1192</v>
      </c>
      <c r="W138" s="649"/>
      <c r="X138" s="743"/>
      <c r="Y138" s="649"/>
    </row>
    <row r="139" spans="2:26" ht="83.4" customHeight="1">
      <c r="B139" s="556">
        <f t="shared" si="34"/>
        <v>72</v>
      </c>
      <c r="C139" s="581" t="str">
        <f>+'Rango indicadores'!D73</f>
        <v>11-RI-04</v>
      </c>
      <c r="D139" s="581" t="str">
        <f>+'Rango indicadores'!E73</f>
        <v xml:space="preserve">Porcentaje de contratos en la modalidad de selección abreviada de subasta inversa, licitación pública y concurso de méritos elaborados en los tiempos óptimos </v>
      </c>
      <c r="E139" s="546">
        <f>+'Rango indicadores'!Q73</f>
        <v>0.6</v>
      </c>
      <c r="F139" s="546">
        <f>+'1.Informe Seguimiento POA 2021'!S87</f>
        <v>0.6</v>
      </c>
      <c r="G139" s="561">
        <f>IFERROR(AVERAGE('1.Informe Seguimiento POA 2021'!S87),0)</f>
        <v>0.6</v>
      </c>
      <c r="H139" s="546">
        <f>+'1.Informe Seguimiento POA 2021'!T87</f>
        <v>0.6</v>
      </c>
      <c r="I139" s="546">
        <f>IFERROR(AVERAGE('1.Informe Seguimiento POA 2021'!T87),0)</f>
        <v>0.6</v>
      </c>
      <c r="J139" s="546">
        <f>+'1.Informe Seguimiento POA 2021'!X87</f>
        <v>0.6</v>
      </c>
      <c r="K139" s="575">
        <f t="shared" si="32"/>
        <v>1</v>
      </c>
      <c r="L139" s="575">
        <f t="shared" si="33"/>
        <v>1</v>
      </c>
      <c r="M139" s="546">
        <f>+'1.Informe Seguimiento POA 2021'!Y87</f>
        <v>0.75</v>
      </c>
      <c r="N139" s="564" t="str">
        <f>+'Rango indicadores'!H73</f>
        <v>Mayor o igual A:</v>
      </c>
      <c r="O139" s="559">
        <f>+'Rango indicadores'!I73</f>
        <v>95</v>
      </c>
      <c r="P139" s="559" t="str">
        <f>+'Rango indicadores'!J73</f>
        <v>Desde (&gt;):</v>
      </c>
      <c r="Q139" s="559">
        <f>+'Rango indicadores'!K73</f>
        <v>80</v>
      </c>
      <c r="R139" s="559" t="str">
        <f>+'Rango indicadores'!L73</f>
        <v>Hasta (&lt;):</v>
      </c>
      <c r="S139" s="559">
        <f>+'Rango indicadores'!M73</f>
        <v>95</v>
      </c>
      <c r="T139" s="559" t="str">
        <f>+'Rango indicadores'!N73</f>
        <v>Menor o Igual A:</v>
      </c>
      <c r="U139" s="559">
        <f>+'Rango indicadores'!O73</f>
        <v>80</v>
      </c>
      <c r="V139" s="653" t="s">
        <v>1193</v>
      </c>
      <c r="W139" s="649"/>
      <c r="X139" s="743"/>
      <c r="Y139" s="649"/>
    </row>
    <row r="140" spans="2:26" ht="15.6">
      <c r="C140" s="1421" t="s">
        <v>926</v>
      </c>
      <c r="D140" s="1422"/>
      <c r="E140" s="1422"/>
      <c r="F140" s="1422"/>
      <c r="G140" s="1422"/>
      <c r="H140" s="1422"/>
      <c r="I140" s="1422"/>
      <c r="J140" s="1423"/>
      <c r="K140" s="562">
        <f>IFERROR(AVERAGE(K136:K139),0)</f>
        <v>1.3595833333333334</v>
      </c>
      <c r="L140" s="562">
        <f>IFERROR(AVERAGE(L136:L139),0)</f>
        <v>0.90277153558052436</v>
      </c>
      <c r="M140" s="562">
        <f>IFERROR(AVERAGE(M136:M139),0)</f>
        <v>0.71434210526315789</v>
      </c>
      <c r="N140" s="569"/>
      <c r="O140" s="569"/>
      <c r="P140" s="569"/>
      <c r="Q140" s="569"/>
      <c r="R140" s="569"/>
      <c r="S140" s="569"/>
      <c r="T140" s="569"/>
      <c r="U140" s="569"/>
      <c r="V140" s="654"/>
      <c r="W140" s="576"/>
      <c r="X140" s="740"/>
      <c r="Y140" s="576"/>
      <c r="Z140" s="576"/>
    </row>
    <row r="141" spans="2:26" s="552" customFormat="1">
      <c r="D141" s="554"/>
      <c r="V141" s="554"/>
      <c r="X141" s="740"/>
    </row>
    <row r="142" spans="2:26" s="552" customFormat="1" ht="15.6">
      <c r="C142" s="555" t="s">
        <v>938</v>
      </c>
      <c r="D142" s="587"/>
      <c r="V142" s="554"/>
      <c r="X142" s="740"/>
    </row>
    <row r="143" spans="2:26" ht="33" customHeight="1">
      <c r="C143" s="1402" t="str">
        <f>+$C$11</f>
        <v>Identifificación del Indicador</v>
      </c>
      <c r="D143" s="1401" t="s">
        <v>919</v>
      </c>
      <c r="E143" s="1405" t="s">
        <v>920</v>
      </c>
      <c r="F143" s="1406"/>
      <c r="G143" s="1407"/>
      <c r="H143" s="1402" t="s">
        <v>921</v>
      </c>
      <c r="I143" s="1408" t="str">
        <f>$I$9</f>
        <v>Ejecución Acumulada Corte
30/09/2021</v>
      </c>
      <c r="J143" s="1402" t="s">
        <v>922</v>
      </c>
      <c r="K143" s="1402" t="s">
        <v>915</v>
      </c>
      <c r="L143" s="1402"/>
      <c r="M143" s="1402"/>
      <c r="N143" s="1404" t="s">
        <v>766</v>
      </c>
      <c r="O143" s="1404"/>
      <c r="P143" s="1404"/>
      <c r="Q143" s="1404"/>
      <c r="R143" s="1404"/>
      <c r="S143" s="1404"/>
      <c r="T143" s="1404"/>
      <c r="U143" s="1404"/>
      <c r="V143" s="1402" t="s">
        <v>944</v>
      </c>
      <c r="X143" s="740"/>
    </row>
    <row r="144" spans="2:26" ht="75" customHeight="1">
      <c r="C144" s="1402"/>
      <c r="D144" s="1401"/>
      <c r="E144" s="1032" t="str">
        <f>$E$12</f>
        <v>Año 2021</v>
      </c>
      <c r="F144" s="1032" t="str">
        <f>$D$5</f>
        <v>Tercer Trimestre</v>
      </c>
      <c r="G144" s="1033" t="str">
        <f>$G$9</f>
        <v>Acumulada Corte
30/09/2021</v>
      </c>
      <c r="H144" s="1402"/>
      <c r="I144" s="1408"/>
      <c r="J144" s="1402"/>
      <c r="K144" s="1032" t="str">
        <f>+$D$5</f>
        <v>Tercer Trimestre</v>
      </c>
      <c r="L144" s="1033" t="str">
        <f>$L$12</f>
        <v>Acumulado Corte 30/09/2021</v>
      </c>
      <c r="M144" s="1032" t="s">
        <v>811</v>
      </c>
      <c r="N144" s="1117" t="s">
        <v>924</v>
      </c>
      <c r="O144" s="1118"/>
      <c r="P144" s="1119" t="s">
        <v>925</v>
      </c>
      <c r="Q144" s="1120"/>
      <c r="R144" s="1120"/>
      <c r="S144" s="1121"/>
      <c r="T144" s="1122" t="s">
        <v>774</v>
      </c>
      <c r="U144" s="1123"/>
      <c r="V144" s="1402"/>
      <c r="X144" s="740"/>
    </row>
    <row r="145" spans="2:26" ht="139.94999999999999" customHeight="1">
      <c r="B145" s="556">
        <f>+B139+1</f>
        <v>73</v>
      </c>
      <c r="C145" s="557" t="str">
        <f>+'Rango indicadores'!D74</f>
        <v>12-RI-01</v>
      </c>
      <c r="D145" s="557" t="str">
        <f>+'Rango indicadores'!E74</f>
        <v>Porcentaje de Comunicaciones oficiales con reparto realizado dentro de los 3 días hábiles desde su radicación</v>
      </c>
      <c r="E145" s="561">
        <f>+'Rango indicadores'!Q74</f>
        <v>0.95</v>
      </c>
      <c r="F145" s="561">
        <f>+'1.Informe Seguimiento POA 2021'!S76</f>
        <v>0.94999999999999984</v>
      </c>
      <c r="G145" s="561">
        <f>IFERROR(AVERAGE('1.Informe Seguimiento POA 2021'!O76,'1.Informe Seguimiento POA 2021'!Q76,'1.Informe Seguimiento POA 2021'!S76),0)</f>
        <v>0.94999999999999984</v>
      </c>
      <c r="H145" s="1046">
        <f>+'1.Informe Seguimiento POA 2021'!T76</f>
        <v>0.98399999999999999</v>
      </c>
      <c r="I145" s="561">
        <f>IFERROR(AVERAGE('1.Informe Seguimiento POA 2021'!P76,'1.Informe Seguimiento POA 2021'!R76,'1.Informe Seguimiento POA 2021'!T76),0)</f>
        <v>0.97411111111111115</v>
      </c>
      <c r="J145" s="561">
        <f>+'1.Informe Seguimiento POA 2021'!X76</f>
        <v>0.97399999999999998</v>
      </c>
      <c r="K145" s="546">
        <f t="shared" ref="K145:L147" si="35">IF(AND(F145&gt;0),H145/F145,"No programado")</f>
        <v>1.0357894736842106</v>
      </c>
      <c r="L145" s="546">
        <f t="shared" si="35"/>
        <v>1.0253801169590646</v>
      </c>
      <c r="M145" s="546">
        <f>+'1.Informe Seguimiento POA 2021'!Y76</f>
        <v>0.7689473684210526</v>
      </c>
      <c r="N145" s="564" t="str">
        <f>+'Rango indicadores'!H74</f>
        <v>Mayor A:</v>
      </c>
      <c r="O145" s="559">
        <f>+'Rango indicadores'!I74</f>
        <v>95</v>
      </c>
      <c r="P145" s="559" t="str">
        <f>+'Rango indicadores'!J74</f>
        <v>Desde (&gt;=):</v>
      </c>
      <c r="Q145" s="559">
        <f>+'Rango indicadores'!K74</f>
        <v>90</v>
      </c>
      <c r="R145" s="559" t="str">
        <f>+'Rango indicadores'!L74</f>
        <v>Hasta (&lt;=):</v>
      </c>
      <c r="S145" s="559">
        <f>+'Rango indicadores'!M74</f>
        <v>95</v>
      </c>
      <c r="T145" s="559" t="str">
        <f>+'Rango indicadores'!N74</f>
        <v>Menor A:</v>
      </c>
      <c r="U145" s="559">
        <f>+'Rango indicadores'!O74</f>
        <v>90</v>
      </c>
      <c r="V145" s="646" t="s">
        <v>1194</v>
      </c>
      <c r="W145" s="649"/>
      <c r="X145" s="1047"/>
      <c r="Y145" s="649"/>
    </row>
    <row r="146" spans="2:26" ht="98.4" customHeight="1">
      <c r="B146" s="556">
        <f>B145+1</f>
        <v>74</v>
      </c>
      <c r="C146" s="557" t="str">
        <f>+'Rango indicadores'!D75</f>
        <v>12-RI-02</v>
      </c>
      <c r="D146" s="557" t="str">
        <f>+'Rango indicadores'!E75</f>
        <v>Porcentaje de documentación incorporada en el archivo central durante la vigencia.</v>
      </c>
      <c r="E146" s="561">
        <f>+'Rango indicadores'!Q75</f>
        <v>0.8</v>
      </c>
      <c r="F146" s="561">
        <f>+'1.Informe Seguimiento POA 2021'!S77</f>
        <v>0.80000000000000016</v>
      </c>
      <c r="G146" s="561">
        <f>IFERROR(AVERAGE('1.Informe Seguimiento POA 2021'!O77,'1.Informe Seguimiento POA 2021'!Q77,'1.Informe Seguimiento POA 2021'!S77),0)</f>
        <v>0.80000000000000016</v>
      </c>
      <c r="H146" s="561">
        <f>+'1.Informe Seguimiento POA 2021'!T77</f>
        <v>0.81733333333333336</v>
      </c>
      <c r="I146" s="561">
        <f>IFERROR(ROUNDDOWN(AVERAGE('1.Informe Seguimiento POA 2021'!P77,'1.Informe Seguimiento POA 2021'!R77,'1.Informe Seguimiento POA 2021'!T77),3),0)</f>
        <v>0.80500000000000005</v>
      </c>
      <c r="J146" s="561">
        <f>+'1.Informe Seguimiento POA 2021'!X77</f>
        <v>0.80500000000000005</v>
      </c>
      <c r="K146" s="546">
        <f t="shared" si="35"/>
        <v>1.0216666666666665</v>
      </c>
      <c r="L146" s="546">
        <f t="shared" si="35"/>
        <v>1.0062499999999999</v>
      </c>
      <c r="M146" s="546">
        <f>+'1.Informe Seguimiento POA 2021'!Y77</f>
        <v>0.75468750000000007</v>
      </c>
      <c r="N146" s="564" t="str">
        <f>+'Rango indicadores'!H75</f>
        <v>Mayor A:</v>
      </c>
      <c r="O146" s="559">
        <f>+'Rango indicadores'!I75</f>
        <v>100</v>
      </c>
      <c r="P146" s="559" t="str">
        <f>+'Rango indicadores'!J75</f>
        <v>Desde (&gt;=):</v>
      </c>
      <c r="Q146" s="559">
        <f>+'Rango indicadores'!K75</f>
        <v>93</v>
      </c>
      <c r="R146" s="559" t="str">
        <f>+'Rango indicadores'!L75</f>
        <v>Hasta (&lt;=):</v>
      </c>
      <c r="S146" s="559">
        <f>+'Rango indicadores'!M75</f>
        <v>100</v>
      </c>
      <c r="T146" s="559" t="str">
        <f>+'Rango indicadores'!N75</f>
        <v>Menor A:</v>
      </c>
      <c r="U146" s="559">
        <f>+'Rango indicadores'!O75</f>
        <v>93</v>
      </c>
      <c r="V146" s="653" t="s">
        <v>1195</v>
      </c>
      <c r="W146" s="649"/>
      <c r="X146" s="1047"/>
      <c r="Y146" s="649"/>
    </row>
    <row r="147" spans="2:26" ht="123" customHeight="1">
      <c r="B147" s="556">
        <f>B146+1</f>
        <v>75</v>
      </c>
      <c r="C147" s="557" t="str">
        <f>+'Rango indicadores'!D76</f>
        <v>12-RI-03</v>
      </c>
      <c r="D147" s="557" t="str">
        <f>+'Rango indicadores'!E76</f>
        <v>Cantidad de actividades realizadas por año para el diseño, actualización o ajuste de los instrumentos archivísticos establecidos por norma</v>
      </c>
      <c r="E147" s="571">
        <f>+'Rango indicadores'!Q76</f>
        <v>25</v>
      </c>
      <c r="F147" s="571">
        <f>+'1.Informe Seguimiento POA 2021'!S78</f>
        <v>7</v>
      </c>
      <c r="G147" s="571">
        <f>+'1.Informe Seguimiento POA 2021'!O78+'1.Informe Seguimiento POA 2021'!Q78+'1.Informe Seguimiento POA 2021'!S78</f>
        <v>19</v>
      </c>
      <c r="H147" s="571">
        <f>+'1.Informe Seguimiento POA 2021'!T78</f>
        <v>10</v>
      </c>
      <c r="I147" s="571">
        <f>+'1.Informe Seguimiento POA 2021'!P78+'1.Informe Seguimiento POA 2021'!R78+'1.Informe Seguimiento POA 2021'!T78</f>
        <v>23</v>
      </c>
      <c r="J147" s="571">
        <f>+'1.Informe Seguimiento POA 2021'!X78</f>
        <v>23</v>
      </c>
      <c r="K147" s="546">
        <f t="shared" si="35"/>
        <v>1.4285714285714286</v>
      </c>
      <c r="L147" s="546">
        <f t="shared" si="35"/>
        <v>1.2105263157894737</v>
      </c>
      <c r="M147" s="546">
        <f>+'1.Informe Seguimiento POA 2021'!Y78</f>
        <v>0.92</v>
      </c>
      <c r="N147" s="564" t="str">
        <f>+'Rango indicadores'!H76</f>
        <v>Mayor o igual A:</v>
      </c>
      <c r="O147" s="559">
        <f>+'Rango indicadores'!I76</f>
        <v>100</v>
      </c>
      <c r="P147" s="559" t="str">
        <f>+'Rango indicadores'!J76</f>
        <v>Desde (&gt;):</v>
      </c>
      <c r="Q147" s="559">
        <f>+'Rango indicadores'!K76</f>
        <v>80</v>
      </c>
      <c r="R147" s="559" t="str">
        <f>+'Rango indicadores'!L76</f>
        <v>Hasta (&lt;):</v>
      </c>
      <c r="S147" s="559">
        <f>+'Rango indicadores'!M76</f>
        <v>100</v>
      </c>
      <c r="T147" s="559" t="str">
        <f>+'Rango indicadores'!N76</f>
        <v>Menor o Igual A:</v>
      </c>
      <c r="U147" s="559">
        <f>+'Rango indicadores'!O76</f>
        <v>80</v>
      </c>
      <c r="V147" s="646" t="s">
        <v>1196</v>
      </c>
      <c r="W147" s="651"/>
      <c r="X147" s="740"/>
      <c r="Y147" s="651"/>
    </row>
    <row r="148" spans="2:26" ht="100.8" customHeight="1">
      <c r="B148" s="556">
        <f>B146+1</f>
        <v>75</v>
      </c>
      <c r="C148" s="557" t="str">
        <f>+'Rango indicadores'!D77</f>
        <v>12-RI-04</v>
      </c>
      <c r="D148" s="557" t="str">
        <f>+'Rango indicadores'!E77</f>
        <v>Cantidad de actividades realizadas por año para implementación de los instrumentos archivísticos establecidos por norma, y de herramientas de apoyo a la gestión documental.</v>
      </c>
      <c r="E148" s="571">
        <f>+'Rango indicadores'!Q77</f>
        <v>25</v>
      </c>
      <c r="F148" s="571">
        <f>+'1.Informe Seguimiento POA 2021'!S79</f>
        <v>7</v>
      </c>
      <c r="G148" s="571">
        <f>+'1.Informe Seguimiento POA 2021'!O79+'1.Informe Seguimiento POA 2021'!Q79+'1.Informe Seguimiento POA 2021'!S79</f>
        <v>19</v>
      </c>
      <c r="H148" s="571">
        <f>+'1.Informe Seguimiento POA 2021'!T79</f>
        <v>6</v>
      </c>
      <c r="I148" s="571">
        <f>+'1.Informe Seguimiento POA 2021'!P79+'1.Informe Seguimiento POA 2021'!R79+'1.Informe Seguimiento POA 2021'!T79</f>
        <v>17</v>
      </c>
      <c r="J148" s="571">
        <f>+'1.Informe Seguimiento POA 2021'!X79</f>
        <v>17</v>
      </c>
      <c r="K148" s="546">
        <f>IF(AND(F148&gt;0),H148/F148,"No programado")</f>
        <v>0.8571428571428571</v>
      </c>
      <c r="L148" s="546">
        <f t="shared" ref="L148" si="36">IF(AND(G148&gt;0),I148/G148,"No programado")</f>
        <v>0.89473684210526316</v>
      </c>
      <c r="M148" s="546">
        <f>+'1.Informe Seguimiento POA 2021'!Y79</f>
        <v>0.68</v>
      </c>
      <c r="N148" s="564" t="str">
        <f>+'Rango indicadores'!H77</f>
        <v>Mayor o igual A:</v>
      </c>
      <c r="O148" s="559">
        <f>+'Rango indicadores'!I77</f>
        <v>100</v>
      </c>
      <c r="P148" s="559" t="str">
        <f>+'Rango indicadores'!J77</f>
        <v>Desde (&gt;):</v>
      </c>
      <c r="Q148" s="559">
        <f>+'Rango indicadores'!K77</f>
        <v>80</v>
      </c>
      <c r="R148" s="559" t="str">
        <f>+'Rango indicadores'!L77</f>
        <v>Hasta (&lt;):</v>
      </c>
      <c r="S148" s="559">
        <f>+'Rango indicadores'!M77</f>
        <v>100</v>
      </c>
      <c r="T148" s="559" t="str">
        <f>+'Rango indicadores'!N77</f>
        <v>Menor o Igual A:</v>
      </c>
      <c r="U148" s="559">
        <f>+'Rango indicadores'!O77</f>
        <v>80</v>
      </c>
      <c r="V148" s="646" t="s">
        <v>1197</v>
      </c>
      <c r="W148" s="651"/>
      <c r="X148" s="740"/>
      <c r="Y148" s="651"/>
      <c r="Z148" s="578"/>
    </row>
    <row r="149" spans="2:26" ht="15.6">
      <c r="C149" s="1421" t="s">
        <v>926</v>
      </c>
      <c r="D149" s="1422"/>
      <c r="E149" s="1422"/>
      <c r="F149" s="1422"/>
      <c r="G149" s="1422"/>
      <c r="H149" s="1422"/>
      <c r="I149" s="1422"/>
      <c r="J149" s="1423"/>
      <c r="K149" s="562">
        <f>IFERROR(AVERAGE(K145:K148),0)</f>
        <v>1.0857926065162906</v>
      </c>
      <c r="L149" s="562">
        <f>IFERROR(AVERAGE(L145:L148),0)</f>
        <v>1.0342233187134502</v>
      </c>
      <c r="M149" s="562">
        <f>IFERROR(AVERAGE(M145:M148),0)</f>
        <v>0.78090871710526322</v>
      </c>
      <c r="N149" s="569"/>
      <c r="O149" s="569"/>
      <c r="P149" s="569"/>
      <c r="Q149" s="569"/>
      <c r="R149" s="569"/>
      <c r="S149" s="569"/>
      <c r="T149" s="569"/>
      <c r="U149" s="569"/>
      <c r="V149" s="654"/>
      <c r="X149" s="740"/>
    </row>
    <row r="150" spans="2:26" s="552" customFormat="1">
      <c r="D150" s="554"/>
      <c r="V150" s="554"/>
      <c r="X150" s="740"/>
    </row>
    <row r="151" spans="2:26" s="552" customFormat="1" ht="15.6">
      <c r="C151" s="555" t="s">
        <v>939</v>
      </c>
      <c r="D151" s="587"/>
      <c r="V151" s="554"/>
      <c r="X151" s="740"/>
    </row>
    <row r="152" spans="2:26" ht="30.75" customHeight="1">
      <c r="C152" s="1402" t="str">
        <f>+$C$11</f>
        <v>Identifificación del Indicador</v>
      </c>
      <c r="D152" s="1401" t="s">
        <v>919</v>
      </c>
      <c r="E152" s="1405" t="s">
        <v>920</v>
      </c>
      <c r="F152" s="1406"/>
      <c r="G152" s="1407"/>
      <c r="H152" s="1402" t="s">
        <v>921</v>
      </c>
      <c r="I152" s="1408" t="str">
        <f>$I$9</f>
        <v>Ejecución Acumulada Corte
30/09/2021</v>
      </c>
      <c r="J152" s="1402" t="s">
        <v>922</v>
      </c>
      <c r="K152" s="1402" t="s">
        <v>915</v>
      </c>
      <c r="L152" s="1402"/>
      <c r="M152" s="1402"/>
      <c r="N152" s="1404" t="s">
        <v>766</v>
      </c>
      <c r="O152" s="1404"/>
      <c r="P152" s="1404"/>
      <c r="Q152" s="1404"/>
      <c r="R152" s="1404"/>
      <c r="S152" s="1404"/>
      <c r="T152" s="1404"/>
      <c r="U152" s="1404"/>
      <c r="V152" s="1402" t="s">
        <v>944</v>
      </c>
      <c r="X152" s="740"/>
    </row>
    <row r="153" spans="2:26" ht="63" customHeight="1">
      <c r="C153" s="1402"/>
      <c r="D153" s="1401"/>
      <c r="E153" s="1032" t="str">
        <f>$E$12</f>
        <v>Año 2021</v>
      </c>
      <c r="F153" s="1032" t="str">
        <f>$D$5</f>
        <v>Tercer Trimestre</v>
      </c>
      <c r="G153" s="1033" t="str">
        <f>$G$9</f>
        <v>Acumulada Corte
30/09/2021</v>
      </c>
      <c r="H153" s="1402"/>
      <c r="I153" s="1408"/>
      <c r="J153" s="1402"/>
      <c r="K153" s="1032" t="str">
        <f>+$D$5</f>
        <v>Tercer Trimestre</v>
      </c>
      <c r="L153" s="1033" t="str">
        <f>$L$12</f>
        <v>Acumulado Corte 30/09/2021</v>
      </c>
      <c r="M153" s="1032" t="s">
        <v>811</v>
      </c>
      <c r="N153" s="1117" t="s">
        <v>924</v>
      </c>
      <c r="O153" s="1118"/>
      <c r="P153" s="1119" t="s">
        <v>925</v>
      </c>
      <c r="Q153" s="1120"/>
      <c r="R153" s="1120"/>
      <c r="S153" s="1121"/>
      <c r="T153" s="1122" t="s">
        <v>774</v>
      </c>
      <c r="U153" s="1123"/>
      <c r="V153" s="1402"/>
      <c r="X153" s="740"/>
    </row>
    <row r="154" spans="2:26" ht="79.2">
      <c r="B154" s="556">
        <f>1+B148</f>
        <v>76</v>
      </c>
      <c r="C154" s="557" t="str">
        <f>+'Rango indicadores'!D78</f>
        <v>13-RI-01</v>
      </c>
      <c r="D154" s="557" t="str">
        <f>+'Rango indicadores'!E78</f>
        <v>Porcentaje de procesos judiciales en los que se vincule o demande a la Entidad, objeto de representación oportuna</v>
      </c>
      <c r="E154" s="561">
        <f>+'Rango indicadores'!Q78</f>
        <v>1</v>
      </c>
      <c r="F154" s="561">
        <f>+'1.Informe Seguimiento POA 2021'!S80</f>
        <v>1</v>
      </c>
      <c r="G154" s="561">
        <f>IFERROR(AVERAGE('1.Informe Seguimiento POA 2021'!O80,'1.Informe Seguimiento POA 2021'!Q80,'1.Informe Seguimiento POA 2021'!S80),0)</f>
        <v>1</v>
      </c>
      <c r="H154" s="561">
        <f>+'1.Informe Seguimiento POA 2021'!T80</f>
        <v>1</v>
      </c>
      <c r="I154" s="561">
        <f>IFERROR(AVERAGE('1.Informe Seguimiento POA 2021'!P80,'1.Informe Seguimiento POA 2021'!R80,'1.Informe Seguimiento POA 2021'!T80),0)</f>
        <v>1</v>
      </c>
      <c r="J154" s="561">
        <f>+'1.Informe Seguimiento POA 2021'!X80</f>
        <v>1</v>
      </c>
      <c r="K154" s="546">
        <f>IF(AND(F154&gt;0),H154/F154,"No programado")</f>
        <v>1</v>
      </c>
      <c r="L154" s="546">
        <f>IF(AND(G154&gt;0),I154/G154,"No programado")</f>
        <v>1</v>
      </c>
      <c r="M154" s="546">
        <f>+'1.Informe Seguimiento POA 2021'!Y80</f>
        <v>0.75</v>
      </c>
      <c r="N154" s="564" t="str">
        <f>+'Rango indicadores'!H78</f>
        <v>Mayor o igual A:</v>
      </c>
      <c r="O154" s="559">
        <f>+'Rango indicadores'!I78</f>
        <v>100</v>
      </c>
      <c r="P154" s="559" t="str">
        <f>+'Rango indicadores'!J78</f>
        <v>Desde (&gt;):</v>
      </c>
      <c r="Q154" s="559">
        <f>+'Rango indicadores'!K78</f>
        <v>90</v>
      </c>
      <c r="R154" s="559" t="str">
        <f>+'Rango indicadores'!L78</f>
        <v>Hasta (&lt;):</v>
      </c>
      <c r="S154" s="559">
        <f>+'Rango indicadores'!M78</f>
        <v>100</v>
      </c>
      <c r="T154" s="559" t="str">
        <f>+'Rango indicadores'!N78</f>
        <v>Menor o Igual A:</v>
      </c>
      <c r="U154" s="559">
        <f>+'Rango indicadores'!O78</f>
        <v>90</v>
      </c>
      <c r="V154" s="653" t="s">
        <v>996</v>
      </c>
      <c r="X154" s="740"/>
    </row>
    <row r="155" spans="2:26" ht="79.2">
      <c r="B155" s="556">
        <f>B154+1</f>
        <v>77</v>
      </c>
      <c r="C155" s="557" t="str">
        <f>+'Rango indicadores'!D79</f>
        <v>13-RI-02</v>
      </c>
      <c r="D155" s="557" t="str">
        <f>+'Rango indicadores'!E79</f>
        <v xml:space="preserve">Porcentaje de acciones de tutela en las cuales se defienda judicialmente a la Entidad oportunamente </v>
      </c>
      <c r="E155" s="561">
        <f>+'Rango indicadores'!Q79</f>
        <v>1</v>
      </c>
      <c r="F155" s="561">
        <f>+'1.Informe Seguimiento POA 2021'!S81</f>
        <v>1</v>
      </c>
      <c r="G155" s="561">
        <f>IFERROR(AVERAGE('1.Informe Seguimiento POA 2021'!O81,'1.Informe Seguimiento POA 2021'!Q81,'1.Informe Seguimiento POA 2021'!S81),0)</f>
        <v>1</v>
      </c>
      <c r="H155" s="561">
        <f>+'1.Informe Seguimiento POA 2021'!T81</f>
        <v>1</v>
      </c>
      <c r="I155" s="561">
        <f>IFERROR(AVERAGE('1.Informe Seguimiento POA 2021'!P81,'1.Informe Seguimiento POA 2021'!R81,'1.Informe Seguimiento POA 2021'!T81),0)</f>
        <v>1</v>
      </c>
      <c r="J155" s="561">
        <f>+'1.Informe Seguimiento POA 2021'!X81</f>
        <v>1</v>
      </c>
      <c r="K155" s="546">
        <f>IF(AND(F155&gt;0),H155/F155,"No programado")</f>
        <v>1</v>
      </c>
      <c r="L155" s="546">
        <f t="shared" ref="L155:L157" si="37">IF(AND(G155&gt;0),I155/G155,"No programado")</f>
        <v>1</v>
      </c>
      <c r="M155" s="546">
        <f>+'1.Informe Seguimiento POA 2021'!Y81</f>
        <v>0.75</v>
      </c>
      <c r="N155" s="564" t="str">
        <f>+'Rango indicadores'!H79</f>
        <v>Mayor o igual A:</v>
      </c>
      <c r="O155" s="559">
        <f>+'Rango indicadores'!I79</f>
        <v>100</v>
      </c>
      <c r="P155" s="559" t="str">
        <f>+'Rango indicadores'!J79</f>
        <v>Desde (&gt;):</v>
      </c>
      <c r="Q155" s="559">
        <f>+'Rango indicadores'!K79</f>
        <v>90</v>
      </c>
      <c r="R155" s="559" t="str">
        <f>+'Rango indicadores'!L79</f>
        <v>Hasta (&lt;):</v>
      </c>
      <c r="S155" s="559">
        <f>+'Rango indicadores'!M79</f>
        <v>100</v>
      </c>
      <c r="T155" s="559" t="str">
        <f>+'Rango indicadores'!N79</f>
        <v>Menor o Igual A:</v>
      </c>
      <c r="U155" s="559">
        <f>+'Rango indicadores'!O79</f>
        <v>90</v>
      </c>
      <c r="V155" s="653" t="s">
        <v>996</v>
      </c>
      <c r="X155" s="740"/>
    </row>
    <row r="156" spans="2:26" ht="79.2">
      <c r="B156" s="556">
        <f t="shared" ref="B156:B158" si="38">B155+1</f>
        <v>78</v>
      </c>
      <c r="C156" s="557" t="str">
        <f>+'Rango indicadores'!D80</f>
        <v>13-RI-03</v>
      </c>
      <c r="D156" s="557" t="str">
        <f>+'Rango indicadores'!E80</f>
        <v>Porcentaje de conceptos de competencia de la dependencia emitidos oportunamente</v>
      </c>
      <c r="E156" s="561">
        <f>+'Rango indicadores'!Q80</f>
        <v>1</v>
      </c>
      <c r="F156" s="561">
        <f>+'1.Informe Seguimiento POA 2021'!S82</f>
        <v>1</v>
      </c>
      <c r="G156" s="561">
        <f>IFERROR(AVERAGE('1.Informe Seguimiento POA 2021'!O82,'1.Informe Seguimiento POA 2021'!Q82,'1.Informe Seguimiento POA 2021'!S82),0)</f>
        <v>1</v>
      </c>
      <c r="H156" s="561">
        <f>+'1.Informe Seguimiento POA 2021'!T82</f>
        <v>1</v>
      </c>
      <c r="I156" s="561">
        <f>IFERROR(AVERAGE('1.Informe Seguimiento POA 2021'!P82,'1.Informe Seguimiento POA 2021'!R82,'1.Informe Seguimiento POA 2021'!T82),0)</f>
        <v>1</v>
      </c>
      <c r="J156" s="561">
        <f>+'1.Informe Seguimiento POA 2021'!X82</f>
        <v>1</v>
      </c>
      <c r="K156" s="546">
        <f>IF(AND(F156&gt;0),H156/F156,"No programado")</f>
        <v>1</v>
      </c>
      <c r="L156" s="546">
        <f t="shared" si="37"/>
        <v>1</v>
      </c>
      <c r="M156" s="546">
        <f>+'1.Informe Seguimiento POA 2021'!Y82</f>
        <v>0.75</v>
      </c>
      <c r="N156" s="564" t="str">
        <f>+'Rango indicadores'!H80</f>
        <v>Mayor o igual A:</v>
      </c>
      <c r="O156" s="559">
        <f>+'Rango indicadores'!I80</f>
        <v>100</v>
      </c>
      <c r="P156" s="559" t="str">
        <f>+'Rango indicadores'!J80</f>
        <v>Desde (&gt;):</v>
      </c>
      <c r="Q156" s="559">
        <f>+'Rango indicadores'!K80</f>
        <v>90</v>
      </c>
      <c r="R156" s="559" t="str">
        <f>+'Rango indicadores'!L80</f>
        <v>Hasta (&lt;):</v>
      </c>
      <c r="S156" s="559">
        <f>+'Rango indicadores'!M80</f>
        <v>100</v>
      </c>
      <c r="T156" s="559" t="str">
        <f>+'Rango indicadores'!N80</f>
        <v>Menor o Igual A:</v>
      </c>
      <c r="U156" s="559">
        <f>+'Rango indicadores'!O80</f>
        <v>90</v>
      </c>
      <c r="V156" s="653" t="s">
        <v>996</v>
      </c>
      <c r="X156" s="740"/>
    </row>
    <row r="157" spans="2:26" ht="92.4">
      <c r="B157" s="556">
        <f t="shared" si="38"/>
        <v>79</v>
      </c>
      <c r="C157" s="557" t="str">
        <f>+'Rango indicadores'!D81</f>
        <v>13-RI-04</v>
      </c>
      <c r="D157" s="557" t="str">
        <f>+'Rango indicadores'!E81</f>
        <v>Porcentaje de reportes de la base de datos de sanciones disciplinarias registrados</v>
      </c>
      <c r="E157" s="561">
        <f>+'Rango indicadores'!Q81</f>
        <v>1</v>
      </c>
      <c r="F157" s="561">
        <f>+'1.Informe Seguimiento POA 2021'!S83</f>
        <v>1</v>
      </c>
      <c r="G157" s="561">
        <f>IFERROR(AVERAGE('1.Informe Seguimiento POA 2021'!O83,'1.Informe Seguimiento POA 2021'!Q83,'1.Informe Seguimiento POA 2021'!S83),0)</f>
        <v>1</v>
      </c>
      <c r="H157" s="561">
        <f>+'1.Informe Seguimiento POA 2021'!T83</f>
        <v>1</v>
      </c>
      <c r="I157" s="561">
        <f>IFERROR(AVERAGE('1.Informe Seguimiento POA 2021'!P83,'1.Informe Seguimiento POA 2021'!R83,'1.Informe Seguimiento POA 2021'!T83),0)</f>
        <v>1</v>
      </c>
      <c r="J157" s="561">
        <f>+'1.Informe Seguimiento POA 2021'!X83</f>
        <v>1</v>
      </c>
      <c r="K157" s="546">
        <f>IF(AND(F157&gt;0),H157/F157,"No programado")</f>
        <v>1</v>
      </c>
      <c r="L157" s="546">
        <f t="shared" si="37"/>
        <v>1</v>
      </c>
      <c r="M157" s="546">
        <f>+'1.Informe Seguimiento POA 2021'!Y83</f>
        <v>0.75</v>
      </c>
      <c r="N157" s="564" t="str">
        <f>+'Rango indicadores'!H81</f>
        <v>Mayor o igual A:</v>
      </c>
      <c r="O157" s="559">
        <f>+'Rango indicadores'!I81</f>
        <v>100</v>
      </c>
      <c r="P157" s="559" t="str">
        <f>+'Rango indicadores'!J81</f>
        <v>Desde (&gt;):</v>
      </c>
      <c r="Q157" s="559">
        <f>+'Rango indicadores'!K81</f>
        <v>90</v>
      </c>
      <c r="R157" s="559" t="str">
        <f>+'Rango indicadores'!L81</f>
        <v>Hasta (&lt;):</v>
      </c>
      <c r="S157" s="559">
        <f>+'Rango indicadores'!M81</f>
        <v>100</v>
      </c>
      <c r="T157" s="559" t="str">
        <f>+'Rango indicadores'!N81</f>
        <v>Menor o Igual A:</v>
      </c>
      <c r="U157" s="559">
        <f>+'Rango indicadores'!O81</f>
        <v>90</v>
      </c>
      <c r="V157" s="653" t="s">
        <v>964</v>
      </c>
      <c r="X157" s="740"/>
    </row>
    <row r="158" spans="2:26" ht="79.2">
      <c r="B158" s="556">
        <f t="shared" si="38"/>
        <v>80</v>
      </c>
      <c r="C158" s="557" t="str">
        <f>+'Rango indicadores'!D82</f>
        <v>13-RI-05</v>
      </c>
      <c r="D158" s="557" t="str">
        <f>+'Rango indicadores'!E82</f>
        <v>Porcentaje de antecedentes disciplinarios expedidos</v>
      </c>
      <c r="E158" s="561">
        <f>+'Rango indicadores'!Q82</f>
        <v>1</v>
      </c>
      <c r="F158" s="561">
        <f>+'1.Informe Seguimiento POA 2021'!S84</f>
        <v>1</v>
      </c>
      <c r="G158" s="561">
        <f>IFERROR(AVERAGE('1.Informe Seguimiento POA 2021'!O84,'1.Informe Seguimiento POA 2021'!Q84,'1.Informe Seguimiento POA 2021'!S84),0)</f>
        <v>1</v>
      </c>
      <c r="H158" s="561">
        <f>+'1.Informe Seguimiento POA 2021'!T84</f>
        <v>1</v>
      </c>
      <c r="I158" s="561">
        <f>IFERROR(AVERAGE('1.Informe Seguimiento POA 2021'!P84,'1.Informe Seguimiento POA 2021'!R84,'1.Informe Seguimiento POA 2021'!T84),0)</f>
        <v>1</v>
      </c>
      <c r="J158" s="561">
        <f>+'1.Informe Seguimiento POA 2021'!X84</f>
        <v>1</v>
      </c>
      <c r="K158" s="546">
        <f>IF(AND(F158&gt;0),H158/F158,"No programado")</f>
        <v>1</v>
      </c>
      <c r="L158" s="546">
        <f t="shared" ref="L158" si="39">IF(AND(G158&gt;0),I158/G158,"No programado")</f>
        <v>1</v>
      </c>
      <c r="M158" s="546">
        <f>+'1.Informe Seguimiento POA 2021'!Y84</f>
        <v>0.75</v>
      </c>
      <c r="N158" s="564" t="str">
        <f>+'Rango indicadores'!H82</f>
        <v>Mayor o igual A:</v>
      </c>
      <c r="O158" s="559">
        <f>+'Rango indicadores'!I82</f>
        <v>100</v>
      </c>
      <c r="P158" s="559" t="str">
        <f>+'Rango indicadores'!J82</f>
        <v>Desde (&gt;):</v>
      </c>
      <c r="Q158" s="559">
        <f>+'Rango indicadores'!K82</f>
        <v>90</v>
      </c>
      <c r="R158" s="559" t="str">
        <f>+'Rango indicadores'!L82</f>
        <v>Hasta (&lt;):</v>
      </c>
      <c r="S158" s="559">
        <f>+'Rango indicadores'!M82</f>
        <v>100</v>
      </c>
      <c r="T158" s="559" t="str">
        <f>+'Rango indicadores'!N82</f>
        <v>Menor o Igual A:</v>
      </c>
      <c r="U158" s="559">
        <f>+'Rango indicadores'!O82</f>
        <v>90</v>
      </c>
      <c r="V158" s="653" t="s">
        <v>996</v>
      </c>
      <c r="X158" s="740"/>
    </row>
    <row r="159" spans="2:26" ht="15.6">
      <c r="C159" s="1421" t="s">
        <v>926</v>
      </c>
      <c r="D159" s="1422"/>
      <c r="E159" s="1422"/>
      <c r="F159" s="1422"/>
      <c r="G159" s="1422"/>
      <c r="H159" s="1422"/>
      <c r="I159" s="1422"/>
      <c r="J159" s="1423"/>
      <c r="K159" s="562">
        <f>IFERROR(AVERAGE(K154:K158),0)</f>
        <v>1</v>
      </c>
      <c r="L159" s="562">
        <f>IFERROR(AVERAGE(L154:L158),0)</f>
        <v>1</v>
      </c>
      <c r="M159" s="562">
        <f>IFERROR(AVERAGE(M154:M158),0)</f>
        <v>0.75</v>
      </c>
      <c r="N159" s="569"/>
      <c r="O159" s="569"/>
      <c r="P159" s="569"/>
      <c r="Q159" s="569"/>
      <c r="R159" s="569"/>
      <c r="S159" s="569"/>
      <c r="T159" s="569"/>
      <c r="U159" s="569"/>
      <c r="V159" s="654"/>
      <c r="X159" s="740"/>
    </row>
    <row r="160" spans="2:26" ht="15.6">
      <c r="C160" s="582"/>
      <c r="D160" s="590"/>
      <c r="E160" s="582"/>
      <c r="F160" s="582"/>
      <c r="G160" s="582"/>
      <c r="H160" s="582"/>
      <c r="I160" s="582"/>
      <c r="J160" s="582"/>
      <c r="K160" s="550"/>
      <c r="L160" s="550"/>
      <c r="M160" s="569"/>
      <c r="N160" s="569"/>
      <c r="O160" s="569"/>
      <c r="P160" s="569"/>
      <c r="Q160" s="569"/>
      <c r="R160" s="569"/>
      <c r="S160" s="569"/>
      <c r="T160" s="569"/>
      <c r="U160" s="569"/>
      <c r="V160" s="654"/>
      <c r="X160" s="740"/>
    </row>
    <row r="161" spans="2:25" s="552" customFormat="1" ht="15.6">
      <c r="C161" s="555" t="s">
        <v>940</v>
      </c>
      <c r="D161" s="587"/>
      <c r="V161" s="554"/>
      <c r="X161" s="740"/>
    </row>
    <row r="162" spans="2:25" ht="27" customHeight="1">
      <c r="C162" s="1402" t="str">
        <f>+$C$11</f>
        <v>Identifificación del Indicador</v>
      </c>
      <c r="D162" s="1401" t="s">
        <v>919</v>
      </c>
      <c r="E162" s="1405" t="s">
        <v>920</v>
      </c>
      <c r="F162" s="1406"/>
      <c r="G162" s="1407"/>
      <c r="H162" s="1402" t="s">
        <v>921</v>
      </c>
      <c r="I162" s="1408" t="str">
        <f>$I$9</f>
        <v>Ejecución Acumulada Corte
30/09/2021</v>
      </c>
      <c r="J162" s="1402" t="s">
        <v>922</v>
      </c>
      <c r="K162" s="1402" t="s">
        <v>915</v>
      </c>
      <c r="L162" s="1402"/>
      <c r="M162" s="1402"/>
      <c r="N162" s="1404" t="s">
        <v>766</v>
      </c>
      <c r="O162" s="1404"/>
      <c r="P162" s="1404"/>
      <c r="Q162" s="1404"/>
      <c r="R162" s="1404"/>
      <c r="S162" s="1404"/>
      <c r="T162" s="1404"/>
      <c r="U162" s="1404"/>
      <c r="V162" s="1402" t="s">
        <v>944</v>
      </c>
      <c r="X162" s="740"/>
    </row>
    <row r="163" spans="2:25" ht="46.2" customHeight="1">
      <c r="C163" s="1402"/>
      <c r="D163" s="1401"/>
      <c r="E163" s="1032" t="str">
        <f>$E$12</f>
        <v>Año 2021</v>
      </c>
      <c r="F163" s="1032" t="str">
        <f>$D$5</f>
        <v>Tercer Trimestre</v>
      </c>
      <c r="G163" s="1033" t="str">
        <f>$G$9</f>
        <v>Acumulada Corte
30/09/2021</v>
      </c>
      <c r="H163" s="1402"/>
      <c r="I163" s="1408"/>
      <c r="J163" s="1402"/>
      <c r="K163" s="1032" t="str">
        <f>+$D$5</f>
        <v>Tercer Trimestre</v>
      </c>
      <c r="L163" s="1033" t="str">
        <f>$L$12</f>
        <v>Acumulado Corte 30/09/2021</v>
      </c>
      <c r="M163" s="1032" t="s">
        <v>811</v>
      </c>
      <c r="N163" s="1117" t="s">
        <v>924</v>
      </c>
      <c r="O163" s="1118"/>
      <c r="P163" s="1119" t="s">
        <v>925</v>
      </c>
      <c r="Q163" s="1120"/>
      <c r="R163" s="1120"/>
      <c r="S163" s="1121"/>
      <c r="T163" s="1122" t="s">
        <v>774</v>
      </c>
      <c r="U163" s="1123"/>
      <c r="V163" s="1402"/>
      <c r="X163" s="740"/>
    </row>
    <row r="164" spans="2:25" ht="166.2" customHeight="1">
      <c r="B164" s="556">
        <f>+B158+1</f>
        <v>81</v>
      </c>
      <c r="C164" s="557" t="str">
        <f>+'Rango indicadores'!D86</f>
        <v>15-RI-01</v>
      </c>
      <c r="D164" s="557" t="str">
        <f>+'Rango indicadores'!E86</f>
        <v>Medidas de preservación del orden interno emitidas</v>
      </c>
      <c r="E164" s="583">
        <f>+'Rango indicadores'!Q86</f>
        <v>24</v>
      </c>
      <c r="F164" s="583">
        <f>+'1.Informe Seguimiento POA 2021'!S88</f>
        <v>6</v>
      </c>
      <c r="G164" s="583">
        <f>+'1.Informe Seguimiento POA 2021'!O88+'1.Informe Seguimiento POA 2021'!Q88+'1.Informe Seguimiento POA 2021'!S88</f>
        <v>18</v>
      </c>
      <c r="H164" s="583">
        <f>+'1.Informe Seguimiento POA 2021'!T88</f>
        <v>9</v>
      </c>
      <c r="I164" s="583">
        <f>+'1.Informe Seguimiento POA 2021'!P88+'1.Informe Seguimiento POA 2021'!R88+'1.Informe Seguimiento POA 2021'!T88</f>
        <v>28</v>
      </c>
      <c r="J164" s="583">
        <f>+'1.Informe Seguimiento POA 2021'!X88</f>
        <v>28</v>
      </c>
      <c r="K164" s="575">
        <f>IF(AND(F164&gt;0),H164/F164,"No programado")</f>
        <v>1.5</v>
      </c>
      <c r="L164" s="575">
        <f>IF(AND(G164&gt;0),I164/G164,"No programado")</f>
        <v>1.5555555555555556</v>
      </c>
      <c r="M164" s="546">
        <f>+'1.Informe Seguimiento POA 2021'!Y88</f>
        <v>1.1666666666666667</v>
      </c>
      <c r="N164" s="564" t="str">
        <f>+'Rango indicadores'!H86</f>
        <v>Mayor o igual A:</v>
      </c>
      <c r="O164" s="559">
        <f>+'Rango indicadores'!I86</f>
        <v>100</v>
      </c>
      <c r="P164" s="559" t="str">
        <f>+'Rango indicadores'!J86</f>
        <v>Desde (&gt;):</v>
      </c>
      <c r="Q164" s="559">
        <f>+'Rango indicadores'!K86</f>
        <v>79</v>
      </c>
      <c r="R164" s="559" t="str">
        <f>+'Rango indicadores'!L86</f>
        <v>Hasta (&lt;):</v>
      </c>
      <c r="S164" s="559">
        <f>+'Rango indicadores'!M86</f>
        <v>100</v>
      </c>
      <c r="T164" s="559" t="str">
        <f>+'Rango indicadores'!N86</f>
        <v>Menor o Igual A:</v>
      </c>
      <c r="U164" s="559">
        <f>+'Rango indicadores'!O86</f>
        <v>79</v>
      </c>
      <c r="V164" s="646" t="s">
        <v>1199</v>
      </c>
      <c r="W164" s="774"/>
      <c r="X164" s="740"/>
      <c r="Y164" s="651"/>
    </row>
    <row r="165" spans="2:25" ht="66">
      <c r="B165" s="556">
        <f>B164+1</f>
        <v>82</v>
      </c>
      <c r="C165" s="557" t="str">
        <f>+'Rango indicadores'!D87</f>
        <v>15-RI-02</v>
      </c>
      <c r="D165" s="557" t="str">
        <f>+'Rango indicadores'!E87</f>
        <v>Jornadas de sensibilización realizadas</v>
      </c>
      <c r="E165" s="583">
        <f>+'Rango indicadores'!Q87</f>
        <v>2</v>
      </c>
      <c r="F165" s="583">
        <f>+'1.Informe Seguimiento POA 2021'!S89</f>
        <v>1</v>
      </c>
      <c r="G165" s="583">
        <f>+'1.Informe Seguimiento POA 2021'!O89+'1.Informe Seguimiento POA 2021'!Q89+'1.Informe Seguimiento POA 2021'!S89</f>
        <v>2</v>
      </c>
      <c r="H165" s="583">
        <f>+'1.Informe Seguimiento POA 2021'!T89</f>
        <v>1</v>
      </c>
      <c r="I165" s="583">
        <f>+'1.Informe Seguimiento POA 2021'!P89+'1.Informe Seguimiento POA 2021'!R89+'1.Informe Seguimiento POA 2021'!T89</f>
        <v>2</v>
      </c>
      <c r="J165" s="583">
        <f>+'1.Informe Seguimiento POA 2021'!X89</f>
        <v>2</v>
      </c>
      <c r="K165" s="575">
        <f>IF(AND(F165&gt;0),H165/F165,"No programado")</f>
        <v>1</v>
      </c>
      <c r="L165" s="575">
        <f t="shared" ref="L165:L166" si="40">IF(AND(G165&gt;0),I165/G165,"No programado")</f>
        <v>1</v>
      </c>
      <c r="M165" s="546">
        <f>+'1.Informe Seguimiento POA 2021'!Y89</f>
        <v>1</v>
      </c>
      <c r="N165" s="564" t="str">
        <f>+'Rango indicadores'!H87</f>
        <v>Mayor o igual A:</v>
      </c>
      <c r="O165" s="559">
        <f>+'Rango indicadores'!I87</f>
        <v>100</v>
      </c>
      <c r="P165" s="559" t="str">
        <f>+'Rango indicadores'!J87</f>
        <v>Desde (&gt;):</v>
      </c>
      <c r="Q165" s="559">
        <f>+'Rango indicadores'!K87</f>
        <v>99</v>
      </c>
      <c r="R165" s="559" t="str">
        <f>+'Rango indicadores'!L87</f>
        <v>Hasta (&lt;):</v>
      </c>
      <c r="S165" s="559">
        <f>+'Rango indicadores'!M87</f>
        <v>100</v>
      </c>
      <c r="T165" s="559" t="str">
        <f>+'Rango indicadores'!N87</f>
        <v>Menor o Igual A:</v>
      </c>
      <c r="U165" s="559">
        <f>+'Rango indicadores'!O87</f>
        <v>99</v>
      </c>
      <c r="V165" s="653" t="s">
        <v>1198</v>
      </c>
      <c r="W165" s="651"/>
      <c r="X165" s="740"/>
      <c r="Y165" s="651"/>
    </row>
    <row r="166" spans="2:25" ht="158.4">
      <c r="B166" s="556">
        <f t="shared" ref="B166" si="41">B165+1</f>
        <v>83</v>
      </c>
      <c r="C166" s="557" t="str">
        <f>+'Rango indicadores'!D88</f>
        <v>15-RI-03</v>
      </c>
      <c r="D166" s="557" t="str">
        <f>+'Rango indicadores'!E88</f>
        <v>Procesos disciplinarios con decisión de fondo proferida</v>
      </c>
      <c r="E166" s="583">
        <f>+'Rango indicadores'!Q88</f>
        <v>100</v>
      </c>
      <c r="F166" s="583">
        <f>+'1.Informe Seguimiento POA 2021'!S90</f>
        <v>30</v>
      </c>
      <c r="G166" s="583">
        <f>+'1.Informe Seguimiento POA 2021'!O90+'1.Informe Seguimiento POA 2021'!Q90+'1.Informe Seguimiento POA 2021'!S90</f>
        <v>83</v>
      </c>
      <c r="H166" s="583">
        <f>+'1.Informe Seguimiento POA 2021'!T90</f>
        <v>48</v>
      </c>
      <c r="I166" s="583">
        <f>+'1.Informe Seguimiento POA 2021'!P90+'1.Informe Seguimiento POA 2021'!R90+'1.Informe Seguimiento POA 2021'!T90</f>
        <v>116</v>
      </c>
      <c r="J166" s="583">
        <f>+'1.Informe Seguimiento POA 2021'!X90</f>
        <v>116</v>
      </c>
      <c r="K166" s="575">
        <f>IF(AND(F166&gt;0),H166/F166,"No programado")</f>
        <v>1.6</v>
      </c>
      <c r="L166" s="575">
        <f t="shared" si="40"/>
        <v>1.3975903614457832</v>
      </c>
      <c r="M166" s="546">
        <f>+'1.Informe Seguimiento POA 2021'!Y90</f>
        <v>1.1599999999999999</v>
      </c>
      <c r="N166" s="564" t="str">
        <f>+'Rango indicadores'!H88</f>
        <v>Mayor o igual A:</v>
      </c>
      <c r="O166" s="559">
        <f>+'Rango indicadores'!I88</f>
        <v>100</v>
      </c>
      <c r="P166" s="559" t="str">
        <f>+'Rango indicadores'!J88</f>
        <v>Desde (&gt;):</v>
      </c>
      <c r="Q166" s="559">
        <f>+'Rango indicadores'!K88</f>
        <v>70</v>
      </c>
      <c r="R166" s="559" t="str">
        <f>+'Rango indicadores'!L88</f>
        <v>Hasta (&lt;):</v>
      </c>
      <c r="S166" s="559">
        <f>+'Rango indicadores'!M88</f>
        <v>100</v>
      </c>
      <c r="T166" s="559" t="str">
        <f>+'Rango indicadores'!N88</f>
        <v>Menor o Igual A:</v>
      </c>
      <c r="U166" s="559">
        <f>+'Rango indicadores'!O88</f>
        <v>70</v>
      </c>
      <c r="V166" s="646" t="s">
        <v>1200</v>
      </c>
      <c r="W166" s="651"/>
      <c r="X166" s="740"/>
      <c r="Y166" s="651"/>
    </row>
    <row r="167" spans="2:25" ht="15.6">
      <c r="C167" s="1421" t="s">
        <v>926</v>
      </c>
      <c r="D167" s="1422"/>
      <c r="E167" s="1422"/>
      <c r="F167" s="1422"/>
      <c r="G167" s="1422"/>
      <c r="H167" s="1422"/>
      <c r="I167" s="1422"/>
      <c r="J167" s="1423"/>
      <c r="K167" s="562">
        <f>IFERROR(AVERAGE(K164:K166),0)</f>
        <v>1.3666666666666665</v>
      </c>
      <c r="L167" s="562">
        <f>IFERROR(AVERAGE(L164:L166),0)</f>
        <v>1.3177153056671129</v>
      </c>
      <c r="M167" s="562">
        <f>IFERROR(AVERAGE(M164:M166),0)</f>
        <v>1.108888888888889</v>
      </c>
      <c r="N167" s="569"/>
      <c r="O167" s="569"/>
      <c r="P167" s="569"/>
      <c r="Q167" s="569"/>
      <c r="R167" s="569"/>
      <c r="S167" s="569"/>
      <c r="T167" s="569"/>
      <c r="U167" s="569"/>
      <c r="V167" s="654"/>
      <c r="X167" s="740"/>
    </row>
    <row r="168" spans="2:25" s="552" customFormat="1">
      <c r="D168" s="554"/>
      <c r="V168" s="554"/>
      <c r="X168" s="740"/>
    </row>
    <row r="169" spans="2:25" s="552" customFormat="1" ht="15.6">
      <c r="C169" s="555" t="s">
        <v>941</v>
      </c>
      <c r="D169" s="587"/>
      <c r="V169" s="554"/>
      <c r="X169" s="740"/>
    </row>
    <row r="170" spans="2:25" ht="24.6" customHeight="1">
      <c r="C170" s="1402" t="str">
        <f>+$C$11</f>
        <v>Identifificación del Indicador</v>
      </c>
      <c r="D170" s="1401" t="s">
        <v>919</v>
      </c>
      <c r="E170" s="1405" t="s">
        <v>920</v>
      </c>
      <c r="F170" s="1406"/>
      <c r="G170" s="1407"/>
      <c r="H170" s="1402" t="s">
        <v>921</v>
      </c>
      <c r="I170" s="1408" t="str">
        <f>$I$9</f>
        <v>Ejecución Acumulada Corte
30/09/2021</v>
      </c>
      <c r="J170" s="1402" t="s">
        <v>922</v>
      </c>
      <c r="K170" s="1402" t="s">
        <v>915</v>
      </c>
      <c r="L170" s="1402"/>
      <c r="M170" s="1402"/>
      <c r="N170" s="1404" t="s">
        <v>766</v>
      </c>
      <c r="O170" s="1404"/>
      <c r="P170" s="1404"/>
      <c r="Q170" s="1404"/>
      <c r="R170" s="1404"/>
      <c r="S170" s="1404"/>
      <c r="T170" s="1404"/>
      <c r="U170" s="1404"/>
      <c r="V170" s="1402" t="s">
        <v>944</v>
      </c>
      <c r="X170" s="740"/>
    </row>
    <row r="171" spans="2:25" ht="50.4" customHeight="1">
      <c r="C171" s="1402"/>
      <c r="D171" s="1401"/>
      <c r="E171" s="1032" t="str">
        <f>$E$12</f>
        <v>Año 2021</v>
      </c>
      <c r="F171" s="1032" t="str">
        <f>$D$5</f>
        <v>Tercer Trimestre</v>
      </c>
      <c r="G171" s="1033" t="str">
        <f>$G$9</f>
        <v>Acumulada Corte
30/09/2021</v>
      </c>
      <c r="H171" s="1402"/>
      <c r="I171" s="1408"/>
      <c r="J171" s="1402"/>
      <c r="K171" s="1032" t="str">
        <f>+$D$5</f>
        <v>Tercer Trimestre</v>
      </c>
      <c r="L171" s="1033" t="str">
        <f>$L$12</f>
        <v>Acumulado Corte 30/09/2021</v>
      </c>
      <c r="M171" s="1032" t="s">
        <v>811</v>
      </c>
      <c r="N171" s="1117" t="s">
        <v>924</v>
      </c>
      <c r="O171" s="1118"/>
      <c r="P171" s="1119" t="s">
        <v>925</v>
      </c>
      <c r="Q171" s="1120"/>
      <c r="R171" s="1120"/>
      <c r="S171" s="1121"/>
      <c r="T171" s="1122" t="s">
        <v>774</v>
      </c>
      <c r="U171" s="1123"/>
      <c r="V171" s="1402"/>
      <c r="X171" s="740"/>
    </row>
    <row r="172" spans="2:25" ht="79.2">
      <c r="B172" s="556">
        <f>+B166+1</f>
        <v>84</v>
      </c>
      <c r="C172" s="557" t="str">
        <f>+'Rango indicadores'!D89</f>
        <v>16-RI-01</v>
      </c>
      <c r="D172" s="557" t="str">
        <f>+'Rango indicadores'!E89</f>
        <v>Programa anual de auditorías ejecutado.</v>
      </c>
      <c r="E172" s="583">
        <f>+'Rango indicadores'!Q89</f>
        <v>1</v>
      </c>
      <c r="F172" s="599">
        <f>+'1.Informe Seguimiento POA 2021'!S91</f>
        <v>0.26</v>
      </c>
      <c r="G172" s="599">
        <f>+'1.Informe Seguimiento POA 2021'!O91+'1.Informe Seguimiento POA 2021'!Q91+'1.Informe Seguimiento POA 2021'!S91</f>
        <v>0.89</v>
      </c>
      <c r="H172" s="599">
        <f>+'1.Informe Seguimiento POA 2021'!T91</f>
        <v>0.26</v>
      </c>
      <c r="I172" s="599">
        <f>+'1.Informe Seguimiento POA 2021'!P91+'1.Informe Seguimiento POA 2021'!R91+'1.Informe Seguimiento POA 2021'!T91</f>
        <v>0.89</v>
      </c>
      <c r="J172" s="599">
        <f>+'1.Informe Seguimiento POA 2021'!X91</f>
        <v>0.89</v>
      </c>
      <c r="K172" s="564">
        <f t="shared" ref="K172:L174" si="42">IF(AND(F172&gt;0),H172/F172,"No programado")</f>
        <v>1</v>
      </c>
      <c r="L172" s="564">
        <f>IF(AND(G172&gt;0),I172/G172,"No programado")</f>
        <v>1</v>
      </c>
      <c r="M172" s="564">
        <f>+'1.Informe Seguimiento POA 2021'!Y91</f>
        <v>0.89</v>
      </c>
      <c r="N172" s="564" t="str">
        <f>+'Rango indicadores'!H89</f>
        <v>Mayor o igual A:</v>
      </c>
      <c r="O172" s="559">
        <f>+'Rango indicadores'!I89</f>
        <v>90</v>
      </c>
      <c r="P172" s="559" t="str">
        <f>+'Rango indicadores'!J89</f>
        <v>Desde (&gt;):</v>
      </c>
      <c r="Q172" s="559">
        <f>+'Rango indicadores'!K89</f>
        <v>69</v>
      </c>
      <c r="R172" s="559" t="str">
        <f>+'Rango indicadores'!L89</f>
        <v>Hasta (&lt;):</v>
      </c>
      <c r="S172" s="559">
        <f>+'Rango indicadores'!M89</f>
        <v>90</v>
      </c>
      <c r="T172" s="559" t="str">
        <f>+'Rango indicadores'!N89</f>
        <v>Menor o Igual A:</v>
      </c>
      <c r="U172" s="559">
        <f>+'Rango indicadores'!O89</f>
        <v>69</v>
      </c>
      <c r="V172" s="653" t="s">
        <v>1001</v>
      </c>
      <c r="W172" s="651"/>
      <c r="X172" s="740"/>
      <c r="Y172" s="651"/>
    </row>
    <row r="173" spans="2:25" ht="57" customHeight="1">
      <c r="B173" s="556">
        <f>B172+1</f>
        <v>85</v>
      </c>
      <c r="C173" s="557" t="str">
        <f>+'Rango indicadores'!D90</f>
        <v>16-RI-02</v>
      </c>
      <c r="D173" s="557" t="str">
        <f>+'Rango indicadores'!E90</f>
        <v>Estrategia de Sensibilización acerca de la Cultura del Control realizada</v>
      </c>
      <c r="E173" s="583">
        <f>+'Rango indicadores'!Q90</f>
        <v>1</v>
      </c>
      <c r="F173" s="599">
        <f>+'1.Informe Seguimiento POA 2021'!S92</f>
        <v>0</v>
      </c>
      <c r="G173" s="599">
        <f>+'1.Informe Seguimiento POA 2021'!O92+'1.Informe Seguimiento POA 2021'!Q92+'1.Informe Seguimiento POA 2021'!S92</f>
        <v>0</v>
      </c>
      <c r="H173" s="599">
        <f>+'1.Informe Seguimiento POA 2021'!T92</f>
        <v>0</v>
      </c>
      <c r="I173" s="599">
        <f>+'1.Informe Seguimiento POA 2021'!P92+'1.Informe Seguimiento POA 2021'!R92+'1.Informe Seguimiento POA 2021'!T92</f>
        <v>0</v>
      </c>
      <c r="J173" s="599">
        <f>+'1.Informe Seguimiento POA 2021'!X92</f>
        <v>0</v>
      </c>
      <c r="K173" s="565" t="str">
        <f t="shared" si="42"/>
        <v>No programado</v>
      </c>
      <c r="L173" s="565" t="str">
        <f t="shared" si="42"/>
        <v>No programado</v>
      </c>
      <c r="M173" s="564">
        <f>+'1.Informe Seguimiento POA 2021'!Y92</f>
        <v>0</v>
      </c>
      <c r="N173" s="564" t="str">
        <f>+'Rango indicadores'!H90</f>
        <v>Mayor o igual A:</v>
      </c>
      <c r="O173" s="559">
        <f>+'Rango indicadores'!I90</f>
        <v>90</v>
      </c>
      <c r="P173" s="559" t="str">
        <f>+'Rango indicadores'!J90</f>
        <v>Desde (&gt;):</v>
      </c>
      <c r="Q173" s="559">
        <f>+'Rango indicadores'!K90</f>
        <v>69</v>
      </c>
      <c r="R173" s="559" t="str">
        <f>+'Rango indicadores'!L90</f>
        <v>Hasta (&lt;):</v>
      </c>
      <c r="S173" s="559">
        <f>+'Rango indicadores'!M90</f>
        <v>90</v>
      </c>
      <c r="T173" s="559" t="str">
        <f>+'Rango indicadores'!N90</f>
        <v>Menor o Igual A:</v>
      </c>
      <c r="U173" s="559">
        <f>+'Rango indicadores'!O90</f>
        <v>69</v>
      </c>
      <c r="V173" s="653" t="s">
        <v>1201</v>
      </c>
      <c r="W173" s="651"/>
      <c r="X173" s="740"/>
      <c r="Y173" s="651"/>
    </row>
    <row r="174" spans="2:25" ht="45" customHeight="1">
      <c r="B174" s="556">
        <f t="shared" ref="B174" si="43">B173+1</f>
        <v>86</v>
      </c>
      <c r="C174" s="557" t="str">
        <f>+'Rango indicadores'!D91</f>
        <v>16-RI-03</v>
      </c>
      <c r="D174" s="557" t="str">
        <f>+'Rango indicadores'!E91</f>
        <v>Sensibilización a Directivos y Referentes de Gestión sobre la Séptima Dimensión del MIPG realizada</v>
      </c>
      <c r="E174" s="583">
        <f>+'Rango indicadores'!Q91</f>
        <v>1</v>
      </c>
      <c r="F174" s="599">
        <f>+'1.Informe Seguimiento POA 2021'!S93</f>
        <v>0</v>
      </c>
      <c r="G174" s="599">
        <f>+'1.Informe Seguimiento POA 2021'!O93+'1.Informe Seguimiento POA 2021'!Q93+'1.Informe Seguimiento POA 2021'!S93</f>
        <v>0</v>
      </c>
      <c r="H174" s="599">
        <f>+'1.Informe Seguimiento POA 2021'!T93</f>
        <v>0</v>
      </c>
      <c r="I174" s="599">
        <f>+'1.Informe Seguimiento POA 2021'!P93+'1.Informe Seguimiento POA 2021'!R93+'1.Informe Seguimiento POA 2021'!T93</f>
        <v>0</v>
      </c>
      <c r="J174" s="599">
        <f>+'1.Informe Seguimiento POA 2021'!X93</f>
        <v>0</v>
      </c>
      <c r="K174" s="565" t="str">
        <f t="shared" si="42"/>
        <v>No programado</v>
      </c>
      <c r="L174" s="565" t="str">
        <f t="shared" si="42"/>
        <v>No programado</v>
      </c>
      <c r="M174" s="564">
        <f>+'1.Informe Seguimiento POA 2021'!Y93</f>
        <v>0</v>
      </c>
      <c r="N174" s="564" t="str">
        <f>+'Rango indicadores'!H91</f>
        <v>Mayor o igual A:</v>
      </c>
      <c r="O174" s="559">
        <f>+'Rango indicadores'!I91</f>
        <v>90</v>
      </c>
      <c r="P174" s="559" t="str">
        <f>+'Rango indicadores'!J91</f>
        <v>Desde (&gt;):</v>
      </c>
      <c r="Q174" s="559">
        <f>+'Rango indicadores'!K91</f>
        <v>69</v>
      </c>
      <c r="R174" s="559" t="str">
        <f>+'Rango indicadores'!L91</f>
        <v>Hasta (&lt;):</v>
      </c>
      <c r="S174" s="559">
        <f>+'Rango indicadores'!M91</f>
        <v>90</v>
      </c>
      <c r="T174" s="559" t="str">
        <f>+'Rango indicadores'!N91</f>
        <v>Menor o Igual A:</v>
      </c>
      <c r="U174" s="559">
        <f>+'Rango indicadores'!O91</f>
        <v>69</v>
      </c>
      <c r="V174" s="653" t="s">
        <v>1201</v>
      </c>
      <c r="W174" s="651"/>
      <c r="X174" s="740"/>
      <c r="Y174" s="651"/>
    </row>
    <row r="175" spans="2:25" ht="15.6">
      <c r="C175" s="1421" t="s">
        <v>926</v>
      </c>
      <c r="D175" s="1422"/>
      <c r="E175" s="1422"/>
      <c r="F175" s="1422"/>
      <c r="G175" s="1422"/>
      <c r="H175" s="1422"/>
      <c r="I175" s="1422"/>
      <c r="J175" s="1423"/>
      <c r="K175" s="562">
        <f>IFERROR(AVERAGE(K172:K174),0)</f>
        <v>1</v>
      </c>
      <c r="L175" s="562">
        <f>IFERROR(AVERAGE(L172:L174),0)</f>
        <v>1</v>
      </c>
      <c r="M175" s="562">
        <f>IFERROR(AVERAGE(M172:M174),0)</f>
        <v>0.29666666666666669</v>
      </c>
      <c r="N175" s="569"/>
      <c r="O175" s="569"/>
      <c r="P175" s="569"/>
      <c r="Q175" s="569"/>
      <c r="R175" s="569"/>
      <c r="S175" s="569"/>
      <c r="T175" s="569"/>
      <c r="U175" s="569"/>
      <c r="V175" s="654"/>
    </row>
    <row r="176" spans="2:25" s="552" customFormat="1">
      <c r="D176" s="554"/>
      <c r="V176" s="554"/>
    </row>
    <row r="177" spans="5:5">
      <c r="E177" s="536"/>
    </row>
    <row r="178" spans="5:5"/>
    <row r="179" spans="5:5">
      <c r="E179" s="536"/>
    </row>
    <row r="180" spans="5:5">
      <c r="E180" s="536"/>
    </row>
    <row r="181" spans="5:5">
      <c r="E181" s="536"/>
    </row>
    <row r="182" spans="5:5">
      <c r="E182" s="536"/>
    </row>
    <row r="183" spans="5:5">
      <c r="E183" s="536"/>
    </row>
    <row r="184" spans="5:5">
      <c r="E184" s="536"/>
    </row>
    <row r="185" spans="5:5">
      <c r="E185" s="536"/>
    </row>
    <row r="186" spans="5:5"/>
    <row r="187" spans="5:5"/>
    <row r="188" spans="5:5"/>
    <row r="189" spans="5:5"/>
    <row r="190" spans="5:5"/>
    <row r="191" spans="5:5"/>
    <row r="192" spans="5:5"/>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sheetData>
  <sheetProtection algorithmName="SHA-512" hashValue="hcWmnTJIR6B0kOpX46lpMOF8NSiCWIEokBt4lQqjzUVJqJXWhuNmWoHBteMCD+eKPBVXF8d8JdYqCGL5bePrZQ==" saltValue="ADRFIToDXA6n5k+2vzqR8w==" spinCount="100000" sheet="1" objects="1" scenarios="1"/>
  <mergeCells count="213">
    <mergeCell ref="C175:J175"/>
    <mergeCell ref="K170:M170"/>
    <mergeCell ref="N170:U170"/>
    <mergeCell ref="V170:V171"/>
    <mergeCell ref="N171:O171"/>
    <mergeCell ref="P171:S171"/>
    <mergeCell ref="T171:U171"/>
    <mergeCell ref="C167:J167"/>
    <mergeCell ref="C170:C171"/>
    <mergeCell ref="E170:G170"/>
    <mergeCell ref="H170:H171"/>
    <mergeCell ref="I170:I171"/>
    <mergeCell ref="J170:J171"/>
    <mergeCell ref="D170:D171"/>
    <mergeCell ref="K162:M162"/>
    <mergeCell ref="N162:U162"/>
    <mergeCell ref="V162:V163"/>
    <mergeCell ref="N163:O163"/>
    <mergeCell ref="P163:S163"/>
    <mergeCell ref="T163:U163"/>
    <mergeCell ref="C159:J159"/>
    <mergeCell ref="C162:C163"/>
    <mergeCell ref="E162:G162"/>
    <mergeCell ref="H162:H163"/>
    <mergeCell ref="I162:I163"/>
    <mergeCell ref="J162:J163"/>
    <mergeCell ref="D162:D163"/>
    <mergeCell ref="K152:M152"/>
    <mergeCell ref="N152:U152"/>
    <mergeCell ref="V152:V153"/>
    <mergeCell ref="N153:O153"/>
    <mergeCell ref="P153:S153"/>
    <mergeCell ref="T153:U153"/>
    <mergeCell ref="C149:J149"/>
    <mergeCell ref="C152:C153"/>
    <mergeCell ref="E152:G152"/>
    <mergeCell ref="H152:H153"/>
    <mergeCell ref="I152:I153"/>
    <mergeCell ref="J152:J153"/>
    <mergeCell ref="D152:D153"/>
    <mergeCell ref="K143:M143"/>
    <mergeCell ref="N143:U143"/>
    <mergeCell ref="V143:V144"/>
    <mergeCell ref="N144:O144"/>
    <mergeCell ref="P144:S144"/>
    <mergeCell ref="T144:U144"/>
    <mergeCell ref="C140:J140"/>
    <mergeCell ref="C143:C144"/>
    <mergeCell ref="E143:G143"/>
    <mergeCell ref="H143:H144"/>
    <mergeCell ref="I143:I144"/>
    <mergeCell ref="J143:J144"/>
    <mergeCell ref="D143:D144"/>
    <mergeCell ref="K134:M134"/>
    <mergeCell ref="N134:U134"/>
    <mergeCell ref="V134:V135"/>
    <mergeCell ref="N135:O135"/>
    <mergeCell ref="P135:S135"/>
    <mergeCell ref="T135:U135"/>
    <mergeCell ref="C131:J131"/>
    <mergeCell ref="C134:C135"/>
    <mergeCell ref="E134:G134"/>
    <mergeCell ref="H134:H135"/>
    <mergeCell ref="I134:I135"/>
    <mergeCell ref="J134:J135"/>
    <mergeCell ref="D134:D135"/>
    <mergeCell ref="K126:M126"/>
    <mergeCell ref="N126:U126"/>
    <mergeCell ref="V126:V127"/>
    <mergeCell ref="N127:O127"/>
    <mergeCell ref="P127:S127"/>
    <mergeCell ref="T127:U127"/>
    <mergeCell ref="C123:J123"/>
    <mergeCell ref="C126:C127"/>
    <mergeCell ref="E126:G126"/>
    <mergeCell ref="H126:H127"/>
    <mergeCell ref="I126:I127"/>
    <mergeCell ref="J126:J127"/>
    <mergeCell ref="D126:D127"/>
    <mergeCell ref="K119:M119"/>
    <mergeCell ref="N119:U119"/>
    <mergeCell ref="V119:V120"/>
    <mergeCell ref="N120:O120"/>
    <mergeCell ref="P120:S120"/>
    <mergeCell ref="T120:U120"/>
    <mergeCell ref="C116:J116"/>
    <mergeCell ref="C119:C120"/>
    <mergeCell ref="E119:G119"/>
    <mergeCell ref="H119:H120"/>
    <mergeCell ref="I119:I120"/>
    <mergeCell ref="J119:J120"/>
    <mergeCell ref="D119:D120"/>
    <mergeCell ref="K106:M106"/>
    <mergeCell ref="N106:U106"/>
    <mergeCell ref="V106:V107"/>
    <mergeCell ref="N107:O107"/>
    <mergeCell ref="P107:S107"/>
    <mergeCell ref="T107:U107"/>
    <mergeCell ref="C103:J103"/>
    <mergeCell ref="C106:C107"/>
    <mergeCell ref="E106:G106"/>
    <mergeCell ref="H106:H107"/>
    <mergeCell ref="I106:I107"/>
    <mergeCell ref="J106:J107"/>
    <mergeCell ref="D106:D107"/>
    <mergeCell ref="J93:J94"/>
    <mergeCell ref="K93:M93"/>
    <mergeCell ref="N93:U93"/>
    <mergeCell ref="V93:V94"/>
    <mergeCell ref="N94:O94"/>
    <mergeCell ref="P94:S94"/>
    <mergeCell ref="T94:U94"/>
    <mergeCell ref="C90:H90"/>
    <mergeCell ref="C93:C94"/>
    <mergeCell ref="E93:G93"/>
    <mergeCell ref="H93:H94"/>
    <mergeCell ref="I93:I94"/>
    <mergeCell ref="D93:D94"/>
    <mergeCell ref="J81:J82"/>
    <mergeCell ref="K81:M81"/>
    <mergeCell ref="N81:U81"/>
    <mergeCell ref="V81:V82"/>
    <mergeCell ref="N82:O82"/>
    <mergeCell ref="P82:S82"/>
    <mergeCell ref="T82:U82"/>
    <mergeCell ref="C78:J78"/>
    <mergeCell ref="C81:C82"/>
    <mergeCell ref="E81:G81"/>
    <mergeCell ref="H81:H82"/>
    <mergeCell ref="I81:I82"/>
    <mergeCell ref="D81:D82"/>
    <mergeCell ref="K55:M55"/>
    <mergeCell ref="N55:U55"/>
    <mergeCell ref="V55:V56"/>
    <mergeCell ref="N56:O56"/>
    <mergeCell ref="P56:S56"/>
    <mergeCell ref="T56:U56"/>
    <mergeCell ref="C52:J52"/>
    <mergeCell ref="C55:C56"/>
    <mergeCell ref="E55:G55"/>
    <mergeCell ref="H55:H56"/>
    <mergeCell ref="I55:I56"/>
    <mergeCell ref="J55:J56"/>
    <mergeCell ref="D55:D56"/>
    <mergeCell ref="K47:M47"/>
    <mergeCell ref="N47:U47"/>
    <mergeCell ref="V47:V48"/>
    <mergeCell ref="N48:O48"/>
    <mergeCell ref="P48:S48"/>
    <mergeCell ref="T48:U48"/>
    <mergeCell ref="C44:J44"/>
    <mergeCell ref="C47:C48"/>
    <mergeCell ref="E47:G47"/>
    <mergeCell ref="H47:H48"/>
    <mergeCell ref="I47:I48"/>
    <mergeCell ref="J47:J48"/>
    <mergeCell ref="D47:D48"/>
    <mergeCell ref="K40:M40"/>
    <mergeCell ref="N40:U40"/>
    <mergeCell ref="V40:V41"/>
    <mergeCell ref="N41:O41"/>
    <mergeCell ref="P41:S41"/>
    <mergeCell ref="T41:U41"/>
    <mergeCell ref="C37:J37"/>
    <mergeCell ref="C40:C41"/>
    <mergeCell ref="E40:G40"/>
    <mergeCell ref="H40:H41"/>
    <mergeCell ref="I40:I41"/>
    <mergeCell ref="J40:J41"/>
    <mergeCell ref="D40:D41"/>
    <mergeCell ref="K28:M28"/>
    <mergeCell ref="N28:U28"/>
    <mergeCell ref="V28:V29"/>
    <mergeCell ref="N29:O29"/>
    <mergeCell ref="P29:S29"/>
    <mergeCell ref="T29:U29"/>
    <mergeCell ref="C25:J25"/>
    <mergeCell ref="C28:C29"/>
    <mergeCell ref="E28:G28"/>
    <mergeCell ref="H28:H29"/>
    <mergeCell ref="I28:I29"/>
    <mergeCell ref="J28:J29"/>
    <mergeCell ref="D28:D29"/>
    <mergeCell ref="K20:M20"/>
    <mergeCell ref="N20:U20"/>
    <mergeCell ref="V20:V21"/>
    <mergeCell ref="N21:O21"/>
    <mergeCell ref="P21:S21"/>
    <mergeCell ref="T21:U21"/>
    <mergeCell ref="C17:J17"/>
    <mergeCell ref="C20:C21"/>
    <mergeCell ref="E20:G20"/>
    <mergeCell ref="H20:H21"/>
    <mergeCell ref="I20:I21"/>
    <mergeCell ref="J20:J21"/>
    <mergeCell ref="D20:D21"/>
    <mergeCell ref="D11:D12"/>
    <mergeCell ref="K11:M11"/>
    <mergeCell ref="C2:C5"/>
    <mergeCell ref="N11:U11"/>
    <mergeCell ref="V11:V12"/>
    <mergeCell ref="N12:O12"/>
    <mergeCell ref="P12:S12"/>
    <mergeCell ref="T12:U12"/>
    <mergeCell ref="C11:C12"/>
    <mergeCell ref="E11:G11"/>
    <mergeCell ref="H11:H12"/>
    <mergeCell ref="I11:I12"/>
    <mergeCell ref="J11:J12"/>
    <mergeCell ref="D2:J2"/>
    <mergeCell ref="D3:J3"/>
    <mergeCell ref="D4:J4"/>
    <mergeCell ref="D5:J5"/>
  </mergeCells>
  <conditionalFormatting sqref="K22:M24">
    <cfRule type="cellIs" dxfId="211" priority="86" operator="equal">
      <formula>"No programado"</formula>
    </cfRule>
    <cfRule type="cellIs" dxfId="210" priority="210" operator="lessThanOrEqual">
      <formula>0.6</formula>
    </cfRule>
    <cfRule type="cellIs" dxfId="209" priority="211" operator="between">
      <formula>0.600000000001</formula>
      <formula>0.99999999999999</formula>
    </cfRule>
    <cfRule type="cellIs" dxfId="208" priority="212" operator="equal">
      <formula>1</formula>
    </cfRule>
  </conditionalFormatting>
  <conditionalFormatting sqref="K49:M51">
    <cfRule type="cellIs" dxfId="207" priority="83" operator="equal">
      <formula>"No programado"</formula>
    </cfRule>
    <cfRule type="cellIs" dxfId="206" priority="195" operator="between">
      <formula>0.7</formula>
      <formula>0.8999999999999</formula>
    </cfRule>
    <cfRule type="cellIs" dxfId="205" priority="196" operator="lessThan">
      <formula>0.7</formula>
    </cfRule>
    <cfRule type="cellIs" dxfId="204" priority="197" operator="between">
      <formula>0.90000000000001</formula>
      <formula>1</formula>
    </cfRule>
    <cfRule type="cellIs" dxfId="203" priority="198" operator="greaterThan">
      <formula>1</formula>
    </cfRule>
  </conditionalFormatting>
  <conditionalFormatting sqref="K95:M102">
    <cfRule type="cellIs" dxfId="202" priority="3" operator="equal">
      <formula>"No programado"</formula>
    </cfRule>
    <cfRule type="cellIs" dxfId="201" priority="50" operator="greaterThan">
      <formula>1</formula>
    </cfRule>
    <cfRule type="cellIs" dxfId="200" priority="166" operator="between">
      <formula>0.9000001</formula>
      <formula>1</formula>
    </cfRule>
  </conditionalFormatting>
  <conditionalFormatting sqref="K108:M115">
    <cfRule type="cellIs" dxfId="199" priority="2" operator="equal">
      <formula>"No programado"</formula>
    </cfRule>
    <cfRule type="cellIs" dxfId="198" priority="155" operator="greaterThan">
      <formula>1</formula>
    </cfRule>
  </conditionalFormatting>
  <conditionalFormatting sqref="K128:M130">
    <cfRule type="cellIs" dxfId="197" priority="29" operator="between">
      <formula>0.950000001</formula>
      <formula>0.999999999999</formula>
    </cfRule>
    <cfRule type="cellIs" dxfId="196" priority="32" operator="greaterThan">
      <formula>1</formula>
    </cfRule>
    <cfRule type="cellIs" dxfId="195" priority="135" operator="equal">
      <formula>"No programado"</formula>
    </cfRule>
  </conditionalFormatting>
  <conditionalFormatting sqref="K154:M158">
    <cfRule type="cellIs" dxfId="194" priority="27" operator="greaterThan">
      <formula>1</formula>
    </cfRule>
    <cfRule type="cellIs" dxfId="193" priority="131" operator="equal">
      <formula>"No programado"</formula>
    </cfRule>
    <cfRule type="cellIs" dxfId="192" priority="132" operator="between">
      <formula>0.900001</formula>
      <formula>0.9999999</formula>
    </cfRule>
    <cfRule type="cellIs" dxfId="191" priority="133" operator="lessThanOrEqual">
      <formula>0.9</formula>
    </cfRule>
    <cfRule type="cellIs" dxfId="190" priority="134" operator="equal">
      <formula>1</formula>
    </cfRule>
  </conditionalFormatting>
  <conditionalFormatting sqref="K136:M139">
    <cfRule type="cellIs" dxfId="189" priority="28" operator="equal">
      <formula>"No programado"</formula>
    </cfRule>
    <cfRule type="cellIs" dxfId="188" priority="119" operator="greaterThan">
      <formula>1</formula>
    </cfRule>
    <cfRule type="cellIs" dxfId="187" priority="120" operator="between">
      <formula>0.900001</formula>
      <formula>0.9499999</formula>
    </cfRule>
    <cfRule type="cellIs" dxfId="186" priority="121" operator="lessThanOrEqual">
      <formula>0.9</formula>
    </cfRule>
    <cfRule type="cellIs" dxfId="185" priority="122" operator="greaterThanOrEqual">
      <formula>0.95</formula>
    </cfRule>
  </conditionalFormatting>
  <conditionalFormatting sqref="K14:M14">
    <cfRule type="cellIs" dxfId="184" priority="216" operator="between">
      <formula>0.95001</formula>
      <formula>1</formula>
    </cfRule>
  </conditionalFormatting>
  <conditionalFormatting sqref="K42:M43">
    <cfRule type="cellIs" dxfId="183" priority="84" operator="equal">
      <formula>"No programado"</formula>
    </cfRule>
    <cfRule type="cellIs" dxfId="182" priority="199" operator="lessThan">
      <formula>0.75</formula>
    </cfRule>
    <cfRule type="cellIs" dxfId="181" priority="200" operator="between">
      <formula>0.75</formula>
      <formula>0.899999999999</formula>
    </cfRule>
    <cfRule type="cellIs" dxfId="180" priority="201" operator="between">
      <formula>0.90000000000001</formula>
      <formula>1</formula>
    </cfRule>
    <cfRule type="cellIs" dxfId="179" priority="202" operator="greaterThan">
      <formula>1</formula>
    </cfRule>
  </conditionalFormatting>
  <conditionalFormatting sqref="K83:M89">
    <cfRule type="cellIs" dxfId="178" priority="52" operator="equal">
      <formula>"No programado"</formula>
    </cfRule>
    <cfRule type="cellIs" dxfId="177" priority="53" operator="greaterThan">
      <formula>1</formula>
    </cfRule>
  </conditionalFormatting>
  <conditionalFormatting sqref="K121:M122">
    <cfRule type="cellIs" dxfId="176" priority="36" operator="greaterThan">
      <formula>1</formula>
    </cfRule>
    <cfRule type="cellIs" dxfId="175" priority="139" operator="equal">
      <formula>"No programado"</formula>
    </cfRule>
  </conditionalFormatting>
  <conditionalFormatting sqref="K13:M16">
    <cfRule type="cellIs" dxfId="174" priority="209" operator="equal">
      <formula>"No programado"</formula>
    </cfRule>
    <cfRule type="cellIs" dxfId="173" priority="218" operator="greaterThan">
      <formula>1</formula>
    </cfRule>
  </conditionalFormatting>
  <conditionalFormatting sqref="K13:M14">
    <cfRule type="cellIs" dxfId="172" priority="93" operator="between">
      <formula>0.8</formula>
      <formula>0.95</formula>
    </cfRule>
    <cfRule type="cellIs" dxfId="171" priority="215" operator="lessThan">
      <formula>0.8</formula>
    </cfRule>
  </conditionalFormatting>
  <conditionalFormatting sqref="K15:M15">
    <cfRule type="cellIs" dxfId="170" priority="91" operator="between">
      <formula>0.95</formula>
      <formula>1</formula>
    </cfRule>
    <cfRule type="cellIs" dxfId="169" priority="94" operator="lessThanOrEqual">
      <formula>0.85</formula>
    </cfRule>
    <cfRule type="cellIs" dxfId="168" priority="217" operator="between">
      <formula>0.85000000000001</formula>
      <formula>0.94999999999</formula>
    </cfRule>
  </conditionalFormatting>
  <conditionalFormatting sqref="K13:L13">
    <cfRule type="cellIs" dxfId="167" priority="92" operator="between">
      <formula>0.9500000001</formula>
      <formula>1</formula>
    </cfRule>
  </conditionalFormatting>
  <conditionalFormatting sqref="K16:M16">
    <cfRule type="cellIs" dxfId="166" priority="88" operator="lessThanOrEqual">
      <formula>0.8</formula>
    </cfRule>
    <cfRule type="cellIs" dxfId="165" priority="89" operator="between">
      <formula>0.800000000001</formula>
      <formula>0.999999999999999</formula>
    </cfRule>
    <cfRule type="cellIs" dxfId="164" priority="90" operator="equal">
      <formula>1</formula>
    </cfRule>
  </conditionalFormatting>
  <conditionalFormatting sqref="K22:L24">
    <cfRule type="cellIs" dxfId="163" priority="213" operator="greaterThan">
      <formula>1</formula>
    </cfRule>
  </conditionalFormatting>
  <conditionalFormatting sqref="K30:M36">
    <cfRule type="cellIs" dxfId="162" priority="85" operator="equal">
      <formula>"No programado"</formula>
    </cfRule>
    <cfRule type="cellIs" dxfId="161" priority="95" operator="lessThanOrEqual">
      <formula>0.85</formula>
    </cfRule>
    <cfRule type="cellIs" dxfId="160" priority="96" operator="between">
      <formula>0.850000000001</formula>
      <formula>0.899999999999</formula>
    </cfRule>
    <cfRule type="cellIs" dxfId="159" priority="97" operator="between">
      <formula>0.9</formula>
      <formula>1</formula>
    </cfRule>
    <cfRule type="cellIs" dxfId="158" priority="98" operator="greaterThan">
      <formula>1</formula>
    </cfRule>
  </conditionalFormatting>
  <conditionalFormatting sqref="K57:M68 K70:M77 L69:M69">
    <cfRule type="cellIs" dxfId="157" priority="72" operator="equal">
      <formula>"No programado"</formula>
    </cfRule>
    <cfRule type="cellIs" dxfId="156" priority="75" operator="greaterThan">
      <formula>1</formula>
    </cfRule>
  </conditionalFormatting>
  <conditionalFormatting sqref="K59:M59">
    <cfRule type="cellIs" dxfId="155" priority="77" operator="between">
      <formula>0.7</formula>
      <formula>0.8</formula>
    </cfRule>
    <cfRule type="cellIs" dxfId="154" priority="79" operator="lessThan">
      <formula>0.7</formula>
    </cfRule>
    <cfRule type="cellIs" dxfId="153" priority="82" operator="between">
      <formula>0.80000000000001</formula>
      <formula>1</formula>
    </cfRule>
  </conditionalFormatting>
  <conditionalFormatting sqref="K63:M67">
    <cfRule type="cellIs" dxfId="152" priority="76" operator="between">
      <formula>0.95</formula>
      <formula>1</formula>
    </cfRule>
    <cfRule type="cellIs" dxfId="151" priority="78" operator="between">
      <formula>0.90000000001</formula>
      <formula>0.94999999999</formula>
    </cfRule>
    <cfRule type="cellIs" dxfId="150" priority="172" operator="lessThanOrEqual">
      <formula>90</formula>
    </cfRule>
  </conditionalFormatting>
  <conditionalFormatting sqref="K68:M68 K70:M77 L69:M69">
    <cfRule type="cellIs" dxfId="149" priority="71" operator="between">
      <formula>0.8</formula>
      <formula>0.85</formula>
    </cfRule>
    <cfRule type="cellIs" dxfId="148" priority="73" operator="lessThan">
      <formula>0.8</formula>
    </cfRule>
    <cfRule type="cellIs" dxfId="147" priority="74" operator="between">
      <formula>0.850000000001</formula>
      <formula>1</formula>
    </cfRule>
  </conditionalFormatting>
  <conditionalFormatting sqref="K58:M58 K60:M62">
    <cfRule type="cellIs" dxfId="146" priority="68" operator="lessThan">
      <formula>0.8</formula>
    </cfRule>
    <cfRule type="cellIs" dxfId="145" priority="69" operator="between">
      <formula>0.8</formula>
      <formula>0.85</formula>
    </cfRule>
    <cfRule type="cellIs" dxfId="144" priority="70" operator="between">
      <formula>0.85000000001</formula>
      <formula>1</formula>
    </cfRule>
  </conditionalFormatting>
  <conditionalFormatting sqref="K57:M57">
    <cfRule type="cellIs" dxfId="143" priority="65" operator="between">
      <formula>0.8000000001</formula>
      <formula>0.84999999999999</formula>
    </cfRule>
    <cfRule type="cellIs" dxfId="142" priority="66" operator="between">
      <formula>0.850000001</formula>
      <formula>1</formula>
    </cfRule>
    <cfRule type="cellIs" dxfId="141" priority="67" operator="lessThan">
      <formula>0.8</formula>
    </cfRule>
  </conditionalFormatting>
  <conditionalFormatting sqref="K85:M85">
    <cfRule type="cellIs" dxfId="140" priority="168" operator="between">
      <formula>0.53000001</formula>
      <formula>0.7699999999999</formula>
    </cfRule>
    <cfRule type="cellIs" dxfId="139" priority="169" operator="lessThan">
      <formula>0.53</formula>
    </cfRule>
    <cfRule type="cellIs" dxfId="138" priority="170" operator="between">
      <formula>0.7700000000001</formula>
      <formula>1</formula>
    </cfRule>
  </conditionalFormatting>
  <conditionalFormatting sqref="K88:M89 K84:M84">
    <cfRule type="cellIs" dxfId="137" priority="61" operator="between">
      <formula>0.69</formula>
      <formula>0.9</formula>
    </cfRule>
    <cfRule type="cellIs" dxfId="136" priority="62" operator="between">
      <formula>0.770000001</formula>
      <formula>1</formula>
    </cfRule>
    <cfRule type="cellIs" dxfId="135" priority="167" operator="lessThan">
      <formula>69</formula>
    </cfRule>
  </conditionalFormatting>
  <conditionalFormatting sqref="K87:M87">
    <cfRule type="cellIs" dxfId="134" priority="57" operator="between">
      <formula>0.57</formula>
      <formula>0.84999999999</formula>
    </cfRule>
    <cfRule type="cellIs" dxfId="133" priority="59" operator="between">
      <formula>0.85000001</formula>
      <formula>1</formula>
    </cfRule>
    <cfRule type="cellIs" dxfId="132" priority="60" operator="lessThan">
      <formula>0.57</formula>
    </cfRule>
  </conditionalFormatting>
  <conditionalFormatting sqref="K86:M86">
    <cfRule type="cellIs" dxfId="131" priority="54" operator="between">
      <formula>"0.45000001"</formula>
      <formula>0.799999999</formula>
    </cfRule>
    <cfRule type="cellIs" dxfId="130" priority="55" operator="between">
      <formula>0.8000000001</formula>
      <formula>1</formula>
    </cfRule>
    <cfRule type="cellIs" dxfId="129" priority="64" operator="lessThan">
      <formula>0.45</formula>
    </cfRule>
  </conditionalFormatting>
  <conditionalFormatting sqref="K83:M83">
    <cfRule type="cellIs" dxfId="128" priority="51" operator="between">
      <formula>0.66000000001</formula>
      <formula>0.944444444444444</formula>
    </cfRule>
    <cfRule type="cellIs" dxfId="127" priority="56" operator="between">
      <formula>0.900000000001</formula>
      <formula>1</formula>
    </cfRule>
    <cfRule type="cellIs" dxfId="126" priority="63" operator="lessThan">
      <formula>0.66</formula>
    </cfRule>
  </conditionalFormatting>
  <conditionalFormatting sqref="K97:M102">
    <cfRule type="cellIs" dxfId="125" priority="165" operator="lessThan">
      <formula>0.65</formula>
    </cfRule>
  </conditionalFormatting>
  <conditionalFormatting sqref="K95:M96">
    <cfRule type="cellIs" dxfId="124" priority="49" operator="lessThan">
      <formula>0.6</formula>
    </cfRule>
    <cfRule type="cellIs" dxfId="123" priority="164" operator="between">
      <formula>0.6</formula>
      <formula>0.9</formula>
    </cfRule>
  </conditionalFormatting>
  <conditionalFormatting sqref="K111:M114 K108:M108">
    <cfRule type="cellIs" dxfId="122" priority="43" operator="lessThanOrEqual">
      <formula>0.69</formula>
    </cfRule>
    <cfRule type="cellIs" dxfId="121" priority="47" operator="between">
      <formula>0.9</formula>
      <formula>1</formula>
    </cfRule>
  </conditionalFormatting>
  <conditionalFormatting sqref="K115:M115">
    <cfRule type="cellIs" dxfId="120" priority="44" operator="equal">
      <formula>1</formula>
    </cfRule>
    <cfRule type="cellIs" dxfId="119" priority="45" operator="between">
      <formula>0.9</formula>
      <formula>0.99999999999999</formula>
    </cfRule>
    <cfRule type="cellIs" dxfId="118" priority="48" operator="lessThan">
      <formula>0.9</formula>
    </cfRule>
  </conditionalFormatting>
  <conditionalFormatting sqref="K110:M110">
    <cfRule type="cellIs" dxfId="117" priority="40" operator="between">
      <formula>0.6900000001</formula>
      <formula>0.89999999</formula>
    </cfRule>
    <cfRule type="cellIs" dxfId="116" priority="41" operator="between">
      <formula>0.9</formula>
      <formula>1</formula>
    </cfRule>
    <cfRule type="cellIs" dxfId="115" priority="42" operator="lessThanOrEqual">
      <formula>0.79</formula>
    </cfRule>
  </conditionalFormatting>
  <conditionalFormatting sqref="K109:M109">
    <cfRule type="cellIs" dxfId="114" priority="37" operator="between">
      <formula>0.840000001</formula>
      <formula>0.96999999999999</formula>
    </cfRule>
    <cfRule type="cellIs" dxfId="113" priority="38" operator="lessThanOrEqual">
      <formula>0.87</formula>
    </cfRule>
    <cfRule type="cellIs" dxfId="112" priority="39" operator="between">
      <formula>0.97</formula>
      <formula>1</formula>
    </cfRule>
  </conditionalFormatting>
  <conditionalFormatting sqref="K121:M121">
    <cfRule type="cellIs" dxfId="111" priority="140" operator="between">
      <formula>0.9000001</formula>
      <formula>0.9499999</formula>
    </cfRule>
    <cfRule type="cellIs" dxfId="110" priority="141" operator="lessThanOrEqual">
      <formula>0.9</formula>
    </cfRule>
    <cfRule type="cellIs" dxfId="109" priority="142" operator="between">
      <formula>0.95</formula>
      <formula>1</formula>
    </cfRule>
  </conditionalFormatting>
  <conditionalFormatting sqref="K122:M122">
    <cfRule type="cellIs" dxfId="108" priority="33" operator="between">
      <formula>0.9500000001</formula>
      <formula>0.99999999999</formula>
    </cfRule>
    <cfRule type="cellIs" dxfId="107" priority="34" operator="lessThanOrEqual">
      <formula>0.95</formula>
    </cfRule>
    <cfRule type="cellIs" dxfId="106" priority="35" operator="equal">
      <formula>1</formula>
    </cfRule>
  </conditionalFormatting>
  <conditionalFormatting sqref="K128:M129">
    <cfRule type="cellIs" dxfId="105" priority="136" operator="between">
      <formula>0.9000001</formula>
      <formula>0.9599999</formula>
    </cfRule>
    <cfRule type="cellIs" dxfId="104" priority="137" operator="lessThan">
      <formula>0.9</formula>
    </cfRule>
    <cfRule type="cellIs" dxfId="103" priority="138" operator="between">
      <formula>0.95</formula>
      <formula>1</formula>
    </cfRule>
  </conditionalFormatting>
  <conditionalFormatting sqref="K130:M130">
    <cfRule type="cellIs" dxfId="102" priority="30" operator="lessThanOrEqual">
      <formula>0.95</formula>
    </cfRule>
    <cfRule type="cellIs" dxfId="101" priority="31" operator="equal">
      <formula>1</formula>
    </cfRule>
  </conditionalFormatting>
  <conditionalFormatting sqref="K172:M174">
    <cfRule type="cellIs" dxfId="100" priority="127" operator="equal">
      <formula>"No programado"</formula>
    </cfRule>
    <cfRule type="cellIs" dxfId="99" priority="128" operator="between">
      <formula>0.690001</formula>
      <formula>0.899999</formula>
    </cfRule>
    <cfRule type="cellIs" dxfId="98" priority="129" operator="lessThanOrEqual">
      <formula>0.69</formula>
    </cfRule>
    <cfRule type="cellIs" dxfId="97" priority="130" operator="between">
      <formula>0.9</formula>
      <formula>1</formula>
    </cfRule>
  </conditionalFormatting>
  <conditionalFormatting sqref="K164:M166">
    <cfRule type="cellIs" dxfId="96" priority="17" operator="between">
      <formula>0.700000000001</formula>
      <formula>0.9999999999999</formula>
    </cfRule>
    <cfRule type="cellIs" dxfId="95" priority="23" operator="equal">
      <formula>"No programado"</formula>
    </cfRule>
    <cfRule type="cellIs" dxfId="94" priority="25" operator="equal">
      <formula>1</formula>
    </cfRule>
    <cfRule type="cellIs" dxfId="93" priority="26" operator="greaterThan">
      <formula>1</formula>
    </cfRule>
  </conditionalFormatting>
  <conditionalFormatting sqref="K164:M164">
    <cfRule type="cellIs" dxfId="92" priority="19" operator="between">
      <formula>0.790000001</formula>
      <formula>0.999999999999</formula>
    </cfRule>
    <cfRule type="cellIs" dxfId="91" priority="22" operator="lessThanOrEqual">
      <formula>0.79</formula>
    </cfRule>
  </conditionalFormatting>
  <conditionalFormatting sqref="K165:M165">
    <cfRule type="cellIs" dxfId="90" priority="18" operator="between">
      <formula>0.9900000001</formula>
      <formula>0.99999999999</formula>
    </cfRule>
    <cfRule type="cellIs" dxfId="89" priority="21" operator="lessThanOrEqual">
      <formula>0.99</formula>
    </cfRule>
  </conditionalFormatting>
  <conditionalFormatting sqref="K166:M166">
    <cfRule type="cellIs" dxfId="88" priority="20" operator="lessThanOrEqual">
      <formula>0.7</formula>
    </cfRule>
  </conditionalFormatting>
  <conditionalFormatting sqref="K145:M148">
    <cfRule type="cellIs" dxfId="87" priority="12" operator="equal">
      <formula>"No programado"</formula>
    </cfRule>
    <cfRule type="cellIs" dxfId="86" priority="13" operator="greaterThan">
      <formula>1</formula>
    </cfRule>
  </conditionalFormatting>
  <conditionalFormatting sqref="K147:M148">
    <cfRule type="cellIs" dxfId="85" priority="14" operator="between">
      <formula>0.8</formula>
      <formula>0.999999</formula>
    </cfRule>
    <cfRule type="cellIs" dxfId="84" priority="118" operator="lessThanOrEqual">
      <formula>0.79</formula>
    </cfRule>
  </conditionalFormatting>
  <conditionalFormatting sqref="K146:M146">
    <cfRule type="cellIs" dxfId="83" priority="15" operator="between">
      <formula>0.93</formula>
      <formula>0.99999999999</formula>
    </cfRule>
    <cfRule type="cellIs" dxfId="82" priority="117" operator="lessThan">
      <formula>0.93</formula>
    </cfRule>
  </conditionalFormatting>
  <conditionalFormatting sqref="K145:M145">
    <cfRule type="cellIs" dxfId="81" priority="16" operator="between">
      <formula>0.9</formula>
      <formula>0.95</formula>
    </cfRule>
    <cfRule type="cellIs" dxfId="80" priority="111" operator="between">
      <formula>0.9000000001</formula>
      <formula>1</formula>
    </cfRule>
    <cfRule type="cellIs" dxfId="79" priority="114" operator="lessThan">
      <formula>0.9</formula>
    </cfRule>
  </conditionalFormatting>
  <conditionalFormatting sqref="K146:M148">
    <cfRule type="cellIs" dxfId="78" priority="112" operator="equal">
      <formula>1</formula>
    </cfRule>
  </conditionalFormatting>
  <conditionalFormatting sqref="K69">
    <cfRule type="cellIs" dxfId="77" priority="8" operator="equal">
      <formula>"No programado"</formula>
    </cfRule>
    <cfRule type="cellIs" dxfId="76" priority="11" operator="greaterThan">
      <formula>1</formula>
    </cfRule>
  </conditionalFormatting>
  <conditionalFormatting sqref="K69">
    <cfRule type="cellIs" dxfId="75" priority="7" operator="between">
      <formula>0.8</formula>
      <formula>0.85</formula>
    </cfRule>
    <cfRule type="cellIs" dxfId="74" priority="9" operator="lessThan">
      <formula>0.8</formula>
    </cfRule>
    <cfRule type="cellIs" dxfId="73" priority="10" operator="between">
      <formula>0.850000000001</formula>
      <formula>1</formula>
    </cfRule>
  </conditionalFormatting>
  <conditionalFormatting sqref="K86:L86">
    <cfRule type="cellIs" dxfId="72" priority="4" operator="between">
      <formula>0.53000001</formula>
      <formula>0.7699999999999</formula>
    </cfRule>
    <cfRule type="cellIs" dxfId="71" priority="5" operator="lessThan">
      <formula>0.53</formula>
    </cfRule>
    <cfRule type="cellIs" dxfId="70" priority="6" operator="between">
      <formula>0.7700000000001</formula>
      <formula>1</formula>
    </cfRule>
  </conditionalFormatting>
  <conditionalFormatting sqref="M97:M102">
    <cfRule type="cellIs" dxfId="69" priority="163" operator="between">
      <formula>0.9</formula>
      <formula>0.65</formula>
    </cfRule>
  </conditionalFormatting>
  <conditionalFormatting sqref="M108">
    <cfRule type="cellIs" dxfId="68" priority="46" operator="between">
      <formula>0.69</formula>
      <formula>0.899999999999999</formula>
    </cfRule>
  </conditionalFormatting>
  <conditionalFormatting sqref="M112">
    <cfRule type="cellIs" dxfId="67" priority="1" operator="between">
      <formula>0.69000000000001</formula>
      <formula>0.899999999999999</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theme="8" tint="-0.249977111117893"/>
  </sheetPr>
  <dimension ref="B1:AJ105"/>
  <sheetViews>
    <sheetView showGridLines="0" zoomScale="70" zoomScaleNormal="70" workbookViewId="0">
      <selection activeCell="C10" sqref="C10:C12"/>
    </sheetView>
  </sheetViews>
  <sheetFormatPr baseColWidth="10" defaultColWidth="17.33203125" defaultRowHeight="23.4"/>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8" width="25.6640625" style="133" customWidth="1"/>
    <col min="19" max="19" width="26.6640625" style="133" customWidth="1"/>
    <col min="20" max="20" width="25.6640625" style="133" customWidth="1"/>
    <col min="21" max="21" width="28.33203125" style="133" customWidth="1"/>
    <col min="22" max="22" width="28.44140625" style="133" customWidth="1"/>
    <col min="23" max="23" width="35.6640625" style="133" customWidth="1"/>
    <col min="24" max="24" width="23.6640625" style="309" customWidth="1"/>
    <col min="25" max="25" width="23.33203125" style="309" customWidth="1"/>
    <col min="26" max="26" width="36.6640625" style="309" customWidth="1"/>
    <col min="27" max="27" width="38.6640625" style="309" customWidth="1"/>
    <col min="28" max="28" width="38.6640625" style="135" customWidth="1"/>
    <col min="29" max="29" width="5.44140625" style="135" customWidth="1"/>
    <col min="30" max="30" width="12.44140625" style="135" hidden="1" customWidth="1"/>
    <col min="31" max="31" width="12.88671875" style="416" hidden="1" customWidth="1"/>
    <col min="32" max="32" width="8.6640625" style="135" hidden="1" customWidth="1"/>
    <col min="33" max="33" width="11.44140625" style="135" hidden="1" customWidth="1"/>
    <col min="34" max="34" width="11.5546875" style="135" hidden="1" customWidth="1"/>
    <col min="35" max="16384" width="17.33203125" style="135"/>
  </cols>
  <sheetData>
    <row r="1" spans="2:36" ht="15" customHeight="1" thickBot="1"/>
    <row r="2" spans="2:36" ht="16.5" customHeight="1">
      <c r="B2" s="1463" t="s">
        <v>752</v>
      </c>
      <c r="C2" s="1443" t="s">
        <v>763</v>
      </c>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5"/>
    </row>
    <row r="3" spans="2:36" ht="16.5" customHeight="1">
      <c r="B3" s="1464"/>
      <c r="C3" s="1446"/>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8"/>
    </row>
    <row r="4" spans="2:36" ht="16.5" customHeight="1">
      <c r="B4" s="1464"/>
      <c r="C4" s="1446"/>
      <c r="D4" s="1447"/>
      <c r="E4" s="1447"/>
      <c r="F4" s="1447"/>
      <c r="G4" s="1447"/>
      <c r="H4" s="1447"/>
      <c r="I4" s="1447"/>
      <c r="J4" s="1447"/>
      <c r="K4" s="1447"/>
      <c r="L4" s="1447"/>
      <c r="M4" s="1447"/>
      <c r="N4" s="1447"/>
      <c r="O4" s="1447"/>
      <c r="P4" s="1447"/>
      <c r="Q4" s="1447"/>
      <c r="R4" s="1447"/>
      <c r="S4" s="1447"/>
      <c r="T4" s="1447"/>
      <c r="U4" s="1447"/>
      <c r="V4" s="1447"/>
      <c r="W4" s="1447"/>
      <c r="X4" s="1447"/>
      <c r="Y4" s="1447"/>
      <c r="Z4" s="1447"/>
      <c r="AA4" s="1447"/>
      <c r="AB4" s="1448"/>
    </row>
    <row r="5" spans="2:36" ht="16.5" customHeight="1">
      <c r="B5" s="1464"/>
      <c r="C5" s="1446"/>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8"/>
    </row>
    <row r="6" spans="2:36" ht="16.5" customHeight="1" thickBot="1">
      <c r="B6" s="1465"/>
      <c r="C6" s="1449"/>
      <c r="D6" s="1450"/>
      <c r="E6" s="1450"/>
      <c r="F6" s="1450"/>
      <c r="G6" s="1450"/>
      <c r="H6" s="1450"/>
      <c r="I6" s="1450"/>
      <c r="J6" s="1450"/>
      <c r="K6" s="1450"/>
      <c r="L6" s="1450"/>
      <c r="M6" s="1450"/>
      <c r="N6" s="1450"/>
      <c r="O6" s="1450"/>
      <c r="P6" s="1450"/>
      <c r="Q6" s="1450"/>
      <c r="R6" s="1450"/>
      <c r="S6" s="1450"/>
      <c r="T6" s="1450"/>
      <c r="U6" s="1450"/>
      <c r="V6" s="1450"/>
      <c r="W6" s="1450"/>
      <c r="X6" s="1450"/>
      <c r="Y6" s="1450"/>
      <c r="Z6" s="1450"/>
      <c r="AA6" s="1450"/>
      <c r="AB6" s="1451"/>
    </row>
    <row r="7" spans="2:36" ht="14.25" customHeight="1" thickBot="1">
      <c r="B7" s="136"/>
      <c r="C7" s="136"/>
      <c r="D7" s="136"/>
      <c r="E7" s="137"/>
      <c r="F7" s="137"/>
      <c r="G7" s="137"/>
      <c r="H7" s="136"/>
      <c r="I7" s="136"/>
      <c r="J7" s="136"/>
      <c r="K7" s="136"/>
      <c r="L7" s="136"/>
      <c r="M7" s="136"/>
      <c r="N7" s="136"/>
      <c r="O7" s="136"/>
      <c r="P7" s="136"/>
      <c r="Q7" s="136"/>
      <c r="R7" s="136"/>
      <c r="S7" s="136"/>
      <c r="T7" s="136"/>
      <c r="U7" s="136"/>
      <c r="V7" s="136"/>
      <c r="W7" s="136"/>
    </row>
    <row r="8" spans="2:36" ht="32.4" customHeight="1" thickBot="1">
      <c r="B8" s="486" t="s">
        <v>764</v>
      </c>
      <c r="C8" s="485" t="s">
        <v>1206</v>
      </c>
      <c r="D8" s="484">
        <v>2021</v>
      </c>
      <c r="E8" s="487"/>
      <c r="F8" s="487"/>
      <c r="G8" s="487"/>
      <c r="H8" s="487"/>
      <c r="I8" s="487"/>
      <c r="J8" s="487"/>
      <c r="K8" s="487"/>
      <c r="L8" s="487"/>
      <c r="M8" s="487"/>
      <c r="N8" s="487"/>
      <c r="O8" s="487"/>
      <c r="P8" s="487"/>
      <c r="Q8" s="487"/>
      <c r="R8" s="487"/>
      <c r="S8" s="487"/>
      <c r="T8" s="487"/>
      <c r="U8" s="487"/>
      <c r="V8" s="487"/>
      <c r="W8" s="487"/>
      <c r="X8" s="487"/>
      <c r="Y8" s="487"/>
      <c r="Z8" s="487"/>
      <c r="AA8" s="487"/>
      <c r="AB8" s="487"/>
      <c r="AC8" s="138"/>
    </row>
    <row r="9" spans="2:36" ht="14.25" customHeight="1">
      <c r="B9" s="136"/>
      <c r="C9" s="136"/>
      <c r="D9" s="136"/>
      <c r="E9" s="137"/>
      <c r="F9" s="137"/>
      <c r="G9" s="137"/>
      <c r="H9" s="136"/>
      <c r="I9" s="136"/>
      <c r="J9" s="136"/>
      <c r="K9" s="136"/>
      <c r="L9" s="136"/>
      <c r="M9" s="136"/>
      <c r="N9" s="136"/>
      <c r="O9" s="136"/>
      <c r="P9" s="136"/>
      <c r="Q9" s="136"/>
      <c r="R9" s="136"/>
      <c r="S9" s="136"/>
      <c r="T9" s="136"/>
      <c r="U9" s="136"/>
      <c r="V9" s="136"/>
      <c r="W9" s="136"/>
      <c r="X9" s="419"/>
      <c r="Y9" s="419"/>
      <c r="Z9" s="419"/>
      <c r="AA9" s="419"/>
      <c r="AB9" s="138"/>
    </row>
    <row r="10" spans="2:36" ht="55.2" customHeight="1">
      <c r="B10" s="1442" t="s">
        <v>0</v>
      </c>
      <c r="C10" s="1442" t="s">
        <v>52</v>
      </c>
      <c r="D10" s="1442" t="s">
        <v>54</v>
      </c>
      <c r="E10" s="1427" t="s">
        <v>55</v>
      </c>
      <c r="F10" s="1442" t="s">
        <v>56</v>
      </c>
      <c r="G10" s="1442" t="s">
        <v>70</v>
      </c>
      <c r="H10" s="1442" t="s">
        <v>57</v>
      </c>
      <c r="I10" s="1442" t="s">
        <v>41</v>
      </c>
      <c r="J10" s="1442" t="s">
        <v>42</v>
      </c>
      <c r="K10" s="1462" t="s">
        <v>75</v>
      </c>
      <c r="L10" s="1462"/>
      <c r="M10" s="1462"/>
      <c r="N10" s="1462"/>
      <c r="O10" s="1455">
        <v>2021</v>
      </c>
      <c r="P10" s="1456"/>
      <c r="Q10" s="1456"/>
      <c r="R10" s="1456"/>
      <c r="S10" s="1456"/>
      <c r="T10" s="1456"/>
      <c r="U10" s="1456"/>
      <c r="V10" s="1456"/>
      <c r="W10" s="1456"/>
      <c r="X10" s="1456"/>
      <c r="Y10" s="1457"/>
      <c r="Z10" s="1452" t="s">
        <v>759</v>
      </c>
      <c r="AA10" s="1453"/>
      <c r="AB10" s="1454"/>
    </row>
    <row r="11" spans="2:36" ht="48.6" customHeight="1">
      <c r="B11" s="1442"/>
      <c r="C11" s="1442"/>
      <c r="D11" s="1442"/>
      <c r="E11" s="1478"/>
      <c r="F11" s="1442"/>
      <c r="G11" s="1442"/>
      <c r="H11" s="1442"/>
      <c r="I11" s="1442"/>
      <c r="J11" s="1442"/>
      <c r="K11" s="1038" t="s">
        <v>59</v>
      </c>
      <c r="L11" s="1038" t="s">
        <v>59</v>
      </c>
      <c r="M11" s="1038" t="s">
        <v>59</v>
      </c>
      <c r="N11" s="1038" t="s">
        <v>59</v>
      </c>
      <c r="O11" s="1452" t="s">
        <v>21</v>
      </c>
      <c r="P11" s="1454"/>
      <c r="Q11" s="1452" t="s">
        <v>22</v>
      </c>
      <c r="R11" s="1454"/>
      <c r="S11" s="1452" t="s">
        <v>23</v>
      </c>
      <c r="T11" s="1454"/>
      <c r="U11" s="1452" t="s">
        <v>24</v>
      </c>
      <c r="V11" s="1454"/>
      <c r="W11" s="1427" t="s">
        <v>762</v>
      </c>
      <c r="X11" s="1427" t="s">
        <v>757</v>
      </c>
      <c r="Y11" s="1458" t="s">
        <v>999</v>
      </c>
      <c r="Z11" s="1458" t="s">
        <v>756</v>
      </c>
      <c r="AA11" s="1427" t="s">
        <v>758</v>
      </c>
      <c r="AB11" s="1460" t="s">
        <v>760</v>
      </c>
    </row>
    <row r="12" spans="2:36" ht="22.5" customHeight="1">
      <c r="B12" s="1442"/>
      <c r="C12" s="1442"/>
      <c r="D12" s="1442"/>
      <c r="E12" s="1428"/>
      <c r="F12" s="1442"/>
      <c r="G12" s="1442"/>
      <c r="H12" s="1442"/>
      <c r="I12" s="1442"/>
      <c r="J12" s="1442"/>
      <c r="K12" s="1039">
        <v>2021</v>
      </c>
      <c r="L12" s="1039">
        <v>2022</v>
      </c>
      <c r="M12" s="1039">
        <v>2023</v>
      </c>
      <c r="N12" s="1039">
        <v>2024</v>
      </c>
      <c r="O12" s="1037" t="s">
        <v>754</v>
      </c>
      <c r="P12" s="1037" t="s">
        <v>755</v>
      </c>
      <c r="Q12" s="1037" t="s">
        <v>754</v>
      </c>
      <c r="R12" s="1037" t="s">
        <v>755</v>
      </c>
      <c r="S12" s="1037" t="s">
        <v>754</v>
      </c>
      <c r="T12" s="1037" t="s">
        <v>755</v>
      </c>
      <c r="U12" s="1037" t="s">
        <v>754</v>
      </c>
      <c r="V12" s="1037" t="s">
        <v>755</v>
      </c>
      <c r="W12" s="1428"/>
      <c r="X12" s="1428"/>
      <c r="Y12" s="1459"/>
      <c r="Z12" s="1459"/>
      <c r="AA12" s="1428"/>
      <c r="AB12" s="1461"/>
    </row>
    <row r="13" spans="2:36" ht="103.5" customHeight="1">
      <c r="B13" s="1466" t="s">
        <v>130</v>
      </c>
      <c r="C13" s="1475" t="s">
        <v>131</v>
      </c>
      <c r="D13" s="31" t="str">
        <f>+'01-FR-03 POA INSTITUCIONAL'!D13</f>
        <v>1.1.1 Realizar 347.900 intervenciones dentro del ejercicio del Ministerio Público para prevenir la vulneración de derechos y/o lograr el  restablecimiento de los mismos.</v>
      </c>
      <c r="E13" s="52">
        <f>+'01-FR-03 POA INSTITUCIONAL'!E13</f>
        <v>0.38</v>
      </c>
      <c r="F13" s="139">
        <f>+'01-FR-03 POA INSTITUCIONAL'!F13</f>
        <v>347900</v>
      </c>
      <c r="G13" s="1041" t="str">
        <f>+'01-FR-03 POA INSTITUCIONAL'!G13</f>
        <v>S.I.</v>
      </c>
      <c r="H13" s="141" t="str">
        <f>+'01-FR-03 POA INSTITUCIONAL'!H13</f>
        <v>Intervenciones realizadas en defensa de los derechos</v>
      </c>
      <c r="I13" s="142" t="str">
        <f>+'01-FR-03 POA INSTITUCIONAL'!I13</f>
        <v>Promoción y Defensa de Derechos</v>
      </c>
      <c r="J13" s="143" t="str">
        <f>+'01-FR-03 POA INSTITUCIONAL'!J13</f>
        <v>P.D. para Asuntos Penales I, Penales II, Derechos Humanos y Policivos y Civiles
P.D. para los Sectores Planeación y Movilidad y la P.D. para los Sectores Educación y Cultura, Recreación y Deporte</v>
      </c>
      <c r="K13" s="144">
        <f>+'01-FR-03 POA INSTITUCIONAL'!K13</f>
        <v>102150</v>
      </c>
      <c r="L13" s="144">
        <f>+'01-FR-03 POA INSTITUCIONAL'!L13</f>
        <v>98250</v>
      </c>
      <c r="M13" s="144">
        <f>+'01-FR-03 POA INSTITUCIONAL'!M13</f>
        <v>98250</v>
      </c>
      <c r="N13" s="144">
        <f>+'01-FR-03 POA INSTITUCIONAL'!N13</f>
        <v>49250</v>
      </c>
      <c r="O13" s="408">
        <f>'05-POA PROM DEFENSA DERECHOS'!V16</f>
        <v>22050</v>
      </c>
      <c r="P13" s="408">
        <f>'05-POA PROM DEFENSA DERECHOS'!W16</f>
        <v>29988</v>
      </c>
      <c r="Q13" s="408">
        <f>+'05-POA PROM DEFENSA DERECHOS'!AD16</f>
        <v>27075</v>
      </c>
      <c r="R13" s="408">
        <f>+'05-POA PROM DEFENSA DERECHOS'!AE16</f>
        <v>30354</v>
      </c>
      <c r="S13" s="408">
        <f>+'05-POA PROM DEFENSA DERECHOS'!AL16</f>
        <v>28635</v>
      </c>
      <c r="T13" s="408">
        <f>+'05-POA PROM DEFENSA DERECHOS'!AM16</f>
        <v>36860</v>
      </c>
      <c r="U13" s="408">
        <f>+'05-POA PROM DEFENSA DERECHOS'!AT16</f>
        <v>24390</v>
      </c>
      <c r="V13" s="412">
        <f>+'05-POA PROM DEFENSA DERECHOS'!AU16</f>
        <v>0</v>
      </c>
      <c r="W13" s="408">
        <f>+'05-POA PROM DEFENSA DERECHOS'!AV16</f>
        <v>102150</v>
      </c>
      <c r="X13" s="410">
        <f t="shared" ref="X13:X17" si="0">+P13+R13+T13+V13</f>
        <v>97202</v>
      </c>
      <c r="Y13" s="765">
        <f t="shared" ref="Y13:Y18" si="1">IF(AND($W13&gt;0),X13/$W13,"No programado")</f>
        <v>0.95156142927068033</v>
      </c>
      <c r="Z13" s="411">
        <f>IF(AND(X13&gt;0,$F13&gt;0),X13/$F13,0)</f>
        <v>0.27939637826961772</v>
      </c>
      <c r="AA13" s="418">
        <f>IF(AND(Z13&gt;0,E13&gt;0),Z13*E13,0)</f>
        <v>0.10617062374245473</v>
      </c>
      <c r="AB13" s="1270">
        <f>SUM(AA13:AA23)</f>
        <v>0.23083348722249022</v>
      </c>
      <c r="AD13" s="415">
        <f>+'05-POA PROM DEFENSA DERECHOS'!BC16</f>
        <v>0.95156142927068033</v>
      </c>
      <c r="AE13" s="417">
        <f t="shared" ref="AE13:AE49" si="2">Y13-AD13</f>
        <v>0</v>
      </c>
      <c r="AG13" s="415">
        <f>+'05-POA PROM DEFENSA DERECHOS'!BG16</f>
        <v>0.27939637826961772</v>
      </c>
      <c r="AH13" s="417">
        <f t="shared" ref="AH13:AH49" si="3">+Z13-AG13</f>
        <v>0</v>
      </c>
      <c r="AJ13" s="414"/>
    </row>
    <row r="14" spans="2:36" ht="142.5" customHeight="1">
      <c r="B14" s="1467"/>
      <c r="C14" s="1477"/>
      <c r="D14" s="31" t="str">
        <f>+'01-FR-03 POA INSTITUCIONAL'!D14</f>
        <v>1.1.2 Orientar 269.700 personas en garantía de derechos.</v>
      </c>
      <c r="E14" s="52">
        <f>+'01-FR-03 POA INSTITUCIONAL'!E14</f>
        <v>0.3</v>
      </c>
      <c r="F14" s="139">
        <f>+'01-FR-03 POA INSTITUCIONAL'!F14</f>
        <v>269700</v>
      </c>
      <c r="G14" s="1041" t="str">
        <f>+'01-FR-03 POA INSTITUCIONAL'!G14</f>
        <v>S.I.</v>
      </c>
      <c r="H14" s="141" t="str">
        <f>+'01-FR-03 POA INSTITUCIONAL'!H14</f>
        <v>Personas orientadas en garantía de derechos</v>
      </c>
      <c r="I14" s="142" t="str">
        <f>+'01-FR-03 POA INSTITUCIONAL'!I14</f>
        <v>Promoción y Defensa de Derechos</v>
      </c>
      <c r="J14" s="143"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44">
        <f>+'01-FR-03 POA INSTITUCIONAL'!K14</f>
        <v>76200</v>
      </c>
      <c r="L14" s="144">
        <f>+'01-FR-03 POA INSTITUCIONAL'!L14</f>
        <v>76600</v>
      </c>
      <c r="M14" s="144">
        <f>+'01-FR-03 POA INSTITUCIONAL'!M14</f>
        <v>76600</v>
      </c>
      <c r="N14" s="144">
        <f>+'01-FR-03 POA INSTITUCIONAL'!N14</f>
        <v>40300</v>
      </c>
      <c r="O14" s="408">
        <f>'05-POA PROM DEFENSA DERECHOS'!V17</f>
        <v>17420</v>
      </c>
      <c r="P14" s="408">
        <f>'05-POA PROM DEFENSA DERECHOS'!W17</f>
        <v>17308</v>
      </c>
      <c r="Q14" s="408">
        <f>+'05-POA PROM DEFENSA DERECHOS'!AD17</f>
        <v>19380</v>
      </c>
      <c r="R14" s="408">
        <f>+'05-POA PROM DEFENSA DERECHOS'!AE17</f>
        <v>18431</v>
      </c>
      <c r="S14" s="408">
        <f>+'05-POA PROM DEFENSA DERECHOS'!AL17</f>
        <v>20444</v>
      </c>
      <c r="T14" s="408">
        <f>+'05-POA PROM DEFENSA DERECHOS'!AM17</f>
        <v>28295</v>
      </c>
      <c r="U14" s="408">
        <f>+'05-POA PROM DEFENSA DERECHOS'!AT17</f>
        <v>18956</v>
      </c>
      <c r="V14" s="412">
        <f>+'05-POA PROM DEFENSA DERECHOS'!AU17</f>
        <v>0</v>
      </c>
      <c r="W14" s="408">
        <f>+'05-POA PROM DEFENSA DERECHOS'!AV17</f>
        <v>76200</v>
      </c>
      <c r="X14" s="410">
        <f t="shared" si="0"/>
        <v>64034</v>
      </c>
      <c r="Y14" s="765">
        <f t="shared" si="1"/>
        <v>0.84034120734908135</v>
      </c>
      <c r="Z14" s="411">
        <f t="shared" ref="Z14:Z33" si="4">IF(AND(X14&gt;0,$F14&gt;0),X14/$F14,0)</f>
        <v>0.23742677048572489</v>
      </c>
      <c r="AA14" s="418">
        <f t="shared" ref="AA14:AA33" si="5">IF(AND(Z14&gt;0,E14&gt;0),Z14*E14,0)</f>
        <v>7.1228031145717463E-2</v>
      </c>
      <c r="AB14" s="1168"/>
      <c r="AD14" s="415">
        <f>+'05-POA PROM DEFENSA DERECHOS'!BC17</f>
        <v>0.84034120734908135</v>
      </c>
      <c r="AE14" s="417">
        <f t="shared" si="2"/>
        <v>0</v>
      </c>
      <c r="AG14" s="415">
        <f>+'05-POA PROM DEFENSA DERECHOS'!BG17</f>
        <v>0.23742677048572489</v>
      </c>
      <c r="AH14" s="417">
        <f t="shared" si="3"/>
        <v>0</v>
      </c>
    </row>
    <row r="15" spans="2:36" ht="185.25" customHeight="1">
      <c r="B15" s="1467"/>
      <c r="C15" s="1477"/>
      <c r="D15" s="31" t="str">
        <f>+'01-FR-03 POA INSTITUCIONAL'!D15</f>
        <v>1.1.3 Asistir 130.545 personas en garantía de derechos.</v>
      </c>
      <c r="E15" s="52">
        <f>+'01-FR-03 POA INSTITUCIONAL'!E15</f>
        <v>0.15</v>
      </c>
      <c r="F15" s="139">
        <f>+'01-FR-03 POA INSTITUCIONAL'!F15</f>
        <v>130545</v>
      </c>
      <c r="G15" s="1041" t="str">
        <f>+'01-FR-03 POA INSTITUCIONAL'!G15</f>
        <v>S.I.</v>
      </c>
      <c r="H15" s="141" t="str">
        <f>+'01-FR-03 POA INSTITUCIONAL'!H15</f>
        <v>Personas asistidas en garantía de derechos</v>
      </c>
      <c r="I15" s="142" t="str">
        <f>+'01-FR-03 POA INSTITUCIONAL'!I15</f>
        <v>Promoción y Defensa de Derechos</v>
      </c>
      <c r="J15" s="143"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44">
        <f>+'01-FR-03 POA INSTITUCIONAL'!K15</f>
        <v>28545</v>
      </c>
      <c r="L15" s="144">
        <f>+'01-FR-03 POA INSTITUCIONAL'!L15</f>
        <v>39200</v>
      </c>
      <c r="M15" s="144">
        <f>+'01-FR-03 POA INSTITUCIONAL'!M15</f>
        <v>39200</v>
      </c>
      <c r="N15" s="144">
        <f>+'01-FR-03 POA INSTITUCIONAL'!N15</f>
        <v>23600</v>
      </c>
      <c r="O15" s="408">
        <f>'05-POA PROM DEFENSA DERECHOS'!V18</f>
        <v>8750</v>
      </c>
      <c r="P15" s="408">
        <f>'05-POA PROM DEFENSA DERECHOS'!W18</f>
        <v>4414</v>
      </c>
      <c r="Q15" s="408">
        <f>+'05-POA PROM DEFENSA DERECHOS'!AD18</f>
        <v>10350</v>
      </c>
      <c r="R15" s="408">
        <f>+'05-POA PROM DEFENSA DERECHOS'!AE18</f>
        <v>6018</v>
      </c>
      <c r="S15" s="408">
        <f>+'05-POA PROM DEFENSA DERECHOS'!AL18</f>
        <v>6260</v>
      </c>
      <c r="T15" s="408">
        <f>+'05-POA PROM DEFENSA DERECHOS'!AM18</f>
        <v>8637</v>
      </c>
      <c r="U15" s="408">
        <f>+'05-POA PROM DEFENSA DERECHOS'!AT18</f>
        <v>3185</v>
      </c>
      <c r="V15" s="412">
        <f>+'05-POA PROM DEFENSA DERECHOS'!AU18</f>
        <v>0</v>
      </c>
      <c r="W15" s="408">
        <f>+'05-POA PROM DEFENSA DERECHOS'!AV18</f>
        <v>28545</v>
      </c>
      <c r="X15" s="410">
        <f t="shared" si="0"/>
        <v>19069</v>
      </c>
      <c r="Y15" s="765">
        <f t="shared" si="1"/>
        <v>0.66803293046067613</v>
      </c>
      <c r="Z15" s="411">
        <f t="shared" si="4"/>
        <v>0.14607223562756139</v>
      </c>
      <c r="AA15" s="418">
        <f t="shared" si="5"/>
        <v>2.1910835344134207E-2</v>
      </c>
      <c r="AB15" s="1168"/>
      <c r="AD15" s="415">
        <f>+'05-POA PROM DEFENSA DERECHOS'!BC18</f>
        <v>0.66803293046067613</v>
      </c>
      <c r="AE15" s="417">
        <f t="shared" si="2"/>
        <v>0</v>
      </c>
      <c r="AG15" s="415">
        <f>+'05-POA PROM DEFENSA DERECHOS'!BG18</f>
        <v>0.14607223562756139</v>
      </c>
      <c r="AH15" s="417">
        <f t="shared" si="3"/>
        <v>0</v>
      </c>
    </row>
    <row r="16" spans="2:36" ht="51" customHeight="1">
      <c r="B16" s="1467"/>
      <c r="C16" s="1477"/>
      <c r="D16" s="31" t="str">
        <f>+'01-FR-03 POA INSTITUCIONAL'!D16</f>
        <v>1.1.4 Asistir a 32.186 personas en mecanismos alternativos de solución de conflictos.</v>
      </c>
      <c r="E16" s="52">
        <f>+'01-FR-03 POA INSTITUCIONAL'!E16</f>
        <v>0.04</v>
      </c>
      <c r="F16" s="139">
        <f>+'01-FR-03 POA INSTITUCIONAL'!F16</f>
        <v>32186</v>
      </c>
      <c r="G16" s="1041" t="str">
        <f>+'01-FR-03 POA INSTITUCIONAL'!G16</f>
        <v>S.I.</v>
      </c>
      <c r="H16" s="141" t="str">
        <f>+'01-FR-03 POA INSTITUCIONAL'!H16</f>
        <v>Personas asistidas en Mecanismos Alternativos de Solución de Conflictos</v>
      </c>
      <c r="I16" s="142" t="str">
        <f>+'01-FR-03 POA INSTITUCIONAL'!I16</f>
        <v>Promoción y Defensa de Derechos</v>
      </c>
      <c r="J16" s="143" t="str">
        <f>+'01-FR-03 POA INSTITUCIONAL'!J16</f>
        <v>Dirección de Conciliación y M.A.S.C.</v>
      </c>
      <c r="K16" s="144">
        <f>+'01-FR-03 POA INSTITUCIONAL'!K16</f>
        <v>6810</v>
      </c>
      <c r="L16" s="144">
        <f>+'01-FR-03 POA INSTITUCIONAL'!L16</f>
        <v>10500</v>
      </c>
      <c r="M16" s="144">
        <f>+'01-FR-03 POA INSTITUCIONAL'!M16</f>
        <v>10500</v>
      </c>
      <c r="N16" s="144">
        <f>+'01-FR-03 POA INSTITUCIONAL'!N16</f>
        <v>4376</v>
      </c>
      <c r="O16" s="408">
        <f>'05-POA PROM DEFENSA DERECHOS'!V19</f>
        <v>2420</v>
      </c>
      <c r="P16" s="408">
        <f>'05-POA PROM DEFENSA DERECHOS'!W19</f>
        <v>1338</v>
      </c>
      <c r="Q16" s="408">
        <f>+'05-POA PROM DEFENSA DERECHOS'!AD19</f>
        <v>2730</v>
      </c>
      <c r="R16" s="408">
        <f>+'05-POA PROM DEFENSA DERECHOS'!AE19</f>
        <v>1814</v>
      </c>
      <c r="S16" s="408">
        <f>+'05-POA PROM DEFENSA DERECHOS'!AL19</f>
        <v>1210</v>
      </c>
      <c r="T16" s="408">
        <f>+'05-POA PROM DEFENSA DERECHOS'!AM19</f>
        <v>2484</v>
      </c>
      <c r="U16" s="408">
        <f>+'05-POA PROM DEFENSA DERECHOS'!AT19</f>
        <v>450</v>
      </c>
      <c r="V16" s="412">
        <f>+'05-POA PROM DEFENSA DERECHOS'!AU19</f>
        <v>0</v>
      </c>
      <c r="W16" s="408">
        <f>+'05-POA PROM DEFENSA DERECHOS'!AV19</f>
        <v>6810</v>
      </c>
      <c r="X16" s="410">
        <f t="shared" si="0"/>
        <v>5636</v>
      </c>
      <c r="Y16" s="765">
        <f t="shared" si="1"/>
        <v>0.82760646108663727</v>
      </c>
      <c r="Z16" s="411">
        <f t="shared" si="4"/>
        <v>0.17510718946125645</v>
      </c>
      <c r="AA16" s="418">
        <f t="shared" si="5"/>
        <v>7.0042875784502578E-3</v>
      </c>
      <c r="AB16" s="1168"/>
      <c r="AD16" s="415">
        <f>+'05-POA PROM DEFENSA DERECHOS'!BC19</f>
        <v>0.82760646108663727</v>
      </c>
      <c r="AE16" s="417">
        <f t="shared" si="2"/>
        <v>0</v>
      </c>
      <c r="AG16" s="415">
        <f>+'05-POA PROM DEFENSA DERECHOS'!BG19</f>
        <v>0.17510718946125645</v>
      </c>
      <c r="AH16" s="417">
        <f t="shared" si="3"/>
        <v>0</v>
      </c>
    </row>
    <row r="17" spans="2:34" ht="136.5" customHeight="1">
      <c r="B17" s="1467"/>
      <c r="C17" s="1477"/>
      <c r="D17" s="31" t="str">
        <f>+'01-FR-03 POA INSTITUCIONAL'!D17</f>
        <v>1.1.5 Atender y gestionar 64.307 peticiones y/o requerimientos presentados por la comunidad en garantía de derechos.</v>
      </c>
      <c r="E17" s="52">
        <f>+'01-FR-03 POA INSTITUCIONAL'!E17</f>
        <v>0.06</v>
      </c>
      <c r="F17" s="139">
        <f>+'01-FR-03 POA INSTITUCIONAL'!F17</f>
        <v>64307</v>
      </c>
      <c r="G17" s="1041" t="str">
        <f>+'01-FR-03 POA INSTITUCIONAL'!G17</f>
        <v>S.I.</v>
      </c>
      <c r="H17" s="141" t="str">
        <f>+'01-FR-03 POA INSTITUCIONAL'!H17</f>
        <v>Peticiones o requerimientos ciudadanos atendidos en garantía de derechos</v>
      </c>
      <c r="I17" s="142" t="str">
        <f>+'01-FR-03 POA INSTITUCIONAL'!I17</f>
        <v>Promoción y Defensa de Derechos</v>
      </c>
      <c r="J17" s="143" t="str">
        <f>+'01-FR-03 POA INSTITUCIONAL'!J17</f>
        <v>P.D. para la Coordinación del MP y DDHH, P.D. para Asuntos Penales I, Penales II, Policivos y Civiles, Derechos Humanos, Familia y Orientación y Asistencia.
P.D. para la Coordinación de la Gestión de Personerías Locales y sus Personerías Locales adscritas</v>
      </c>
      <c r="K17" s="144">
        <f>+'01-FR-03 POA INSTITUCIONAL'!K17</f>
        <v>17807</v>
      </c>
      <c r="L17" s="144">
        <f>+'01-FR-03 POA INSTITUCIONAL'!L17</f>
        <v>21200</v>
      </c>
      <c r="M17" s="144">
        <f>+'01-FR-03 POA INSTITUCIONAL'!M17</f>
        <v>21200</v>
      </c>
      <c r="N17" s="144">
        <f>+'01-FR-03 POA INSTITUCIONAL'!N17</f>
        <v>4100</v>
      </c>
      <c r="O17" s="408">
        <f>'05-POA PROM DEFENSA DERECHOS'!V20</f>
        <v>3520</v>
      </c>
      <c r="P17" s="408">
        <f>'05-POA PROM DEFENSA DERECHOS'!W20</f>
        <v>2602</v>
      </c>
      <c r="Q17" s="408">
        <f>+'05-POA PROM DEFENSA DERECHOS'!AD20</f>
        <v>4530</v>
      </c>
      <c r="R17" s="408">
        <f>+'05-POA PROM DEFENSA DERECHOS'!AE20</f>
        <v>4847</v>
      </c>
      <c r="S17" s="408">
        <f>+'05-POA PROM DEFENSA DERECHOS'!AL20</f>
        <v>5182</v>
      </c>
      <c r="T17" s="408">
        <f>+'05-POA PROM DEFENSA DERECHOS'!AM20</f>
        <v>3793</v>
      </c>
      <c r="U17" s="408">
        <f>+'05-POA PROM DEFENSA DERECHOS'!AT20</f>
        <v>4575</v>
      </c>
      <c r="V17" s="412">
        <f>+'05-POA PROM DEFENSA DERECHOS'!AU20</f>
        <v>0</v>
      </c>
      <c r="W17" s="408">
        <f>+'05-POA PROM DEFENSA DERECHOS'!AV20</f>
        <v>17807</v>
      </c>
      <c r="X17" s="410">
        <f t="shared" si="0"/>
        <v>11242</v>
      </c>
      <c r="Y17" s="765">
        <f t="shared" si="1"/>
        <v>0.63132475992587189</v>
      </c>
      <c r="Z17" s="411">
        <f t="shared" si="4"/>
        <v>0.17481767148210925</v>
      </c>
      <c r="AA17" s="418">
        <f t="shared" si="5"/>
        <v>1.0489060288926554E-2</v>
      </c>
      <c r="AB17" s="1168"/>
      <c r="AD17" s="415">
        <f>+'05-POA PROM DEFENSA DERECHOS'!BC20</f>
        <v>0.63132475992587189</v>
      </c>
      <c r="AE17" s="417">
        <f t="shared" si="2"/>
        <v>0</v>
      </c>
      <c r="AG17" s="415">
        <f>+'05-POA PROM DEFENSA DERECHOS'!BG20</f>
        <v>0.17481767148210925</v>
      </c>
      <c r="AH17" s="417">
        <f t="shared" si="3"/>
        <v>0</v>
      </c>
    </row>
    <row r="18" spans="2:34" ht="75">
      <c r="B18" s="1467"/>
      <c r="C18" s="1477"/>
      <c r="D18" s="31" t="str">
        <f>+'01-FR-03 POA INSTITUCIONAL'!D18</f>
        <v>1.1.6 Generar 80 espacios de mejora, de transferencia de conocimientos y buenas prácticas que permitan brindar una atención idónea a las personas que acuden a la Personería de Bogotá, D. C</v>
      </c>
      <c r="E18" s="52">
        <f>+'01-FR-03 POA INSTITUCIONAL'!E18</f>
        <v>0.01</v>
      </c>
      <c r="F18" s="139">
        <f>+'01-FR-03 POA INSTITUCIONAL'!F18</f>
        <v>80</v>
      </c>
      <c r="G18" s="1041" t="str">
        <f>+'01-FR-03 POA INSTITUCIONAL'!G18</f>
        <v>S.I.</v>
      </c>
      <c r="H18" s="141" t="str">
        <f>+'01-FR-03 POA INSTITUCIONAL'!H18</f>
        <v>Espacios de mejora y transferencia de conocimiento realizados</v>
      </c>
      <c r="I18" s="142" t="str">
        <f>+'01-FR-03 POA INSTITUCIONAL'!I18</f>
        <v>Promoción y Defensa de Derechos</v>
      </c>
      <c r="J18" s="143" t="str">
        <f>+'01-FR-03 POA INSTITUCIONAL'!J18</f>
        <v>P.D. para la Coordinación del MP y DDHH y sus dependencias adscritas.</v>
      </c>
      <c r="K18" s="144">
        <f>+'01-FR-03 POA INSTITUCIONAL'!K18</f>
        <v>20</v>
      </c>
      <c r="L18" s="144">
        <f>+'01-FR-03 POA INSTITUCIONAL'!L18</f>
        <v>20</v>
      </c>
      <c r="M18" s="144">
        <f>+'01-FR-03 POA INSTITUCIONAL'!M18</f>
        <v>20</v>
      </c>
      <c r="N18" s="144">
        <f>+'01-FR-03 POA INSTITUCIONAL'!N18</f>
        <v>20</v>
      </c>
      <c r="O18" s="408">
        <f>'05-POA PROM DEFENSA DERECHOS'!V21</f>
        <v>5</v>
      </c>
      <c r="P18" s="408">
        <f>'05-POA PROM DEFENSA DERECHOS'!W21</f>
        <v>1</v>
      </c>
      <c r="Q18" s="408">
        <f>+'05-POA PROM DEFENSA DERECHOS'!AD21</f>
        <v>15</v>
      </c>
      <c r="R18" s="408">
        <f>+'05-POA PROM DEFENSA DERECHOS'!AE21</f>
        <v>10</v>
      </c>
      <c r="S18" s="408">
        <f>+'05-POA PROM DEFENSA DERECHOS'!AL21</f>
        <v>0</v>
      </c>
      <c r="T18" s="408">
        <f>+'05-POA PROM DEFENSA DERECHOS'!AM21</f>
        <v>6</v>
      </c>
      <c r="U18" s="408">
        <f>+'05-POA PROM DEFENSA DERECHOS'!AT21</f>
        <v>0</v>
      </c>
      <c r="V18" s="412">
        <f>+'05-POA PROM DEFENSA DERECHOS'!AU21</f>
        <v>0</v>
      </c>
      <c r="W18" s="408">
        <f>+'05-POA PROM DEFENSA DERECHOS'!AV21</f>
        <v>20</v>
      </c>
      <c r="X18" s="410">
        <f>+P18+R18+T18+V18</f>
        <v>17</v>
      </c>
      <c r="Y18" s="765">
        <f t="shared" si="1"/>
        <v>0.85</v>
      </c>
      <c r="Z18" s="411">
        <f t="shared" si="4"/>
        <v>0.21249999999999999</v>
      </c>
      <c r="AA18" s="418">
        <f t="shared" si="5"/>
        <v>2.1250000000000002E-3</v>
      </c>
      <c r="AB18" s="1168"/>
      <c r="AD18" s="415">
        <f>+'05-POA PROM DEFENSA DERECHOS'!BC21</f>
        <v>0.85</v>
      </c>
      <c r="AE18" s="417">
        <f t="shared" si="2"/>
        <v>0</v>
      </c>
      <c r="AG18" s="415">
        <f>+'05-POA PROM DEFENSA DERECHOS'!BG21</f>
        <v>0.21249999999999999</v>
      </c>
      <c r="AH18" s="417">
        <f t="shared" si="3"/>
        <v>0</v>
      </c>
    </row>
    <row r="19" spans="2:34" ht="88.5" customHeight="1">
      <c r="B19" s="1467"/>
      <c r="C19" s="1477"/>
      <c r="D19" s="31" t="str">
        <f>+'01-FR-03 POA INSTITUCIONAL'!D19</f>
        <v>1.1.7 Entregar en un termino menor a los cinco (5) días hábiles, mas del 95% de las solicitudes de elaboración de tutelas, desacatos e impugnaciones que realicen las personas en el Distrito Capital.</v>
      </c>
      <c r="E19" s="772">
        <f>+'01-FR-03 POA INSTITUCIONAL'!E19</f>
        <v>0.01</v>
      </c>
      <c r="F19" s="139" t="str">
        <f>+'01-FR-03 POA INSTITUCIONAL'!F19</f>
        <v>&gt;=95%</v>
      </c>
      <c r="G19" s="1041" t="str">
        <f>+'01-FR-03 POA INSTITUCIONAL'!G19</f>
        <v>S.I.</v>
      </c>
      <c r="H19" s="141" t="str">
        <f>+'01-FR-03 POA INSTITUCIONAL'!H19</f>
        <v>Porcentaje de Acciones de Tutela, Desacatos e Impugnaciones Entregadas en un Termino Menor a Cinco (5) Días Hábiles</v>
      </c>
      <c r="I19" s="142" t="str">
        <f>+'01-FR-03 POA INSTITUCIONAL'!I19</f>
        <v>Promoción y Defensa de Derechos</v>
      </c>
      <c r="J19" s="143" t="str">
        <f>+'01-FR-03 POA INSTITUCIONAL'!J19</f>
        <v>P.D. para Asuntos Jurisdiccionales, Víctimas y Penal II.
P.D. para la Coordinación de la Gestión de Personerías Locales y sus Personerías Locales adscritas</v>
      </c>
      <c r="K19" s="144" t="str">
        <f>+'01-FR-03 POA INSTITUCIONAL'!K19</f>
        <v>&gt;=95%</v>
      </c>
      <c r="L19" s="144" t="str">
        <f>+'01-FR-03 POA INSTITUCIONAL'!L19</f>
        <v>&gt;=95%</v>
      </c>
      <c r="M19" s="144" t="str">
        <f>+'01-FR-03 POA INSTITUCIONAL'!M19</f>
        <v>&gt;=95%</v>
      </c>
      <c r="N19" s="144" t="str">
        <f>+'01-FR-03 POA INSTITUCIONAL'!N19</f>
        <v>&gt;=95%</v>
      </c>
      <c r="O19" s="409">
        <f>'05-POA PROM DEFENSA DERECHOS'!V22</f>
        <v>0.94999999999999984</v>
      </c>
      <c r="P19" s="409">
        <f>'05-POA PROM DEFENSA DERECHOS'!W22</f>
        <v>0.99199999999999999</v>
      </c>
      <c r="Q19" s="409">
        <f>+'05-POA PROM DEFENSA DERECHOS'!AD22</f>
        <v>0.94999999999999984</v>
      </c>
      <c r="R19" s="409">
        <f>'05-POA PROM DEFENSA DERECHOS'!AE22</f>
        <v>0.99633333333333329</v>
      </c>
      <c r="S19" s="409">
        <f>+'05-POA PROM DEFENSA DERECHOS'!AL22</f>
        <v>0.94999999999999984</v>
      </c>
      <c r="T19" s="409">
        <f>'05-POA PROM DEFENSA DERECHOS'!AM22</f>
        <v>0.999</v>
      </c>
      <c r="U19" s="409">
        <f>+'05-POA PROM DEFENSA DERECHOS'!AT22</f>
        <v>0.94999999999999984</v>
      </c>
      <c r="V19" s="409"/>
      <c r="W19" s="32">
        <f>+'05-POA PROM DEFENSA DERECHOS'!AV22</f>
        <v>0.94999999999999984</v>
      </c>
      <c r="X19" s="411">
        <f>IFERROR(IF(OR($W$19="",$W$19=0),0,ROUNDDOWN(AVERAGE($P19,R19,T19,V19),3)),0)</f>
        <v>0.995</v>
      </c>
      <c r="Y19" s="765">
        <f>IF(AND($W19&gt;0),X19/$W19,"No programado")*0.75</f>
        <v>0.78552631578947385</v>
      </c>
      <c r="Z19" s="411">
        <f>((IF(AND(X19&gt;0,95%&gt;0),X19/95%,0))/4)*0.75</f>
        <v>0.19638157894736846</v>
      </c>
      <c r="AA19" s="418">
        <f t="shared" si="5"/>
        <v>1.9638157894736846E-3</v>
      </c>
      <c r="AB19" s="1168"/>
      <c r="AD19" s="415">
        <f>+'05-POA PROM DEFENSA DERECHOS'!BC22</f>
        <v>0.78552631578947385</v>
      </c>
      <c r="AE19" s="417">
        <f t="shared" si="2"/>
        <v>0</v>
      </c>
      <c r="AG19" s="415">
        <f>+'05-POA PROM DEFENSA DERECHOS'!BG22</f>
        <v>0.19638157894736846</v>
      </c>
      <c r="AH19" s="417">
        <f t="shared" si="3"/>
        <v>0</v>
      </c>
    </row>
    <row r="20" spans="2:34" ht="121.5" customHeight="1">
      <c r="B20" s="1467"/>
      <c r="C20" s="1477"/>
      <c r="D20" s="31"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0" s="52">
        <f>+'01-FR-03 POA INSTITUCIONAL'!E20</f>
        <v>0.02</v>
      </c>
      <c r="F20" s="139">
        <f>+'01-FR-03 POA INSTITUCIONAL'!F20</f>
        <v>20000</v>
      </c>
      <c r="G20" s="1041" t="str">
        <f>+'01-FR-03 POA INSTITUCIONAL'!G20</f>
        <v>S.I.</v>
      </c>
      <c r="H20" s="141" t="str">
        <f>+'01-FR-03 POA INSTITUCIONAL'!H20</f>
        <v>Audiencias Publicas Realizadas con Asistencia del Ministerio Público</v>
      </c>
      <c r="I20" s="142" t="str">
        <f>+'01-FR-03 POA INSTITUCIONAL'!I20</f>
        <v>Promoción y Defensa de Derechos</v>
      </c>
      <c r="J20" s="143" t="str">
        <f>+'01-FR-03 POA INSTITUCIONAL'!J20</f>
        <v>P.D. para la Coordinación de la Gestión de Personerías Locales y sus Personerías Locales adscritas</v>
      </c>
      <c r="K20" s="144">
        <f>+'01-FR-03 POA INSTITUCIONAL'!K20</f>
        <v>5000</v>
      </c>
      <c r="L20" s="144">
        <f>+'01-FR-03 POA INSTITUCIONAL'!L20</f>
        <v>6500</v>
      </c>
      <c r="M20" s="144">
        <f>+'01-FR-03 POA INSTITUCIONAL'!M20</f>
        <v>6500</v>
      </c>
      <c r="N20" s="144">
        <f>+'01-FR-03 POA INSTITUCIONAL'!N20</f>
        <v>2000</v>
      </c>
      <c r="O20" s="408">
        <f>'05-POA PROM DEFENSA DERECHOS'!V23</f>
        <v>1020</v>
      </c>
      <c r="P20" s="408">
        <f>'05-POA PROM DEFENSA DERECHOS'!W23</f>
        <v>977</v>
      </c>
      <c r="Q20" s="408">
        <f>+'05-POA PROM DEFENSA DERECHOS'!AD23</f>
        <v>1380</v>
      </c>
      <c r="R20" s="408">
        <f>+'05-POA PROM DEFENSA DERECHOS'!AE23</f>
        <v>1846</v>
      </c>
      <c r="S20" s="408">
        <f>+'05-POA PROM DEFENSA DERECHOS'!AL23</f>
        <v>1380</v>
      </c>
      <c r="T20" s="408">
        <f>+'05-POA PROM DEFENSA DERECHOS'!AM23</f>
        <v>1748</v>
      </c>
      <c r="U20" s="408">
        <f>+'05-POA PROM DEFENSA DERECHOS'!AT23</f>
        <v>1220</v>
      </c>
      <c r="V20" s="412">
        <f>+'05-POA PROM DEFENSA DERECHOS'!AU23</f>
        <v>0</v>
      </c>
      <c r="W20" s="408">
        <f>+'05-POA PROM DEFENSA DERECHOS'!AV23</f>
        <v>5000</v>
      </c>
      <c r="X20" s="410">
        <f>+P20+R20+T20+V20</f>
        <v>4571</v>
      </c>
      <c r="Y20" s="765">
        <f t="shared" ref="Y20:Y29" si="6">IF(AND($W20&gt;0),X20/$W20,"No programado")</f>
        <v>0.91420000000000001</v>
      </c>
      <c r="Z20" s="411">
        <f t="shared" si="4"/>
        <v>0.22855</v>
      </c>
      <c r="AA20" s="418">
        <f t="shared" si="5"/>
        <v>4.5710000000000004E-3</v>
      </c>
      <c r="AB20" s="1168"/>
      <c r="AD20" s="415">
        <f>+'05-POA PROM DEFENSA DERECHOS'!BC23</f>
        <v>0.91420000000000001</v>
      </c>
      <c r="AE20" s="417">
        <f t="shared" si="2"/>
        <v>0</v>
      </c>
      <c r="AG20" s="415">
        <f>+'05-POA PROM DEFENSA DERECHOS'!BG23</f>
        <v>0.22855</v>
      </c>
      <c r="AH20" s="417">
        <f t="shared" si="3"/>
        <v>0</v>
      </c>
    </row>
    <row r="21" spans="2:34" ht="84.75" customHeight="1">
      <c r="B21" s="1467"/>
      <c r="C21" s="1477"/>
      <c r="D21" s="31" t="str">
        <f>+'01-FR-03 POA INSTITUCIONAL'!D21</f>
        <v>1.1.9 Realizar 12.000 intervenciones de manera oportuna para evitar situaciones de caducidad y perdida de fuerza ejecutoria en las actuaciones administrativas y policivas</v>
      </c>
      <c r="E21" s="52">
        <f>+'01-FR-03 POA INSTITUCIONAL'!E21</f>
        <v>0.01</v>
      </c>
      <c r="F21" s="139">
        <f>+'01-FR-03 POA INSTITUCIONAL'!F21</f>
        <v>12000</v>
      </c>
      <c r="G21" s="1041" t="str">
        <f>+'01-FR-03 POA INSTITUCIONAL'!G21</f>
        <v>S.I.</v>
      </c>
      <c r="H21" s="141" t="str">
        <f>+'01-FR-03 POA INSTITUCIONAL'!H21</f>
        <v>Intervenciones realizadas oportunamente para evitar la caducidad y perdida de fuerza ejecutoria (Impulsos procesales)</v>
      </c>
      <c r="I21" s="142" t="str">
        <f>+'01-FR-03 POA INSTITUCIONAL'!I21</f>
        <v>Promoción y Defensa de Derechos</v>
      </c>
      <c r="J21" s="143" t="str">
        <f>+'01-FR-03 POA INSTITUCIONAL'!J21</f>
        <v>P.D. para la Coordinación de la Gestión de Personerías Locales y sus Personerías Locales adscritas</v>
      </c>
      <c r="K21" s="144">
        <f>+'01-FR-03 POA INSTITUCIONAL'!K21</f>
        <v>3000</v>
      </c>
      <c r="L21" s="144">
        <f>+'01-FR-03 POA INSTITUCIONAL'!L21</f>
        <v>4000</v>
      </c>
      <c r="M21" s="144">
        <f>+'01-FR-03 POA INSTITUCIONAL'!M21</f>
        <v>4000</v>
      </c>
      <c r="N21" s="144">
        <f>+'01-FR-03 POA INSTITUCIONAL'!N21</f>
        <v>1000</v>
      </c>
      <c r="O21" s="408">
        <f>'05-POA PROM DEFENSA DERECHOS'!V24</f>
        <v>640</v>
      </c>
      <c r="P21" s="408">
        <f>'05-POA PROM DEFENSA DERECHOS'!W24</f>
        <v>488</v>
      </c>
      <c r="Q21" s="408">
        <f>+'05-POA PROM DEFENSA DERECHOS'!AD24</f>
        <v>810</v>
      </c>
      <c r="R21" s="408">
        <f>+'05-POA PROM DEFENSA DERECHOS'!AE24</f>
        <v>1360</v>
      </c>
      <c r="S21" s="408">
        <f>+'05-POA PROM DEFENSA DERECHOS'!AL24</f>
        <v>810</v>
      </c>
      <c r="T21" s="408">
        <f>+'05-POA PROM DEFENSA DERECHOS'!AM24</f>
        <v>1087</v>
      </c>
      <c r="U21" s="408">
        <f>+'05-POA PROM DEFENSA DERECHOS'!AT24</f>
        <v>740</v>
      </c>
      <c r="V21" s="412">
        <f>+'05-POA PROM DEFENSA DERECHOS'!AU24</f>
        <v>0</v>
      </c>
      <c r="W21" s="408">
        <f>+'05-POA PROM DEFENSA DERECHOS'!AV24</f>
        <v>3000</v>
      </c>
      <c r="X21" s="410">
        <f t="shared" ref="X21:X58" si="7">+P21+R21+T21+V21</f>
        <v>2935</v>
      </c>
      <c r="Y21" s="765">
        <f t="shared" si="6"/>
        <v>0.97833333333333339</v>
      </c>
      <c r="Z21" s="411">
        <f t="shared" si="4"/>
        <v>0.24458333333333335</v>
      </c>
      <c r="AA21" s="418">
        <f t="shared" si="5"/>
        <v>2.4458333333333337E-3</v>
      </c>
      <c r="AB21" s="1168"/>
      <c r="AD21" s="415">
        <f>+'05-POA PROM DEFENSA DERECHOS'!BC24</f>
        <v>0.97833333333333339</v>
      </c>
      <c r="AE21" s="417">
        <f t="shared" si="2"/>
        <v>0</v>
      </c>
      <c r="AG21" s="415">
        <f>+'05-POA PROM DEFENSA DERECHOS'!BG24</f>
        <v>0.24458333333333335</v>
      </c>
      <c r="AH21" s="417">
        <f t="shared" si="3"/>
        <v>0</v>
      </c>
    </row>
    <row r="22" spans="2:34" ht="83.25" customHeight="1">
      <c r="B22" s="1467"/>
      <c r="C22" s="1477"/>
      <c r="D22" s="31" t="str">
        <f>+'01-FR-03 POA INSTITUCIONAL'!D22</f>
        <v>1.1.10 Impulsar 2.800 expedientes que contengan orden de policía (MULTA) en firme y ejecutoriada, para que se efectúen cobros persuasivos y/o se de traslado para el cobro coactivo.</v>
      </c>
      <c r="E22" s="52">
        <f>+'01-FR-03 POA INSTITUCIONAL'!E22</f>
        <v>0.01</v>
      </c>
      <c r="F22" s="139">
        <f>+'01-FR-03 POA INSTITUCIONAL'!F22</f>
        <v>2800</v>
      </c>
      <c r="G22" s="1041" t="str">
        <f>+'01-FR-03 POA INSTITUCIONAL'!G22</f>
        <v>S.I.</v>
      </c>
      <c r="H22" s="141" t="str">
        <f>+'01-FR-03 POA INSTITUCIONAL'!H22</f>
        <v>Expedientes con impulso procesal para la gestión de multas</v>
      </c>
      <c r="I22" s="142" t="str">
        <f>+'01-FR-03 POA INSTITUCIONAL'!I22</f>
        <v>Promoción y Defensa de Derechos</v>
      </c>
      <c r="J22" s="143" t="str">
        <f>+'01-FR-03 POA INSTITUCIONAL'!J22</f>
        <v>P.D. para la Coordinación de la Gestión de Personerías Locales y sus Personerías Locales adscritas</v>
      </c>
      <c r="K22" s="144">
        <f>+'01-FR-03 POA INSTITUCIONAL'!K22</f>
        <v>700</v>
      </c>
      <c r="L22" s="144">
        <f>+'01-FR-03 POA INSTITUCIONAL'!L22</f>
        <v>1000</v>
      </c>
      <c r="M22" s="144">
        <f>+'01-FR-03 POA INSTITUCIONAL'!M22</f>
        <v>800</v>
      </c>
      <c r="N22" s="144">
        <f>+'01-FR-03 POA INSTITUCIONAL'!N22</f>
        <v>300</v>
      </c>
      <c r="O22" s="408">
        <f>'05-POA PROM DEFENSA DERECHOS'!V25</f>
        <v>145</v>
      </c>
      <c r="P22" s="408">
        <f>'05-POA PROM DEFENSA DERECHOS'!W25</f>
        <v>74</v>
      </c>
      <c r="Q22" s="408">
        <f>+'05-POA PROM DEFENSA DERECHOS'!AD25</f>
        <v>190</v>
      </c>
      <c r="R22" s="408">
        <f>+'05-POA PROM DEFENSA DERECHOS'!AE25</f>
        <v>635</v>
      </c>
      <c r="S22" s="408">
        <f>+'05-POA PROM DEFENSA DERECHOS'!AL25</f>
        <v>195</v>
      </c>
      <c r="T22" s="408">
        <f>+'05-POA PROM DEFENSA DERECHOS'!AM25</f>
        <v>110</v>
      </c>
      <c r="U22" s="408">
        <f>+'05-POA PROM DEFENSA DERECHOS'!AT25</f>
        <v>170</v>
      </c>
      <c r="V22" s="412">
        <f>+'05-POA PROM DEFENSA DERECHOS'!AU25</f>
        <v>0</v>
      </c>
      <c r="W22" s="408">
        <f>+'05-POA PROM DEFENSA DERECHOS'!AV25</f>
        <v>700</v>
      </c>
      <c r="X22" s="410">
        <f t="shared" si="7"/>
        <v>819</v>
      </c>
      <c r="Y22" s="765">
        <f t="shared" si="6"/>
        <v>1.17</v>
      </c>
      <c r="Z22" s="411">
        <f t="shared" si="4"/>
        <v>0.29249999999999998</v>
      </c>
      <c r="AA22" s="418">
        <f t="shared" si="5"/>
        <v>2.9250000000000001E-3</v>
      </c>
      <c r="AB22" s="1168"/>
      <c r="AD22" s="415">
        <f>+'05-POA PROM DEFENSA DERECHOS'!BC25</f>
        <v>1.17</v>
      </c>
      <c r="AE22" s="417">
        <f t="shared" si="2"/>
        <v>0</v>
      </c>
      <c r="AG22" s="415">
        <f>+'05-POA PROM DEFENSA DERECHOS'!BG25</f>
        <v>0.29249999999999998</v>
      </c>
      <c r="AH22" s="417">
        <f t="shared" si="3"/>
        <v>0</v>
      </c>
    </row>
    <row r="23" spans="2:34" ht="93.75" customHeight="1">
      <c r="B23" s="1467"/>
      <c r="C23" s="1476"/>
      <c r="D23" s="31" t="str">
        <f>+'01-FR-03 POA INSTITUCIONAL'!D23</f>
        <v>1.1.11 Establecer de forma periódica, 60 estados de la vulneración de  los derechos humanos en las localidades, dando a conocer a las Entidades correspondientes los hechos observados que requieren su intervención.</v>
      </c>
      <c r="E23" s="52">
        <f>+'01-FR-03 POA INSTITUCIONAL'!E23</f>
        <v>0.01</v>
      </c>
      <c r="F23" s="139">
        <f>+'01-FR-03 POA INSTITUCIONAL'!F23</f>
        <v>60</v>
      </c>
      <c r="G23" s="1041" t="str">
        <f>+'01-FR-03 POA INSTITUCIONAL'!G23</f>
        <v>S.I.</v>
      </c>
      <c r="H23" s="141" t="str">
        <f>+'01-FR-03 POA INSTITUCIONAL'!H23</f>
        <v>Estados de vulneración establecidos</v>
      </c>
      <c r="I23" s="142" t="str">
        <f>+'01-FR-03 POA INSTITUCIONAL'!I23</f>
        <v>Promoción y Defensa de Derechos</v>
      </c>
      <c r="J23" s="143" t="str">
        <f>+'01-FR-03 POA INSTITUCIONAL'!J23</f>
        <v>P.D. para la Coordinación de la Gestión de Personerías Locales y sus Personerías Locales adscritas</v>
      </c>
      <c r="K23" s="144">
        <f>+'01-FR-03 POA INSTITUCIONAL'!K23</f>
        <v>0</v>
      </c>
      <c r="L23" s="144">
        <f>+'01-FR-03 POA INSTITUCIONAL'!L23</f>
        <v>20</v>
      </c>
      <c r="M23" s="144">
        <f>+'01-FR-03 POA INSTITUCIONAL'!M23</f>
        <v>20</v>
      </c>
      <c r="N23" s="144">
        <f>+'01-FR-03 POA INSTITUCIONAL'!N23</f>
        <v>20</v>
      </c>
      <c r="O23" s="408">
        <f>'05-POA PROM DEFENSA DERECHOS'!V26</f>
        <v>0</v>
      </c>
      <c r="P23" s="408">
        <f>'05-POA PROM DEFENSA DERECHOS'!W26</f>
        <v>0</v>
      </c>
      <c r="Q23" s="408">
        <f>+'05-POA PROM DEFENSA DERECHOS'!AD26</f>
        <v>0</v>
      </c>
      <c r="R23" s="408">
        <f>+'05-POA PROM DEFENSA DERECHOS'!AE26</f>
        <v>0</v>
      </c>
      <c r="S23" s="408">
        <f>+'05-POA PROM DEFENSA DERECHOS'!AL26</f>
        <v>0</v>
      </c>
      <c r="T23" s="408">
        <f>+'05-POA PROM DEFENSA DERECHOS'!AM26</f>
        <v>0</v>
      </c>
      <c r="U23" s="408">
        <f>+'05-POA PROM DEFENSA DERECHOS'!AT26</f>
        <v>0</v>
      </c>
      <c r="V23" s="412">
        <f>+'05-POA PROM DEFENSA DERECHOS'!AU26</f>
        <v>0</v>
      </c>
      <c r="W23" s="408">
        <f>+'05-POA PROM DEFENSA DERECHOS'!AV26</f>
        <v>0</v>
      </c>
      <c r="X23" s="410">
        <f t="shared" si="7"/>
        <v>0</v>
      </c>
      <c r="Y23" s="765" t="str">
        <f t="shared" si="6"/>
        <v>No programado</v>
      </c>
      <c r="Z23" s="411">
        <f t="shared" si="4"/>
        <v>0</v>
      </c>
      <c r="AA23" s="418">
        <f t="shared" si="5"/>
        <v>0</v>
      </c>
      <c r="AB23" s="1271"/>
      <c r="AD23" s="415">
        <f>+'05-POA PROM DEFENSA DERECHOS'!BC26</f>
        <v>0</v>
      </c>
      <c r="AE23" s="417" t="e">
        <f t="shared" si="2"/>
        <v>#VALUE!</v>
      </c>
      <c r="AG23" s="415">
        <f>+'05-POA PROM DEFENSA DERECHOS'!BG26</f>
        <v>0</v>
      </c>
      <c r="AH23" s="417">
        <f t="shared" si="3"/>
        <v>0</v>
      </c>
    </row>
    <row r="24" spans="2:34" ht="135.75" customHeight="1">
      <c r="B24" s="1467"/>
      <c r="C24" s="1475" t="s">
        <v>132</v>
      </c>
      <c r="D24" s="31" t="str">
        <f>+'01-FR-03 POA INSTITUCIONAL'!D24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52">
        <f>+'01-FR-03 POA INSTITUCIONAL'!E24</f>
        <v>0.75</v>
      </c>
      <c r="F24" s="139">
        <f>+'01-FR-03 POA INSTITUCIONAL'!F24</f>
        <v>187360</v>
      </c>
      <c r="G24" s="1041" t="str">
        <f>+'01-FR-03 POA INSTITUCIONAL'!G24</f>
        <v>S.I.</v>
      </c>
      <c r="H24" s="141" t="str">
        <f>+'01-FR-03 POA INSTITUCIONAL'!H24</f>
        <v>Personas sensibilizadas en el Distrito Capital</v>
      </c>
      <c r="I24" s="142" t="str">
        <f>+'01-FR-03 POA INSTITUCIONAL'!I24</f>
        <v>Promoción y Defensa de Derechos</v>
      </c>
      <c r="J24" s="143" t="str">
        <f>+'01-FR-03 POA INSTITUCIONAL'!J24</f>
        <v>P.D. para la Coordinación del MP y DDHH y sus dependencias adscritas
P.D. para la Coordinación de la Gestión de Personerías Locales y sus Personerías Locales adscritas</v>
      </c>
      <c r="K24" s="144">
        <f>+'01-FR-03 POA INSTITUCIONAL'!K24</f>
        <v>62360</v>
      </c>
      <c r="L24" s="144">
        <f>+'01-FR-03 POA INSTITUCIONAL'!L24</f>
        <v>53000</v>
      </c>
      <c r="M24" s="144">
        <f>+'01-FR-03 POA INSTITUCIONAL'!M24</f>
        <v>53000</v>
      </c>
      <c r="N24" s="144">
        <f>+'01-FR-03 POA INSTITUCIONAL'!N24</f>
        <v>19000</v>
      </c>
      <c r="O24" s="408">
        <f>'05-POA PROM DEFENSA DERECHOS'!V27</f>
        <v>5300</v>
      </c>
      <c r="P24" s="408">
        <f>'05-POA PROM DEFENSA DERECHOS'!W27</f>
        <v>25347</v>
      </c>
      <c r="Q24" s="408">
        <f>+'05-POA PROM DEFENSA DERECHOS'!AD27</f>
        <v>15930</v>
      </c>
      <c r="R24" s="408">
        <f>+'05-POA PROM DEFENSA DERECHOS'!AE27</f>
        <v>25884</v>
      </c>
      <c r="S24" s="408">
        <f>+'05-POA PROM DEFENSA DERECHOS'!AL27</f>
        <v>21720</v>
      </c>
      <c r="T24" s="408">
        <f>+'05-POA PROM DEFENSA DERECHOS'!AM27</f>
        <v>17775</v>
      </c>
      <c r="U24" s="408">
        <f>+'05-POA PROM DEFENSA DERECHOS'!AT27</f>
        <v>19410</v>
      </c>
      <c r="V24" s="412">
        <f>+'05-POA PROM DEFENSA DERECHOS'!AU27</f>
        <v>0</v>
      </c>
      <c r="W24" s="408">
        <f>+'05-POA PROM DEFENSA DERECHOS'!AV27</f>
        <v>62360</v>
      </c>
      <c r="X24" s="410">
        <f t="shared" si="7"/>
        <v>69006</v>
      </c>
      <c r="Y24" s="765">
        <f t="shared" si="6"/>
        <v>1.1065747273893523</v>
      </c>
      <c r="Z24" s="411">
        <f t="shared" si="4"/>
        <v>0.3683070025619129</v>
      </c>
      <c r="AA24" s="418">
        <f t="shared" si="5"/>
        <v>0.27623025192143469</v>
      </c>
      <c r="AB24" s="1216">
        <f>+AA24+AA25+AA26+AA27+AA28+AA29</f>
        <v>0.33113418346350798</v>
      </c>
      <c r="AD24" s="415">
        <f>+'05-POA PROM DEFENSA DERECHOS'!BC27</f>
        <v>1.1065747273893523</v>
      </c>
      <c r="AE24" s="417">
        <f t="shared" si="2"/>
        <v>0</v>
      </c>
      <c r="AG24" s="415">
        <f>+'05-POA PROM DEFENSA DERECHOS'!BG27</f>
        <v>0.3683070025619129</v>
      </c>
      <c r="AH24" s="417">
        <f t="shared" si="3"/>
        <v>0</v>
      </c>
    </row>
    <row r="25" spans="2:34" ht="115.2" customHeight="1">
      <c r="B25" s="1467"/>
      <c r="C25" s="1477"/>
      <c r="D25" s="31" t="str">
        <f>+'01-FR-03 POA INSTITUCIONAL'!D25</f>
        <v>1.2.2 Adelantar 25.680 acciones necesarias en favor de la población víctima del conflicto armado interno mediante el apoyo jurídico, la atención psicosocial, la gestión para acceso a derechos, la toma de declaraciones y la elaboración de derechos de petición.</v>
      </c>
      <c r="E25" s="52">
        <f>+'01-FR-03 POA INSTITUCIONAL'!E25</f>
        <v>0.12</v>
      </c>
      <c r="F25" s="139">
        <f>+'01-FR-03 POA INSTITUCIONAL'!F25</f>
        <v>25680</v>
      </c>
      <c r="G25" s="1041" t="str">
        <f>+'01-FR-03 POA INSTITUCIONAL'!G25</f>
        <v>S.I.</v>
      </c>
      <c r="H25" s="141" t="str">
        <f>+'01-FR-03 POA INSTITUCIONAL'!H25</f>
        <v>Acciones en favor de las víctimas del conflicto armado interno adelantadas</v>
      </c>
      <c r="I25" s="142" t="str">
        <f>+'01-FR-03 POA INSTITUCIONAL'!I25</f>
        <v>Promoción y Defensa de Derechos</v>
      </c>
      <c r="J25" s="143" t="str">
        <f>+'01-FR-03 POA INSTITUCIONAL'!J25</f>
        <v>P.D. para la Protección de las Víctimas del Conflicto Armado Interno
P.D. para la Coordinación de la Gestión de Personerías Locales y sus Personerías Locales adscritas</v>
      </c>
      <c r="K25" s="144">
        <f>+'01-FR-03 POA INSTITUCIONAL'!K25</f>
        <v>4080</v>
      </c>
      <c r="L25" s="144">
        <f>+'01-FR-03 POA INSTITUCIONAL'!L25</f>
        <v>8650</v>
      </c>
      <c r="M25" s="144">
        <f>+'01-FR-03 POA INSTITUCIONAL'!M25</f>
        <v>8650</v>
      </c>
      <c r="N25" s="144">
        <f>+'01-FR-03 POA INSTITUCIONAL'!N25</f>
        <v>4300</v>
      </c>
      <c r="O25" s="408">
        <f>'05-POA PROM DEFENSA DERECHOS'!V28</f>
        <v>1404</v>
      </c>
      <c r="P25" s="408">
        <f>'05-POA PROM DEFENSA DERECHOS'!W28</f>
        <v>1308</v>
      </c>
      <c r="Q25" s="408">
        <f>+'05-POA PROM DEFENSA DERECHOS'!AD28</f>
        <v>1944</v>
      </c>
      <c r="R25" s="691">
        <f>+'05-POA PROM DEFENSA DERECHOS'!AE28</f>
        <v>1590</v>
      </c>
      <c r="S25" s="408">
        <f>+'05-POA PROM DEFENSA DERECHOS'!AL28</f>
        <v>684</v>
      </c>
      <c r="T25" s="408">
        <f>+'05-POA PROM DEFENSA DERECHOS'!AM28</f>
        <v>2806</v>
      </c>
      <c r="U25" s="408">
        <f>+'05-POA PROM DEFENSA DERECHOS'!AT28</f>
        <v>48</v>
      </c>
      <c r="V25" s="412">
        <f>+'05-POA PROM DEFENSA DERECHOS'!AU28</f>
        <v>0</v>
      </c>
      <c r="W25" s="408">
        <f>+'05-POA PROM DEFENSA DERECHOS'!AV28</f>
        <v>4080</v>
      </c>
      <c r="X25" s="410">
        <f t="shared" si="7"/>
        <v>5704</v>
      </c>
      <c r="Y25" s="765">
        <f t="shared" si="6"/>
        <v>1.3980392156862744</v>
      </c>
      <c r="Z25" s="411">
        <f t="shared" si="4"/>
        <v>0.2221183800623053</v>
      </c>
      <c r="AA25" s="418">
        <f t="shared" si="5"/>
        <v>2.6654205607476635E-2</v>
      </c>
      <c r="AB25" s="1161"/>
      <c r="AD25" s="415">
        <f>+'05-POA PROM DEFENSA DERECHOS'!BC28</f>
        <v>1.3980392156862744</v>
      </c>
      <c r="AE25" s="417">
        <f t="shared" si="2"/>
        <v>0</v>
      </c>
      <c r="AG25" s="415">
        <f>+'05-POA PROM DEFENSA DERECHOS'!BG28</f>
        <v>0.2221183800623053</v>
      </c>
      <c r="AH25" s="417">
        <f t="shared" si="3"/>
        <v>0</v>
      </c>
    </row>
    <row r="26" spans="2:34" ht="75">
      <c r="B26" s="1467"/>
      <c r="C26" s="1477"/>
      <c r="D26" s="31" t="str">
        <f>+'01-FR-03 POA INSTITUCIONAL'!D26</f>
        <v>1.2.3 Prevenir mediante la elaboración de 20.390 acciones constitucionales, la vulneración de derechos  con énfasis en sujetos de especial protección constitucional.</v>
      </c>
      <c r="E26" s="52">
        <f>+'01-FR-03 POA INSTITUCIONAL'!E26</f>
        <v>0.09</v>
      </c>
      <c r="F26" s="139">
        <f>+'01-FR-03 POA INSTITUCIONAL'!F26</f>
        <v>20390</v>
      </c>
      <c r="G26" s="1041" t="str">
        <f>+'01-FR-03 POA INSTITUCIONAL'!G26</f>
        <v>S.I.</v>
      </c>
      <c r="H26" s="141" t="str">
        <f>+'01-FR-03 POA INSTITUCIONAL'!H26</f>
        <v>Acciones constitucionales elaboradas para prevenir vulneración de derechos</v>
      </c>
      <c r="I26" s="142" t="str">
        <f>+'01-FR-03 POA INSTITUCIONAL'!I26</f>
        <v>Promoción y Defensa de Derechos</v>
      </c>
      <c r="J26" s="143" t="str">
        <f>+'01-FR-03 POA INSTITUCIONAL'!J26</f>
        <v>P.D. para Asuntos Jurisdiccionales, Víctimas, Penal II y Consumidor.
P.D. para la Coordinación de la Gestión de Personerías Locales y sus Personerías Locales adscritas</v>
      </c>
      <c r="K26" s="144">
        <f>+'01-FR-03 POA INSTITUCIONAL'!K26</f>
        <v>4790</v>
      </c>
      <c r="L26" s="144">
        <f>+'01-FR-03 POA INSTITUCIONAL'!L26</f>
        <v>6300</v>
      </c>
      <c r="M26" s="144">
        <f>+'01-FR-03 POA INSTITUCIONAL'!M26</f>
        <v>6300</v>
      </c>
      <c r="N26" s="144">
        <f>+'01-FR-03 POA INSTITUCIONAL'!N26</f>
        <v>3000</v>
      </c>
      <c r="O26" s="408">
        <f>'05-POA PROM DEFENSA DERECHOS'!V29</f>
        <v>1350</v>
      </c>
      <c r="P26" s="408">
        <f>'05-POA PROM DEFENSA DERECHOS'!W29</f>
        <v>1189</v>
      </c>
      <c r="Q26" s="408">
        <f>+'05-POA PROM DEFENSA DERECHOS'!AD29</f>
        <v>1650</v>
      </c>
      <c r="R26" s="691">
        <f>+'05-POA PROM DEFENSA DERECHOS'!AE29</f>
        <v>1167</v>
      </c>
      <c r="S26" s="408">
        <f>+'05-POA PROM DEFENSA DERECHOS'!AL29</f>
        <v>1070</v>
      </c>
      <c r="T26" s="408">
        <f>+'05-POA PROM DEFENSA DERECHOS'!AM29</f>
        <v>1356</v>
      </c>
      <c r="U26" s="408">
        <f>+'05-POA PROM DEFENSA DERECHOS'!AT29</f>
        <v>720</v>
      </c>
      <c r="V26" s="412">
        <f>+'05-POA PROM DEFENSA DERECHOS'!AU29</f>
        <v>0</v>
      </c>
      <c r="W26" s="408">
        <f>+'05-POA PROM DEFENSA DERECHOS'!AV29</f>
        <v>4790</v>
      </c>
      <c r="X26" s="410">
        <f t="shared" si="7"/>
        <v>3712</v>
      </c>
      <c r="Y26" s="765">
        <f t="shared" si="6"/>
        <v>0.77494780793319418</v>
      </c>
      <c r="Z26" s="411">
        <f t="shared" si="4"/>
        <v>0.18205002452182442</v>
      </c>
      <c r="AA26" s="418">
        <f t="shared" si="5"/>
        <v>1.6384502206964198E-2</v>
      </c>
      <c r="AB26" s="1161"/>
      <c r="AD26" s="415">
        <f>+'05-POA PROM DEFENSA DERECHOS'!BC29</f>
        <v>0.77494780793319418</v>
      </c>
      <c r="AE26" s="417">
        <f t="shared" si="2"/>
        <v>0</v>
      </c>
      <c r="AG26" s="415">
        <f>+'05-POA PROM DEFENSA DERECHOS'!BG29</f>
        <v>0.18205002452182442</v>
      </c>
      <c r="AH26" s="417">
        <f t="shared" si="3"/>
        <v>0</v>
      </c>
    </row>
    <row r="27" spans="2:34" ht="100.95" customHeight="1">
      <c r="B27" s="1467"/>
      <c r="C27" s="1477"/>
      <c r="D27" s="31" t="str">
        <f>+'01-FR-03 POA INSTITUCIONAL'!D27</f>
        <v>1.2.4 Fortalecer el ejercicio del ministerio público ante las comisarías de familia, mediante el seguimiento a 3.940 medidas de protección que estas imponen.</v>
      </c>
      <c r="E27" s="52">
        <f>+'01-FR-03 POA INSTITUCIONAL'!E27</f>
        <v>0.02</v>
      </c>
      <c r="F27" s="139">
        <f>+'01-FR-03 POA INSTITUCIONAL'!F27</f>
        <v>3940</v>
      </c>
      <c r="G27" s="1041" t="str">
        <f>+'01-FR-03 POA INSTITUCIONAL'!G27</f>
        <v>S.I.</v>
      </c>
      <c r="H27" s="141" t="str">
        <f>+'01-FR-03 POA INSTITUCIONAL'!H27</f>
        <v>Seguimientos realizados por el Ministerio Público a las medidas de protección impuestas por las Comisarias de Familia</v>
      </c>
      <c r="I27" s="142" t="str">
        <f>+'01-FR-03 POA INSTITUCIONAL'!I27</f>
        <v>Promoción y Defensa de Derechos</v>
      </c>
      <c r="J27" s="143" t="str">
        <f>+'01-FR-03 POA INSTITUCIONAL'!J27</f>
        <v>P.D. para la Familia y Sujetos de Especial Protección Constitucional</v>
      </c>
      <c r="K27" s="144">
        <f>+'01-FR-03 POA INSTITUCIONAL'!K27</f>
        <v>940</v>
      </c>
      <c r="L27" s="144">
        <f>+'01-FR-03 POA INSTITUCIONAL'!L27</f>
        <v>1200</v>
      </c>
      <c r="M27" s="144">
        <f>+'01-FR-03 POA INSTITUCIONAL'!M27</f>
        <v>1200</v>
      </c>
      <c r="N27" s="144">
        <f>+'01-FR-03 POA INSTITUCIONAL'!N27</f>
        <v>600</v>
      </c>
      <c r="O27" s="408">
        <f>'05-POA PROM DEFENSA DERECHOS'!V30</f>
        <v>100</v>
      </c>
      <c r="P27" s="408">
        <f>'05-POA PROM DEFENSA DERECHOS'!W30</f>
        <v>264</v>
      </c>
      <c r="Q27" s="408">
        <f>+'05-POA PROM DEFENSA DERECHOS'!AD30</f>
        <v>390</v>
      </c>
      <c r="R27" s="691">
        <f>+'05-POA PROM DEFENSA DERECHOS'!AE30</f>
        <v>224</v>
      </c>
      <c r="S27" s="408">
        <f>+'05-POA PROM DEFENSA DERECHOS'!AL30</f>
        <v>290</v>
      </c>
      <c r="T27" s="408">
        <f>+'05-POA PROM DEFENSA DERECHOS'!AM30</f>
        <v>244</v>
      </c>
      <c r="U27" s="408">
        <f>+'05-POA PROM DEFENSA DERECHOS'!AT30</f>
        <v>160</v>
      </c>
      <c r="V27" s="412">
        <f>+'05-POA PROM DEFENSA DERECHOS'!AU30</f>
        <v>0</v>
      </c>
      <c r="W27" s="408">
        <f>+'05-POA PROM DEFENSA DERECHOS'!AV30</f>
        <v>940</v>
      </c>
      <c r="X27" s="410">
        <f t="shared" si="7"/>
        <v>732</v>
      </c>
      <c r="Y27" s="765">
        <f t="shared" si="6"/>
        <v>0.77872340425531916</v>
      </c>
      <c r="Z27" s="411">
        <f t="shared" si="4"/>
        <v>0.18578680203045686</v>
      </c>
      <c r="AA27" s="418">
        <f t="shared" si="5"/>
        <v>3.7157360406091374E-3</v>
      </c>
      <c r="AB27" s="1161"/>
      <c r="AD27" s="415">
        <f>+'05-POA PROM DEFENSA DERECHOS'!BC30</f>
        <v>0.77872340425531916</v>
      </c>
      <c r="AE27" s="417">
        <f t="shared" si="2"/>
        <v>0</v>
      </c>
      <c r="AG27" s="415">
        <f>+'05-POA PROM DEFENSA DERECHOS'!BG30</f>
        <v>0.18578680203045686</v>
      </c>
      <c r="AH27" s="417">
        <f t="shared" si="3"/>
        <v>0</v>
      </c>
    </row>
    <row r="28" spans="2:34" ht="120" customHeight="1">
      <c r="B28" s="1467"/>
      <c r="C28" s="1477"/>
      <c r="D28" s="31" t="str">
        <f>+'01-FR-03 POA INSTITUCIONAL'!D28</f>
        <v>1.2.5 Participar en 4.632 comités, mesas y consejos interinstitucionales en garantía de derechos, con énfasis en temas relacionados con sujetos de especial protección constitucional, en particular, persona mayor, mujer y población migrante.</v>
      </c>
      <c r="E28" s="52">
        <f>+'01-FR-03 POA INSTITUCIONAL'!E28</f>
        <v>0.01</v>
      </c>
      <c r="F28" s="139">
        <f>+'01-FR-03 POA INSTITUCIONAL'!F28</f>
        <v>4632</v>
      </c>
      <c r="G28" s="1041" t="str">
        <f>+'01-FR-03 POA INSTITUCIONAL'!G28</f>
        <v>S.I.</v>
      </c>
      <c r="H28" s="141" t="str">
        <f>+'01-FR-03 POA INSTITUCIONAL'!H28</f>
        <v>Espacios Interinstitucionales con participación</v>
      </c>
      <c r="I28" s="142" t="str">
        <f>+'01-FR-03 POA INSTITUCIONAL'!I28</f>
        <v>Promoción y Defensa de Derechos</v>
      </c>
      <c r="J28" s="143"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44">
        <f>+'01-FR-03 POA INSTITUCIONAL'!K28</f>
        <v>1402</v>
      </c>
      <c r="L28" s="144">
        <f>+'01-FR-03 POA INSTITUCIONAL'!L28</f>
        <v>1092</v>
      </c>
      <c r="M28" s="144">
        <f>+'01-FR-03 POA INSTITUCIONAL'!M28</f>
        <v>1092</v>
      </c>
      <c r="N28" s="144">
        <f>+'01-FR-03 POA INSTITUCIONAL'!N28</f>
        <v>1046</v>
      </c>
      <c r="O28" s="408">
        <f>'05-POA PROM DEFENSA DERECHOS'!V31</f>
        <v>196</v>
      </c>
      <c r="P28" s="408">
        <f>'05-POA PROM DEFENSA DERECHOS'!W31</f>
        <v>642</v>
      </c>
      <c r="Q28" s="408">
        <f>+'05-POA PROM DEFENSA DERECHOS'!AD31</f>
        <v>327</v>
      </c>
      <c r="R28" s="691">
        <f>+'05-POA PROM DEFENSA DERECHOS'!AE31</f>
        <v>722</v>
      </c>
      <c r="S28" s="408">
        <f>+'05-POA PROM DEFENSA DERECHOS'!AL31</f>
        <v>451</v>
      </c>
      <c r="T28" s="408">
        <f>+'05-POA PROM DEFENSA DERECHOS'!AM31</f>
        <v>856</v>
      </c>
      <c r="U28" s="408">
        <f>+'05-POA PROM DEFENSA DERECHOS'!AT31</f>
        <v>428</v>
      </c>
      <c r="V28" s="412">
        <f>+'05-POA PROM DEFENSA DERECHOS'!AU31</f>
        <v>0</v>
      </c>
      <c r="W28" s="408">
        <f>+'05-POA PROM DEFENSA DERECHOS'!AV31</f>
        <v>1402</v>
      </c>
      <c r="X28" s="410">
        <f t="shared" si="7"/>
        <v>2220</v>
      </c>
      <c r="Y28" s="765">
        <f t="shared" si="6"/>
        <v>1.5834522111269616</v>
      </c>
      <c r="Z28" s="411">
        <f t="shared" si="4"/>
        <v>0.47927461139896371</v>
      </c>
      <c r="AA28" s="418">
        <f t="shared" si="5"/>
        <v>4.7927461139896368E-3</v>
      </c>
      <c r="AB28" s="1161"/>
      <c r="AD28" s="415">
        <f>+'05-POA PROM DEFENSA DERECHOS'!BC31</f>
        <v>1.5834522111269616</v>
      </c>
      <c r="AE28" s="417">
        <f t="shared" si="2"/>
        <v>0</v>
      </c>
      <c r="AG28" s="415">
        <f>+'05-POA PROM DEFENSA DERECHOS'!BG31</f>
        <v>0.47927461139896371</v>
      </c>
      <c r="AH28" s="417">
        <f t="shared" si="3"/>
        <v>0</v>
      </c>
    </row>
    <row r="29" spans="2:34" ht="105">
      <c r="B29" s="1467"/>
      <c r="C29" s="1476"/>
      <c r="D29" s="31" t="str">
        <f>+'01-FR-03 POA INSTITUCIONAL'!D29</f>
        <v>1.2.6 Realizar 712 seguimientos a la amenaza y vulneración de los derechos, con énfasis en sujetos de especial protección constitucional, en particular, persona mayor, mujer y población migrante</v>
      </c>
      <c r="E29" s="52">
        <f>+'01-FR-03 POA INSTITUCIONAL'!E29</f>
        <v>0.01</v>
      </c>
      <c r="F29" s="139">
        <f>+'01-FR-03 POA INSTITUCIONAL'!F29</f>
        <v>712</v>
      </c>
      <c r="G29" s="1041" t="str">
        <f>+'01-FR-03 POA INSTITUCIONAL'!G29</f>
        <v>S.I.</v>
      </c>
      <c r="H29" s="141" t="str">
        <f>+'01-FR-03 POA INSTITUCIONAL'!H29</f>
        <v>Seguimientos a la Amenaza y Vulneración de los Derechos Realizados</v>
      </c>
      <c r="I29" s="142" t="str">
        <f>+'01-FR-03 POA INSTITUCIONAL'!I29</f>
        <v>Promoción y Defensa de Derechos</v>
      </c>
      <c r="J29" s="143"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44">
        <f>+'01-FR-03 POA INSTITUCIONAL'!K29</f>
        <v>228</v>
      </c>
      <c r="L29" s="144">
        <f>+'01-FR-03 POA INSTITUCIONAL'!L29</f>
        <v>182</v>
      </c>
      <c r="M29" s="144">
        <f>+'01-FR-03 POA INSTITUCIONAL'!M29</f>
        <v>182</v>
      </c>
      <c r="N29" s="144">
        <f>+'01-FR-03 POA INSTITUCIONAL'!N29</f>
        <v>120</v>
      </c>
      <c r="O29" s="408">
        <f>'05-POA PROM DEFENSA DERECHOS'!V32</f>
        <v>41</v>
      </c>
      <c r="P29" s="408">
        <f>'05-POA PROM DEFENSA DERECHOS'!W32</f>
        <v>64</v>
      </c>
      <c r="Q29" s="408">
        <f>+'05-POA PROM DEFENSA DERECHOS'!AD32</f>
        <v>51</v>
      </c>
      <c r="R29" s="691">
        <f>+'05-POA PROM DEFENSA DERECHOS'!AE32</f>
        <v>88</v>
      </c>
      <c r="S29" s="408">
        <f>+'05-POA PROM DEFENSA DERECHOS'!AL32</f>
        <v>72</v>
      </c>
      <c r="T29" s="408">
        <f>+'05-POA PROM DEFENSA DERECHOS'!AM32</f>
        <v>87</v>
      </c>
      <c r="U29" s="408">
        <f>+'05-POA PROM DEFENSA DERECHOS'!AT32</f>
        <v>64</v>
      </c>
      <c r="V29" s="412">
        <f>+'05-POA PROM DEFENSA DERECHOS'!AU32</f>
        <v>0</v>
      </c>
      <c r="W29" s="408">
        <f>+'05-POA PROM DEFENSA DERECHOS'!AV32</f>
        <v>228</v>
      </c>
      <c r="X29" s="410">
        <f t="shared" si="7"/>
        <v>239</v>
      </c>
      <c r="Y29" s="765">
        <f t="shared" si="6"/>
        <v>1.0482456140350878</v>
      </c>
      <c r="Z29" s="411">
        <f t="shared" si="4"/>
        <v>0.3356741573033708</v>
      </c>
      <c r="AA29" s="418">
        <f t="shared" si="5"/>
        <v>3.356741573033708E-3</v>
      </c>
      <c r="AB29" s="1217"/>
      <c r="AD29" s="415">
        <f>+'05-POA PROM DEFENSA DERECHOS'!BC32</f>
        <v>1.0482456140350878</v>
      </c>
      <c r="AE29" s="417">
        <f t="shared" si="2"/>
        <v>0</v>
      </c>
      <c r="AG29" s="415">
        <f>+'05-POA PROM DEFENSA DERECHOS'!BG32</f>
        <v>0.3356741573033708</v>
      </c>
      <c r="AH29" s="417">
        <f t="shared" si="3"/>
        <v>0</v>
      </c>
    </row>
    <row r="30" spans="2:34" ht="90" customHeight="1">
      <c r="B30" s="1467"/>
      <c r="C30" s="1475" t="s">
        <v>133</v>
      </c>
      <c r="D30" s="31" t="str">
        <f>+'01-FR-03 POA INSTITUCIONAL'!D30</f>
        <v>1.3.1 Realizar 20 actividades que permitan el acercamiento de la Entidad a la Comunidad.</v>
      </c>
      <c r="E30" s="52">
        <f>+'01-FR-03 POA INSTITUCIONAL'!E30</f>
        <v>0.56000000000000005</v>
      </c>
      <c r="F30" s="139">
        <f>+'01-FR-03 POA INSTITUCIONAL'!F30</f>
        <v>20</v>
      </c>
      <c r="G30" s="1041" t="str">
        <f>+'01-FR-03 POA INSTITUCIONAL'!G30</f>
        <v>S.I.</v>
      </c>
      <c r="H30" s="141" t="str">
        <f>+'01-FR-03 POA INSTITUCIONAL'!H30</f>
        <v>Actividades de acercamiento de la Entidad a la comunidad realizadas</v>
      </c>
      <c r="I30" s="142" t="str">
        <f>+'01-FR-03 POA INSTITUCIONAL'!I30</f>
        <v>Promoción y Defensa de Derechos</v>
      </c>
      <c r="J30" s="143" t="str">
        <f>+'01-FR-03 POA INSTITUCIONAL'!J30</f>
        <v>P.D. para la Coordinación del MP y DDHH y sus dependencias adscritas
 P.D. para la Coordinación de la Gestión de Personerías Locales y sus Personerías Locales adscritas</v>
      </c>
      <c r="K30" s="144">
        <f>+'01-FR-03 POA INSTITUCIONAL'!K30</f>
        <v>2</v>
      </c>
      <c r="L30" s="144">
        <f>+'01-FR-03 POA INSTITUCIONAL'!L30</f>
        <v>8</v>
      </c>
      <c r="M30" s="144">
        <f>+'01-FR-03 POA INSTITUCIONAL'!M30</f>
        <v>8</v>
      </c>
      <c r="N30" s="144">
        <f>+'01-FR-03 POA INSTITUCIONAL'!N30</f>
        <v>2</v>
      </c>
      <c r="O30" s="408">
        <f>'05-POA PROM DEFENSA DERECHOS'!V33</f>
        <v>0</v>
      </c>
      <c r="P30" s="408">
        <f>'05-POA PROM DEFENSA DERECHOS'!W33</f>
        <v>0</v>
      </c>
      <c r="Q30" s="408">
        <f>+'05-POA PROM DEFENSA DERECHOS'!AD33</f>
        <v>0</v>
      </c>
      <c r="R30" s="1072">
        <f>+'05-POA PROM DEFENSA DERECHOS'!AE33</f>
        <v>0.1</v>
      </c>
      <c r="S30" s="408">
        <f>+'05-POA PROM DEFENSA DERECHOS'!AL33</f>
        <v>2</v>
      </c>
      <c r="T30" s="425">
        <f>+'05-POA PROM DEFENSA DERECHOS'!AM33</f>
        <v>0.6</v>
      </c>
      <c r="U30" s="408">
        <f>+'05-POA PROM DEFENSA DERECHOS'!AT33</f>
        <v>0</v>
      </c>
      <c r="V30" s="412">
        <f>+'05-POA PROM DEFENSA DERECHOS'!AU33</f>
        <v>0</v>
      </c>
      <c r="W30" s="408">
        <f>+'05-POA PROM DEFENSA DERECHOS'!AV33</f>
        <v>2</v>
      </c>
      <c r="X30" s="410">
        <f t="shared" si="7"/>
        <v>0.7</v>
      </c>
      <c r="Y30" s="765">
        <f t="shared" ref="Y30:Y31" si="8">IF(AND($W30&gt;0),X30/$W30,"No programado")</f>
        <v>0.35</v>
      </c>
      <c r="Z30" s="411">
        <f t="shared" si="4"/>
        <v>3.4999999999999996E-2</v>
      </c>
      <c r="AA30" s="418">
        <f t="shared" si="5"/>
        <v>1.9599999999999999E-2</v>
      </c>
      <c r="AB30" s="1216">
        <f>+AA30+AA31+AA32+AA33</f>
        <v>4.7781818181818182E-2</v>
      </c>
      <c r="AD30" s="415">
        <f>+'05-POA PROM DEFENSA DERECHOS'!BC33</f>
        <v>0.35</v>
      </c>
      <c r="AE30" s="417">
        <f t="shared" si="2"/>
        <v>0</v>
      </c>
      <c r="AG30" s="415">
        <f>+'05-POA PROM DEFENSA DERECHOS'!BG33</f>
        <v>3.4999999999999996E-2</v>
      </c>
      <c r="AH30" s="417">
        <f t="shared" si="3"/>
        <v>0</v>
      </c>
    </row>
    <row r="31" spans="2:34" ht="92.25" customHeight="1">
      <c r="B31" s="1467"/>
      <c r="C31" s="1477"/>
      <c r="D31" s="31" t="str">
        <f>+'01-FR-03 POA INSTITUCIONAL'!D31</f>
        <v>1.3.2 Incrementar la cobertura de los servicios que presta el proceso de Promoción y Defensa de Derechos, mediante la implementación de 11 acciones que propendan por el mejoramiento de los mismos.</v>
      </c>
      <c r="E31" s="52">
        <f>+'01-FR-03 POA INSTITUCIONAL'!E31</f>
        <v>0.31</v>
      </c>
      <c r="F31" s="139">
        <f>+'01-FR-03 POA INSTITUCIONAL'!F31</f>
        <v>11</v>
      </c>
      <c r="G31" s="1041" t="str">
        <f>+'01-FR-03 POA INSTITUCIONAL'!G31</f>
        <v>S.I.</v>
      </c>
      <c r="H31" s="141" t="str">
        <f>+'01-FR-03 POA INSTITUCIONAL'!H31</f>
        <v>Acciones realizadas para incrementar la cobertura de los servicios</v>
      </c>
      <c r="I31" s="142" t="str">
        <f>+'01-FR-03 POA INSTITUCIONAL'!I31</f>
        <v>Promoción y Defensa de Derechos</v>
      </c>
      <c r="J31" s="143" t="str">
        <f>+'01-FR-03 POA INSTITUCIONAL'!J31</f>
        <v>P.D. para la Coordinación del MP y DDHH y sus dependencias adscritas
 P.D. para la Coordinación de la Gestión de Personerías Locales y sus Personerías Locales adscritas</v>
      </c>
      <c r="K31" s="144">
        <f>+'01-FR-03 POA INSTITUCIONAL'!K31</f>
        <v>3</v>
      </c>
      <c r="L31" s="144">
        <f>+'01-FR-03 POA INSTITUCIONAL'!L31</f>
        <v>3</v>
      </c>
      <c r="M31" s="144">
        <f>+'01-FR-03 POA INSTITUCIONAL'!M31</f>
        <v>3</v>
      </c>
      <c r="N31" s="144">
        <f>+'01-FR-03 POA INSTITUCIONAL'!N31</f>
        <v>2</v>
      </c>
      <c r="O31" s="408">
        <f>'05-POA PROM DEFENSA DERECHOS'!V34</f>
        <v>0</v>
      </c>
      <c r="P31" s="408">
        <f>'05-POA PROM DEFENSA DERECHOS'!W34</f>
        <v>0</v>
      </c>
      <c r="Q31" s="408">
        <f>+'05-POA PROM DEFENSA DERECHOS'!AD34</f>
        <v>1</v>
      </c>
      <c r="R31" s="1072">
        <f>+'05-POA PROM DEFENSA DERECHOS'!AE34</f>
        <v>0</v>
      </c>
      <c r="S31" s="408">
        <f>+'05-POA PROM DEFENSA DERECHOS'!AL34</f>
        <v>2</v>
      </c>
      <c r="T31" s="425">
        <f>+'05-POA PROM DEFENSA DERECHOS'!AM34</f>
        <v>1</v>
      </c>
      <c r="U31" s="408">
        <f>+'05-POA PROM DEFENSA DERECHOS'!AT34</f>
        <v>0</v>
      </c>
      <c r="V31" s="412">
        <f>+'05-POA PROM DEFENSA DERECHOS'!AU34</f>
        <v>0</v>
      </c>
      <c r="W31" s="408">
        <f>+'05-POA PROM DEFENSA DERECHOS'!AV34</f>
        <v>3</v>
      </c>
      <c r="X31" s="410">
        <f t="shared" si="7"/>
        <v>1</v>
      </c>
      <c r="Y31" s="765">
        <f t="shared" si="8"/>
        <v>0.33333333333333331</v>
      </c>
      <c r="Z31" s="411">
        <f t="shared" si="4"/>
        <v>9.0909090909090912E-2</v>
      </c>
      <c r="AA31" s="418">
        <f t="shared" si="5"/>
        <v>2.8181818181818183E-2</v>
      </c>
      <c r="AB31" s="1161"/>
      <c r="AD31" s="415">
        <f>+'05-POA PROM DEFENSA DERECHOS'!BC34</f>
        <v>0.33333333333333331</v>
      </c>
      <c r="AE31" s="417">
        <f t="shared" si="2"/>
        <v>0</v>
      </c>
      <c r="AG31" s="415">
        <f>+'05-POA PROM DEFENSA DERECHOS'!BG34</f>
        <v>9.0909090909090912E-2</v>
      </c>
      <c r="AH31" s="417">
        <f t="shared" si="3"/>
        <v>0</v>
      </c>
    </row>
    <row r="32" spans="2:34" ht="83.25" customHeight="1">
      <c r="B32" s="1467"/>
      <c r="C32" s="1477"/>
      <c r="D32" s="31" t="str">
        <f>+'01-FR-03 POA INSTITUCIONAL'!D32</f>
        <v>1.3.3 Implementar 4 herramientas para la promoción y prevención a infracciones del Derecho Internacional Humanitario en el Distrito Capital</v>
      </c>
      <c r="E32" s="52">
        <f>+'01-FR-03 POA INSTITUCIONAL'!E32</f>
        <v>0.11</v>
      </c>
      <c r="F32" s="139">
        <f>+'01-FR-03 POA INSTITUCIONAL'!F32</f>
        <v>4</v>
      </c>
      <c r="G32" s="1041" t="str">
        <f>+'01-FR-03 POA INSTITUCIONAL'!G32</f>
        <v>S.I.</v>
      </c>
      <c r="H32" s="141" t="str">
        <f>+'01-FR-03 POA INSTITUCIONAL'!H32</f>
        <v>Herramientas de promoción y prevención a infracciones del Derecho Internacional Humanitario implementadas</v>
      </c>
      <c r="I32" s="142" t="str">
        <f>+'01-FR-03 POA INSTITUCIONAL'!I32</f>
        <v>Promoción y Defensa de Derechos</v>
      </c>
      <c r="J32" s="143" t="str">
        <f>+'01-FR-03 POA INSTITUCIONAL'!J32</f>
        <v>P.D. para la Coordinación del MP y DDHH y sus dependencias adscritas
 P.D. para la Coordinación de la Gestión de Personerías Locales y sus Personerías Locales adscritas</v>
      </c>
      <c r="K32" s="144">
        <f>+'01-FR-03 POA INSTITUCIONAL'!K32</f>
        <v>1</v>
      </c>
      <c r="L32" s="144">
        <f>+'01-FR-03 POA INSTITUCIONAL'!L32</f>
        <v>1</v>
      </c>
      <c r="M32" s="144">
        <f>+'01-FR-03 POA INSTITUCIONAL'!M32</f>
        <v>1</v>
      </c>
      <c r="N32" s="144">
        <f>+'01-FR-03 POA INSTITUCIONAL'!N32</f>
        <v>1</v>
      </c>
      <c r="O32" s="408">
        <f>'05-POA PROM DEFENSA DERECHOS'!V35</f>
        <v>0</v>
      </c>
      <c r="P32" s="408">
        <f>'05-POA PROM DEFENSA DERECHOS'!W35</f>
        <v>0</v>
      </c>
      <c r="Q32" s="408">
        <f>+'05-POA PROM DEFENSA DERECHOS'!AD35</f>
        <v>0</v>
      </c>
      <c r="R32" s="1072">
        <f>+'05-POA PROM DEFENSA DERECHOS'!AE35</f>
        <v>0</v>
      </c>
      <c r="S32" s="408">
        <f>+'05-POA PROM DEFENSA DERECHOS'!AL35</f>
        <v>1</v>
      </c>
      <c r="T32" s="425">
        <f>+'05-POA PROM DEFENSA DERECHOS'!AM35</f>
        <v>0</v>
      </c>
      <c r="U32" s="408">
        <f>+'05-POA PROM DEFENSA DERECHOS'!AT35</f>
        <v>0</v>
      </c>
      <c r="V32" s="412">
        <f>+'05-POA PROM DEFENSA DERECHOS'!AU35</f>
        <v>0</v>
      </c>
      <c r="W32" s="408">
        <f>+'05-POA PROM DEFENSA DERECHOS'!AV35</f>
        <v>1</v>
      </c>
      <c r="X32" s="410">
        <f t="shared" si="7"/>
        <v>0</v>
      </c>
      <c r="Y32" s="765">
        <f t="shared" ref="Y32:Y41" si="9">IF(AND($W32&gt;0),X32/$W32,"No programado")</f>
        <v>0</v>
      </c>
      <c r="Z32" s="411">
        <f t="shared" si="4"/>
        <v>0</v>
      </c>
      <c r="AA32" s="418">
        <f t="shared" si="5"/>
        <v>0</v>
      </c>
      <c r="AB32" s="1161"/>
      <c r="AD32" s="415">
        <f>+'05-POA PROM DEFENSA DERECHOS'!BC35</f>
        <v>0</v>
      </c>
      <c r="AE32" s="417">
        <f t="shared" si="2"/>
        <v>0</v>
      </c>
      <c r="AG32" s="415">
        <f>+'05-POA PROM DEFENSA DERECHOS'!BG35</f>
        <v>0</v>
      </c>
      <c r="AH32" s="417">
        <f t="shared" si="3"/>
        <v>0</v>
      </c>
    </row>
    <row r="33" spans="2:34" ht="111.6" customHeight="1">
      <c r="B33" s="1468"/>
      <c r="C33" s="1476"/>
      <c r="D33"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3" s="52">
        <f>+'01-FR-03 POA INSTITUCIONAL'!E33</f>
        <v>0.02</v>
      </c>
      <c r="F33" s="139">
        <f>+'01-FR-03 POA INSTITUCIONAL'!F33</f>
        <v>1</v>
      </c>
      <c r="G33" s="1041" t="str">
        <f>+'01-FR-03 POA INSTITUCIONAL'!G33</f>
        <v>S.I.</v>
      </c>
      <c r="H33" s="141" t="str">
        <f>+'01-FR-03 POA INSTITUCIONAL'!H33</f>
        <v>Coordinación interinstitucional realizada</v>
      </c>
      <c r="I33" s="142" t="str">
        <f>+'01-FR-03 POA INSTITUCIONAL'!I33</f>
        <v>Promoción y Defensa de Derechos</v>
      </c>
      <c r="J33" s="143" t="str">
        <f>+'01-FR-03 POA INSTITUCIONAL'!J33</f>
        <v>P.D. para la Coordinación del MP y DDHH y sus dependencias adscritas
P.D. para la Coordinación de la Gestión de Personerías Locales y sus Personerías Locales adscritas</v>
      </c>
      <c r="K33" s="144">
        <f>+'01-FR-03 POA INSTITUCIONAL'!K33</f>
        <v>0</v>
      </c>
      <c r="L33" s="144">
        <f>+'01-FR-03 POA INSTITUCIONAL'!L33</f>
        <v>1</v>
      </c>
      <c r="M33" s="144">
        <f>+'01-FR-03 POA INSTITUCIONAL'!M33</f>
        <v>0</v>
      </c>
      <c r="N33" s="144">
        <f>+'01-FR-03 POA INSTITUCIONAL'!N33</f>
        <v>0</v>
      </c>
      <c r="O33" s="408">
        <f>'05-POA PROM DEFENSA DERECHOS'!V36</f>
        <v>0</v>
      </c>
      <c r="P33" s="408">
        <f>'05-POA PROM DEFENSA DERECHOS'!W36</f>
        <v>0</v>
      </c>
      <c r="Q33" s="408">
        <f>+'05-POA PROM DEFENSA DERECHOS'!AD36</f>
        <v>0</v>
      </c>
      <c r="R33" s="1072">
        <f>+'05-POA PROM DEFENSA DERECHOS'!AE36</f>
        <v>0</v>
      </c>
      <c r="S33" s="408">
        <f>+'05-POA PROM DEFENSA DERECHOS'!AL36</f>
        <v>0</v>
      </c>
      <c r="T33" s="425">
        <f>+'05-POA PROM DEFENSA DERECHOS'!AM36</f>
        <v>0</v>
      </c>
      <c r="U33" s="408">
        <f>+'05-POA PROM DEFENSA DERECHOS'!AT36</f>
        <v>0</v>
      </c>
      <c r="V33" s="412">
        <f>+'05-POA PROM DEFENSA DERECHOS'!AU36</f>
        <v>0</v>
      </c>
      <c r="W33" s="408">
        <f>+'05-POA PROM DEFENSA DERECHOS'!AV36</f>
        <v>0</v>
      </c>
      <c r="X33" s="410">
        <f t="shared" si="7"/>
        <v>0</v>
      </c>
      <c r="Y33" s="765" t="str">
        <f t="shared" si="9"/>
        <v>No programado</v>
      </c>
      <c r="Z33" s="411">
        <f t="shared" si="4"/>
        <v>0</v>
      </c>
      <c r="AA33" s="418">
        <f t="shared" si="5"/>
        <v>0</v>
      </c>
      <c r="AB33" s="1217"/>
      <c r="AD33" s="415">
        <f>+'05-POA PROM DEFENSA DERECHOS'!BC36</f>
        <v>0</v>
      </c>
      <c r="AE33" s="417" t="e">
        <f t="shared" si="2"/>
        <v>#VALUE!</v>
      </c>
      <c r="AG33" s="415">
        <f>+'05-POA PROM DEFENSA DERECHOS'!BG36</f>
        <v>0</v>
      </c>
      <c r="AH33" s="417">
        <f t="shared" si="3"/>
        <v>0</v>
      </c>
    </row>
    <row r="34" spans="2:34" ht="102" customHeight="1">
      <c r="B34" s="1469" t="s">
        <v>134</v>
      </c>
      <c r="C34" s="1472" t="s">
        <v>135</v>
      </c>
      <c r="D34" s="151" t="str">
        <f>+'01-FR-03 POA INSTITUCIONAL'!D34</f>
        <v>2.1.1 Realizar 16 informes en los cuales se evalúen las políticas ambientales, el manejo de recursos hídricos, protección y bienestar animal y desarrollo urbano en el Distrito Capital.</v>
      </c>
      <c r="E34" s="152">
        <f>+'01-FR-03 POA INSTITUCIONAL'!E34</f>
        <v>0.72727272727272696</v>
      </c>
      <c r="F34" s="153">
        <f>+'01-FR-03 POA INSTITUCIONAL'!F34</f>
        <v>16</v>
      </c>
      <c r="G34" s="154" t="str">
        <f>+'01-FR-03 POA INSTITUCIONAL'!G34</f>
        <v>S.I.</v>
      </c>
      <c r="H34" s="155" t="str">
        <f>+'01-FR-03 POA INSTITUCIONAL'!H34</f>
        <v>Informes realizados en temas específicos.</v>
      </c>
      <c r="I34" s="156" t="str">
        <f>+'01-FR-03 POA INSTITUCIONAL'!I34</f>
        <v>Prevención y Control a la Función Pública</v>
      </c>
      <c r="J34" s="15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58">
        <f>+'01-FR-03 POA INSTITUCIONAL'!K34</f>
        <v>3</v>
      </c>
      <c r="L34" s="158">
        <f>+'01-FR-03 POA INSTITUCIONAL'!L34</f>
        <v>6</v>
      </c>
      <c r="M34" s="158">
        <f>+'01-FR-03 POA INSTITUCIONAL'!M34</f>
        <v>6</v>
      </c>
      <c r="N34" s="158">
        <f>+'01-FR-03 POA INSTITUCIONAL'!N34</f>
        <v>1</v>
      </c>
      <c r="O34" s="413">
        <f>+'06-PREV CTRL FUN PÚBLICA'!V16</f>
        <v>0</v>
      </c>
      <c r="P34" s="413">
        <f>+'06-PREV CTRL FUN PÚBLICA'!W16</f>
        <v>0</v>
      </c>
      <c r="Q34" s="413">
        <f>+'06-PREV CTRL FUN PÚBLICA'!AD16</f>
        <v>0</v>
      </c>
      <c r="R34" s="413">
        <f>+'06-PREV CTRL FUN PÚBLICA'!AE16</f>
        <v>0</v>
      </c>
      <c r="S34" s="413">
        <f>+'06-PREV CTRL FUN PÚBLICA'!AL16</f>
        <v>2</v>
      </c>
      <c r="T34" s="413">
        <f>+'06-PREV CTRL FUN PÚBLICA'!AM16</f>
        <v>0</v>
      </c>
      <c r="U34" s="413">
        <f>+'06-PREV CTRL FUN PÚBLICA'!AT16</f>
        <v>1</v>
      </c>
      <c r="V34" s="429">
        <f>+'06-PREV CTRL FUN PÚBLICA'!AU16</f>
        <v>0</v>
      </c>
      <c r="W34" s="413">
        <f>+'06-PREV CTRL FUN PÚBLICA'!AV16</f>
        <v>3</v>
      </c>
      <c r="X34" s="420">
        <f t="shared" si="7"/>
        <v>0</v>
      </c>
      <c r="Y34" s="767">
        <f t="shared" si="9"/>
        <v>0</v>
      </c>
      <c r="Z34" s="423">
        <f>IF(AND(X34&gt;0,$F34&gt;0),X34/$F34,0)</f>
        <v>0</v>
      </c>
      <c r="AA34" s="424">
        <f>IF(AND(Z34&gt;0,E34&gt;0),Z34*E34,0)</f>
        <v>0</v>
      </c>
      <c r="AB34" s="1163">
        <f>+AA34+AA35</f>
        <v>4.5454545454545497E-2</v>
      </c>
      <c r="AD34" s="415">
        <f>+'06-PREV CTRL FUN PÚBLICA'!BC16</f>
        <v>0</v>
      </c>
      <c r="AE34" s="417">
        <f t="shared" si="2"/>
        <v>0</v>
      </c>
      <c r="AG34" s="415">
        <f>+'06-PREV CTRL FUN PÚBLICA'!BG16</f>
        <v>0</v>
      </c>
      <c r="AH34" s="417">
        <f t="shared" si="3"/>
        <v>0</v>
      </c>
    </row>
    <row r="35" spans="2:34" ht="120" customHeight="1">
      <c r="B35" s="1470"/>
      <c r="C35" s="1473"/>
      <c r="D35" s="15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5" s="152">
        <f>+'01-FR-03 POA INSTITUCIONAL'!E35</f>
        <v>0.27272727272727298</v>
      </c>
      <c r="F35" s="153">
        <f>+'01-FR-03 POA INSTITUCIONAL'!F35</f>
        <v>6</v>
      </c>
      <c r="G35" s="154" t="str">
        <f>+'01-FR-03 POA INSTITUCIONAL'!G35</f>
        <v>S.I.</v>
      </c>
      <c r="H35" s="155" t="str">
        <f>+'01-FR-03 POA INSTITUCIONAL'!H35</f>
        <v>Informes de seguimientos realizados en temas específicos.</v>
      </c>
      <c r="I35" s="156" t="str">
        <f>+'01-FR-03 POA INSTITUCIONAL'!I35</f>
        <v>Prevención y Control a la Función Pública</v>
      </c>
      <c r="J35" s="15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58">
        <f>+'01-FR-03 POA INSTITUCIONAL'!K35</f>
        <v>1</v>
      </c>
      <c r="L35" s="158">
        <f>+'01-FR-03 POA INSTITUCIONAL'!L35</f>
        <v>1</v>
      </c>
      <c r="M35" s="158">
        <f>+'01-FR-03 POA INSTITUCIONAL'!M35</f>
        <v>3</v>
      </c>
      <c r="N35" s="158">
        <f>+'01-FR-03 POA INSTITUCIONAL'!N35</f>
        <v>1</v>
      </c>
      <c r="O35" s="413">
        <f>+'06-PREV CTRL FUN PÚBLICA'!V17</f>
        <v>1</v>
      </c>
      <c r="P35" s="413">
        <f>+'06-PREV CTRL FUN PÚBLICA'!W17</f>
        <v>1</v>
      </c>
      <c r="Q35" s="413">
        <f>+'06-PREV CTRL FUN PÚBLICA'!AD17</f>
        <v>0</v>
      </c>
      <c r="R35" s="413">
        <f>+'06-PREV CTRL FUN PÚBLICA'!AE17</f>
        <v>0</v>
      </c>
      <c r="S35" s="413">
        <f>+'06-PREV CTRL FUN PÚBLICA'!AL17</f>
        <v>0</v>
      </c>
      <c r="T35" s="413">
        <f>+'06-PREV CTRL FUN PÚBLICA'!AM17</f>
        <v>0</v>
      </c>
      <c r="U35" s="413">
        <f>+'06-PREV CTRL FUN PÚBLICA'!AT17</f>
        <v>0</v>
      </c>
      <c r="V35" s="429">
        <f>+'06-PREV CTRL FUN PÚBLICA'!AU17</f>
        <v>0</v>
      </c>
      <c r="W35" s="413">
        <f>+'06-PREV CTRL FUN PÚBLICA'!AV17</f>
        <v>1</v>
      </c>
      <c r="X35" s="420">
        <f t="shared" si="7"/>
        <v>1</v>
      </c>
      <c r="Y35" s="767">
        <f t="shared" si="9"/>
        <v>1</v>
      </c>
      <c r="Z35" s="423">
        <f t="shared" ref="Z35:Z49" si="10">IF(AND(X35&gt;0,$F35&gt;0),X35/$F35,0)</f>
        <v>0.16666666666666666</v>
      </c>
      <c r="AA35" s="424">
        <f t="shared" ref="AA35:AA39" si="11">IF(AND(Z35&gt;0,E35&gt;0),Z35*E35,0)</f>
        <v>4.5454545454545497E-2</v>
      </c>
      <c r="AB35" s="1165"/>
      <c r="AD35" s="415">
        <f>+'06-PREV CTRL FUN PÚBLICA'!BC17</f>
        <v>1</v>
      </c>
      <c r="AE35" s="417">
        <f t="shared" si="2"/>
        <v>0</v>
      </c>
      <c r="AG35" s="415">
        <f>+'06-PREV CTRL FUN PÚBLICA'!BG17</f>
        <v>0.16666666666666666</v>
      </c>
      <c r="AH35" s="417">
        <f t="shared" si="3"/>
        <v>0</v>
      </c>
    </row>
    <row r="36" spans="2:34" ht="100.5" customHeight="1">
      <c r="B36" s="1470"/>
      <c r="C36" s="1472" t="s">
        <v>136</v>
      </c>
      <c r="D36" s="151" t="str">
        <f>+'01-FR-03 POA INSTITUCIONAL'!D36</f>
        <v>2.2.1 Realizar 790 acciones de prevención y control a la función pública para fortalecer la moralidad pública.</v>
      </c>
      <c r="E36" s="152">
        <f>+'01-FR-03 POA INSTITUCIONAL'!E36</f>
        <v>0.89772727272727271</v>
      </c>
      <c r="F36" s="153">
        <f>+'01-FR-03 POA INSTITUCIONAL'!F36</f>
        <v>790</v>
      </c>
      <c r="G36" s="154" t="str">
        <f>+'01-FR-03 POA INSTITUCIONAL'!G36</f>
        <v>S.I.</v>
      </c>
      <c r="H36" s="155" t="str">
        <f>+'01-FR-03 POA INSTITUCIONAL'!H36</f>
        <v>Acciones de Prevención y Control a la Función Pública realizadas, con informe.</v>
      </c>
      <c r="I36" s="156" t="str">
        <f>+'01-FR-03 POA INSTITUCIONAL'!I36</f>
        <v>Prevención y Control a la Función Pública</v>
      </c>
      <c r="J36" s="15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58">
        <f>+'01-FR-03 POA INSTITUCIONAL'!K36</f>
        <v>200</v>
      </c>
      <c r="L36" s="158">
        <f>+'01-FR-03 POA INSTITUCIONAL'!L36</f>
        <v>259</v>
      </c>
      <c r="M36" s="158">
        <f>+'01-FR-03 POA INSTITUCIONAL'!M36</f>
        <v>259</v>
      </c>
      <c r="N36" s="158">
        <f>+'01-FR-03 POA INSTITUCIONAL'!N36</f>
        <v>72</v>
      </c>
      <c r="O36" s="413">
        <f>+'06-PREV CTRL FUN PÚBLICA'!V18</f>
        <v>13</v>
      </c>
      <c r="P36" s="413">
        <f>+'06-PREV CTRL FUN PÚBLICA'!W18</f>
        <v>37</v>
      </c>
      <c r="Q36" s="413">
        <f>+'06-PREV CTRL FUN PÚBLICA'!AD18</f>
        <v>70</v>
      </c>
      <c r="R36" s="413">
        <f>+'06-PREV CTRL FUN PÚBLICA'!AE18</f>
        <v>74</v>
      </c>
      <c r="S36" s="413">
        <f>+'06-PREV CTRL FUN PÚBLICA'!AL18</f>
        <v>72</v>
      </c>
      <c r="T36" s="413">
        <f>+'06-PREV CTRL FUN PÚBLICA'!AM18</f>
        <v>40</v>
      </c>
      <c r="U36" s="413">
        <f>+'06-PREV CTRL FUN PÚBLICA'!AT18</f>
        <v>45</v>
      </c>
      <c r="V36" s="429">
        <f>+'06-PREV CTRL FUN PÚBLICA'!AU18</f>
        <v>0</v>
      </c>
      <c r="W36" s="413">
        <f>+'06-PREV CTRL FUN PÚBLICA'!AV18</f>
        <v>200</v>
      </c>
      <c r="X36" s="420">
        <f t="shared" si="7"/>
        <v>151</v>
      </c>
      <c r="Y36" s="767">
        <f t="shared" si="9"/>
        <v>0.755</v>
      </c>
      <c r="Z36" s="423">
        <f t="shared" si="10"/>
        <v>0.19113924050632911</v>
      </c>
      <c r="AA36" s="424">
        <f t="shared" si="11"/>
        <v>0.17159090909090907</v>
      </c>
      <c r="AB36" s="1163">
        <f>+AA36+AA37</f>
        <v>0.1977272727272727</v>
      </c>
      <c r="AD36" s="415">
        <f>+'06-PREV CTRL FUN PÚBLICA'!BC18</f>
        <v>0.755</v>
      </c>
      <c r="AE36" s="417">
        <f t="shared" si="2"/>
        <v>0</v>
      </c>
      <c r="AG36" s="415">
        <f>+'06-PREV CTRL FUN PÚBLICA'!BG18</f>
        <v>0.19113924050632911</v>
      </c>
      <c r="AH36" s="417">
        <f t="shared" si="3"/>
        <v>0</v>
      </c>
    </row>
    <row r="37" spans="2:34" ht="100.5" customHeight="1">
      <c r="B37" s="1470"/>
      <c r="C37" s="1473"/>
      <c r="D37" s="151" t="str">
        <f>+'01-FR-03 POA INSTITUCIONAL'!D37</f>
        <v>2.2.2 Realizar 90 acciones de prevención y control a la función pública - seguimientos, para fortalecer la moralidad pública en el Distrito Capital.</v>
      </c>
      <c r="E37" s="152">
        <f>+'01-FR-03 POA INSTITUCIONAL'!E37</f>
        <v>0.10227272727272728</v>
      </c>
      <c r="F37" s="153">
        <f>+'01-FR-03 POA INSTITUCIONAL'!F37</f>
        <v>90</v>
      </c>
      <c r="G37" s="154" t="str">
        <f>+'01-FR-03 POA INSTITUCIONAL'!G37</f>
        <v>S.I.</v>
      </c>
      <c r="H37" s="155" t="str">
        <f>+'01-FR-03 POA INSTITUCIONAL'!H37</f>
        <v>Seguimientos realizados sobre acciones previas, con informe</v>
      </c>
      <c r="I37" s="156" t="str">
        <f>+'01-FR-03 POA INSTITUCIONAL'!I37</f>
        <v>Prevención y Control a la Función Pública</v>
      </c>
      <c r="J37" s="157"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K37" s="158">
        <f>+'01-FR-03 POA INSTITUCIONAL'!K37</f>
        <v>20</v>
      </c>
      <c r="L37" s="158">
        <f>+'01-FR-03 POA INSTITUCIONAL'!L37</f>
        <v>30</v>
      </c>
      <c r="M37" s="158">
        <f>+'01-FR-03 POA INSTITUCIONAL'!M37</f>
        <v>30</v>
      </c>
      <c r="N37" s="158">
        <f>+'01-FR-03 POA INSTITUCIONAL'!N37</f>
        <v>10</v>
      </c>
      <c r="O37" s="413">
        <f>+'06-PREV CTRL FUN PÚBLICA'!V19</f>
        <v>0</v>
      </c>
      <c r="P37" s="413">
        <f>+'06-PREV CTRL FUN PÚBLICA'!W19</f>
        <v>0</v>
      </c>
      <c r="Q37" s="413">
        <f>+'06-PREV CTRL FUN PÚBLICA'!AD19</f>
        <v>4</v>
      </c>
      <c r="R37" s="413">
        <f>+'06-PREV CTRL FUN PÚBLICA'!AE19</f>
        <v>23</v>
      </c>
      <c r="S37" s="413">
        <f>+'06-PREV CTRL FUN PÚBLICA'!AL19</f>
        <v>8</v>
      </c>
      <c r="T37" s="413">
        <f>+'06-PREV CTRL FUN PÚBLICA'!AM19</f>
        <v>0</v>
      </c>
      <c r="U37" s="413">
        <f>+'06-PREV CTRL FUN PÚBLICA'!AT19</f>
        <v>8</v>
      </c>
      <c r="V37" s="429">
        <f>+'06-PREV CTRL FUN PÚBLICA'!AU19</f>
        <v>0</v>
      </c>
      <c r="W37" s="413">
        <f>+'06-PREV CTRL FUN PÚBLICA'!AV19</f>
        <v>20</v>
      </c>
      <c r="X37" s="420">
        <f t="shared" si="7"/>
        <v>23</v>
      </c>
      <c r="Y37" s="767">
        <f t="shared" si="9"/>
        <v>1.1499999999999999</v>
      </c>
      <c r="Z37" s="423">
        <f t="shared" si="10"/>
        <v>0.25555555555555554</v>
      </c>
      <c r="AA37" s="424">
        <f t="shared" si="11"/>
        <v>2.6136363636363635E-2</v>
      </c>
      <c r="AB37" s="1165"/>
      <c r="AD37" s="415">
        <f>+'06-PREV CTRL FUN PÚBLICA'!BC19</f>
        <v>1.1499999999999999</v>
      </c>
      <c r="AE37" s="417">
        <f t="shared" si="2"/>
        <v>0</v>
      </c>
      <c r="AG37" s="415">
        <f>+'06-PREV CTRL FUN PÚBLICA'!BG19</f>
        <v>0.25555555555555554</v>
      </c>
      <c r="AH37" s="417">
        <f t="shared" si="3"/>
        <v>0</v>
      </c>
    </row>
    <row r="38" spans="2:34" ht="65.25" customHeight="1">
      <c r="B38" s="1470"/>
      <c r="C38" s="1472" t="s">
        <v>137</v>
      </c>
      <c r="D38" s="151" t="str">
        <f>+'01-FR-03 POA INSTITUCIONAL'!D38</f>
        <v>2.3.1 Realizar 55 audiencias públicas y/o mesas de trabajo, las cuales permitan la participación ciudadana, con énfasis en los Derechos e intereses colectivos.</v>
      </c>
      <c r="E38" s="152">
        <f>+'01-FR-03 POA INSTITUCIONAL'!E38</f>
        <v>0.1864406779661017</v>
      </c>
      <c r="F38" s="153">
        <f>+'01-FR-03 POA INSTITUCIONAL'!F38</f>
        <v>55</v>
      </c>
      <c r="G38" s="154">
        <f>+'01-FR-03 POA INSTITUCIONAL'!G38</f>
        <v>75</v>
      </c>
      <c r="H38" s="155" t="str">
        <f>+'01-FR-03 POA INSTITUCIONAL'!H38</f>
        <v>Audiencias públicas y/o mesas de trabajo realizadas.</v>
      </c>
      <c r="I38" s="156" t="str">
        <f>+'01-FR-03 POA INSTITUCIONAL'!I38</f>
        <v>Prevención y Control a la Función Pública</v>
      </c>
      <c r="J38" s="157" t="str">
        <f>+'01-FR-03 POA INSTITUCIONAL'!J38</f>
        <v>Personería Delegada para la Coordinación de Prevención y Control a la Función Pública y sus Personerías Delegadas.</v>
      </c>
      <c r="K38" s="158">
        <f>+'01-FR-03 POA INSTITUCIONAL'!K38</f>
        <v>7</v>
      </c>
      <c r="L38" s="158">
        <f>+'01-FR-03 POA INSTITUCIONAL'!L38</f>
        <v>21</v>
      </c>
      <c r="M38" s="158">
        <f>+'01-FR-03 POA INSTITUCIONAL'!M38</f>
        <v>23</v>
      </c>
      <c r="N38" s="158">
        <f>+'01-FR-03 POA INSTITUCIONAL'!N38</f>
        <v>4</v>
      </c>
      <c r="O38" s="413">
        <f>+'06-PREV CTRL FUN PÚBLICA'!V20</f>
        <v>1</v>
      </c>
      <c r="P38" s="413">
        <f>+'06-PREV CTRL FUN PÚBLICA'!W20</f>
        <v>2</v>
      </c>
      <c r="Q38" s="413">
        <f>+'06-PREV CTRL FUN PÚBLICA'!AD20</f>
        <v>3</v>
      </c>
      <c r="R38" s="413">
        <f>+'06-PREV CTRL FUN PÚBLICA'!AE20</f>
        <v>3</v>
      </c>
      <c r="S38" s="413">
        <f>+'06-PREV CTRL FUN PÚBLICA'!AL20</f>
        <v>3</v>
      </c>
      <c r="T38" s="413">
        <f>+'06-PREV CTRL FUN PÚBLICA'!AM20</f>
        <v>3</v>
      </c>
      <c r="U38" s="413">
        <f>+'06-PREV CTRL FUN PÚBLICA'!AT20</f>
        <v>0</v>
      </c>
      <c r="V38" s="429">
        <f>+'06-PREV CTRL FUN PÚBLICA'!AU20</f>
        <v>0</v>
      </c>
      <c r="W38" s="413">
        <f>+'06-PREV CTRL FUN PÚBLICA'!AV20</f>
        <v>7</v>
      </c>
      <c r="X38" s="420">
        <f t="shared" si="7"/>
        <v>8</v>
      </c>
      <c r="Y38" s="767">
        <f t="shared" si="9"/>
        <v>1.1428571428571428</v>
      </c>
      <c r="Z38" s="423">
        <f t="shared" si="10"/>
        <v>0.14545454545454545</v>
      </c>
      <c r="AA38" s="424">
        <f t="shared" si="11"/>
        <v>2.7118644067796609E-2</v>
      </c>
      <c r="AB38" s="1163">
        <f>+AA38+AA39+AA40</f>
        <v>0.31186440677966099</v>
      </c>
      <c r="AD38" s="415">
        <f>+'06-PREV CTRL FUN PÚBLICA'!BC20</f>
        <v>1.1428571428571428</v>
      </c>
      <c r="AE38" s="417">
        <f t="shared" si="2"/>
        <v>0</v>
      </c>
      <c r="AG38" s="415">
        <f>+'06-PREV CTRL FUN PÚBLICA'!BG20</f>
        <v>0.14545454545454545</v>
      </c>
      <c r="AH38" s="417">
        <f t="shared" si="3"/>
        <v>0</v>
      </c>
    </row>
    <row r="39" spans="2:34" ht="63.75" customHeight="1">
      <c r="B39" s="1470"/>
      <c r="C39" s="1474"/>
      <c r="D39" s="151" t="str">
        <f>+'01-FR-03 POA INSTITUCIONAL'!D39</f>
        <v>2.3.2 Realizar 140 acompañamientos a los ciudadanos que intervienen en los diferentes espacios de participación ciudadana.</v>
      </c>
      <c r="E39" s="152">
        <f>+'01-FR-03 POA INSTITUCIONAL'!E39</f>
        <v>0.47457627118644069</v>
      </c>
      <c r="F39" s="153">
        <f>+'01-FR-03 POA INSTITUCIONAL'!F39</f>
        <v>140</v>
      </c>
      <c r="G39" s="154" t="str">
        <f>+'01-FR-03 POA INSTITUCIONAL'!G39</f>
        <v>S.I.</v>
      </c>
      <c r="H39" s="155" t="str">
        <f>+'01-FR-03 POA INSTITUCIONAL'!H39</f>
        <v>Acompañamientos a los ciudadanos realizados.</v>
      </c>
      <c r="I39" s="156" t="str">
        <f>+'01-FR-03 POA INSTITUCIONAL'!I39</f>
        <v>Prevención y Control a la Función Pública</v>
      </c>
      <c r="J39" s="157" t="str">
        <f>+'01-FR-03 POA INSTITUCIONAL'!J39</f>
        <v xml:space="preserve">Personería Delegada para la Coordinación de Gestión de las Personerías Locales y sus Personerías Locales. </v>
      </c>
      <c r="K39" s="158">
        <f>+'01-FR-03 POA INSTITUCIONAL'!K39</f>
        <v>40</v>
      </c>
      <c r="L39" s="158">
        <f>+'01-FR-03 POA INSTITUCIONAL'!L39</f>
        <v>40</v>
      </c>
      <c r="M39" s="158">
        <f>+'01-FR-03 POA INSTITUCIONAL'!M39</f>
        <v>40</v>
      </c>
      <c r="N39" s="158">
        <f>+'01-FR-03 POA INSTITUCIONAL'!N39</f>
        <v>20</v>
      </c>
      <c r="O39" s="413">
        <f>+'06-PREV CTRL FUN PÚBLICA'!V21</f>
        <v>8</v>
      </c>
      <c r="P39" s="413">
        <f>+'06-PREV CTRL FUN PÚBLICA'!W21</f>
        <v>23</v>
      </c>
      <c r="Q39" s="413">
        <f>+'06-PREV CTRL FUN PÚBLICA'!AD21</f>
        <v>12</v>
      </c>
      <c r="R39" s="413">
        <f>+'06-PREV CTRL FUN PÚBLICA'!AE21</f>
        <v>21</v>
      </c>
      <c r="S39" s="413">
        <f>+'06-PREV CTRL FUN PÚBLICA'!AL21</f>
        <v>12</v>
      </c>
      <c r="T39" s="413">
        <f>+'06-PREV CTRL FUN PÚBLICA'!AM21</f>
        <v>26</v>
      </c>
      <c r="U39" s="413">
        <f>+'06-PREV CTRL FUN PÚBLICA'!AT21</f>
        <v>8</v>
      </c>
      <c r="V39" s="429">
        <f>+'06-PREV CTRL FUN PÚBLICA'!AU21</f>
        <v>0</v>
      </c>
      <c r="W39" s="413">
        <f>+'06-PREV CTRL FUN PÚBLICA'!AV21</f>
        <v>40</v>
      </c>
      <c r="X39" s="420">
        <f t="shared" si="7"/>
        <v>70</v>
      </c>
      <c r="Y39" s="767">
        <f t="shared" si="9"/>
        <v>1.75</v>
      </c>
      <c r="Z39" s="423">
        <f t="shared" si="10"/>
        <v>0.5</v>
      </c>
      <c r="AA39" s="424">
        <f t="shared" si="11"/>
        <v>0.23728813559322035</v>
      </c>
      <c r="AB39" s="1164"/>
      <c r="AD39" s="415">
        <f>+'06-PREV CTRL FUN PÚBLICA'!BC21</f>
        <v>1.75</v>
      </c>
      <c r="AE39" s="417">
        <f t="shared" si="2"/>
        <v>0</v>
      </c>
      <c r="AG39" s="415">
        <f>+'06-PREV CTRL FUN PÚBLICA'!BG21</f>
        <v>0.5</v>
      </c>
      <c r="AH39" s="417">
        <f t="shared" si="3"/>
        <v>0</v>
      </c>
    </row>
    <row r="40" spans="2:34" ht="102" customHeight="1">
      <c r="B40" s="1471"/>
      <c r="C40" s="1473"/>
      <c r="D40" s="151" t="str">
        <f>+'01-FR-03 POA INSTITUCIONAL'!D40</f>
        <v>2.3.3 Realizar 100 espacios de diálogo con las personas para retroalimentar las actividades de participación ciudadana</v>
      </c>
      <c r="E40" s="152">
        <f>+'01-FR-03 POA INSTITUCIONAL'!E40</f>
        <v>0.33898305084745761</v>
      </c>
      <c r="F40" s="153">
        <f>+'01-FR-03 POA INSTITUCIONAL'!F40</f>
        <v>100</v>
      </c>
      <c r="G40" s="154" t="str">
        <f>+'01-FR-03 POA INSTITUCIONAL'!G40</f>
        <v>S.I.</v>
      </c>
      <c r="H40" s="155" t="str">
        <f>+'01-FR-03 POA INSTITUCIONAL'!H40</f>
        <v>Espacios de dialogo realizados.</v>
      </c>
      <c r="I40" s="156" t="str">
        <f>+'01-FR-03 POA INSTITUCIONAL'!I40</f>
        <v>Prevención y Control a la Función Pública</v>
      </c>
      <c r="J40" s="157" t="str">
        <f>+'01-FR-03 POA INSTITUCIONAL'!J40</f>
        <v>Personería Delegada para la Coordinación de Gestión de las Personerías Locales y sus Personerías Locales. 
Personería Delegada para la Coordinación de Prevención y Control a la Función Pública y sus Personerías Delegadas.</v>
      </c>
      <c r="K40" s="158">
        <f>+'01-FR-03 POA INSTITUCIONAL'!K40</f>
        <v>20</v>
      </c>
      <c r="L40" s="158">
        <f>+'01-FR-03 POA INSTITUCIONAL'!L40</f>
        <v>30</v>
      </c>
      <c r="M40" s="158">
        <f>+'01-FR-03 POA INSTITUCIONAL'!M40</f>
        <v>30</v>
      </c>
      <c r="N40" s="158">
        <f>+'01-FR-03 POA INSTITUCIONAL'!N40</f>
        <v>20</v>
      </c>
      <c r="O40" s="413">
        <f>+'06-PREV CTRL FUN PÚBLICA'!V22</f>
        <v>4</v>
      </c>
      <c r="P40" s="413">
        <f>+'06-PREV CTRL FUN PÚBLICA'!W22</f>
        <v>0</v>
      </c>
      <c r="Q40" s="413">
        <f>+'06-PREV CTRL FUN PÚBLICA'!AD22</f>
        <v>6</v>
      </c>
      <c r="R40" s="413">
        <f>+'06-PREV CTRL FUN PÚBLICA'!AE22</f>
        <v>7</v>
      </c>
      <c r="S40" s="413">
        <f>+'06-PREV CTRL FUN PÚBLICA'!AL22</f>
        <v>6</v>
      </c>
      <c r="T40" s="413">
        <f>+'06-PREV CTRL FUN PÚBLICA'!AM22</f>
        <v>7</v>
      </c>
      <c r="U40" s="413">
        <f>+'06-PREV CTRL FUN PÚBLICA'!AT22</f>
        <v>4</v>
      </c>
      <c r="V40" s="429">
        <f>+'06-PREV CTRL FUN PÚBLICA'!AU22</f>
        <v>0</v>
      </c>
      <c r="W40" s="413">
        <f>+'06-PREV CTRL FUN PÚBLICA'!AV22</f>
        <v>20</v>
      </c>
      <c r="X40" s="420">
        <f t="shared" si="7"/>
        <v>14</v>
      </c>
      <c r="Y40" s="767">
        <f t="shared" si="9"/>
        <v>0.7</v>
      </c>
      <c r="Z40" s="423">
        <f t="shared" si="10"/>
        <v>0.14000000000000001</v>
      </c>
      <c r="AA40" s="424">
        <f>IF(AND(Z40&gt;0,E40&gt;0),Z40*E40,0)</f>
        <v>4.7457627118644069E-2</v>
      </c>
      <c r="AB40" s="1165"/>
      <c r="AD40" s="415">
        <f>+'06-PREV CTRL FUN PÚBLICA'!BC22</f>
        <v>0.7</v>
      </c>
      <c r="AE40" s="417">
        <f t="shared" si="2"/>
        <v>0</v>
      </c>
      <c r="AG40" s="415">
        <f>+'06-PREV CTRL FUN PÚBLICA'!BG22</f>
        <v>0.14000000000000001</v>
      </c>
      <c r="AH40" s="417">
        <f t="shared" si="3"/>
        <v>0</v>
      </c>
    </row>
    <row r="41" spans="2:34" ht="93.75" customHeight="1">
      <c r="B41" s="1466" t="s">
        <v>138</v>
      </c>
      <c r="C41" s="1475" t="s">
        <v>313</v>
      </c>
      <c r="D41" s="31" t="str">
        <f>+'01-FR-03 POA INSTITUCIONAL'!D41</f>
        <v xml:space="preserve">3.1.1 Identificar y decidir de fondo 4.500  procesos, priorizando aquellos que se encuentren con riesgo de prescripción y/o vencidos en su etapa procesal (indagación, investigación y juzgamiento). </v>
      </c>
      <c r="E41" s="52">
        <f>+'01-FR-03 POA INSTITUCIONAL'!E41</f>
        <v>0.8</v>
      </c>
      <c r="F41" s="139">
        <f>+'01-FR-03 POA INSTITUCIONAL'!F41</f>
        <v>4500</v>
      </c>
      <c r="G41" s="1041">
        <f>+'01-FR-03 POA INSTITUCIONAL'!G41</f>
        <v>6287</v>
      </c>
      <c r="H41" s="141" t="str">
        <f>+'01-FR-03 POA INSTITUCIONAL'!H41</f>
        <v>Procesos priorizados identificados y decididos de fondo</v>
      </c>
      <c r="I41" s="142" t="str">
        <f>+'01-FR-03 POA INSTITUCIONAL'!I41</f>
        <v>Potestad Disciplinaria</v>
      </c>
      <c r="J41" s="143" t="str">
        <f>+'01-FR-03 POA INSTITUCIONAL'!J41</f>
        <v>Personería Delegada para la Coordinación de Potestad Disciplinaria</v>
      </c>
      <c r="K41" s="144">
        <f>+'01-FR-03 POA INSTITUCIONAL'!K41</f>
        <v>900</v>
      </c>
      <c r="L41" s="144">
        <f>+'01-FR-03 POA INSTITUCIONAL'!L41</f>
        <v>1200</v>
      </c>
      <c r="M41" s="144">
        <f>+'01-FR-03 POA INSTITUCIONAL'!M41</f>
        <v>1200</v>
      </c>
      <c r="N41" s="144">
        <f>+'01-FR-03 POA INSTITUCIONAL'!N41</f>
        <v>1200</v>
      </c>
      <c r="O41" s="425">
        <f>+'07-POTESTAD DISCIPLINARIA'!V16</f>
        <v>250</v>
      </c>
      <c r="P41" s="425">
        <f>+'07-POTESTAD DISCIPLINARIA'!W16</f>
        <v>319</v>
      </c>
      <c r="Q41" s="425">
        <f>+'07-POTESTAD DISCIPLINARIA'!AD16</f>
        <v>450</v>
      </c>
      <c r="R41" s="425">
        <f>+'07-POTESTAD DISCIPLINARIA'!AE16</f>
        <v>528</v>
      </c>
      <c r="S41" s="425">
        <f>+'07-POTESTAD DISCIPLINARIA'!AL16</f>
        <v>140</v>
      </c>
      <c r="T41" s="425">
        <f>+'07-POTESTAD DISCIPLINARIA'!AM16</f>
        <v>329</v>
      </c>
      <c r="U41" s="425">
        <f>+'07-POTESTAD DISCIPLINARIA'!AT16</f>
        <v>60</v>
      </c>
      <c r="V41" s="430">
        <f>+'07-POTESTAD DISCIPLINARIA'!AU16</f>
        <v>0</v>
      </c>
      <c r="W41" s="425">
        <f>+'07-POTESTAD DISCIPLINARIA'!AV16</f>
        <v>900</v>
      </c>
      <c r="X41" s="427">
        <f t="shared" si="7"/>
        <v>1176</v>
      </c>
      <c r="Y41" s="765">
        <f t="shared" si="9"/>
        <v>1.3066666666666666</v>
      </c>
      <c r="Z41" s="411">
        <f t="shared" si="10"/>
        <v>0.26133333333333331</v>
      </c>
      <c r="AA41" s="418">
        <f t="shared" ref="AA41:AA49" si="12">IF(AND(Z41&gt;0,E41&gt;0),Z41*E41,0)</f>
        <v>0.20906666666666665</v>
      </c>
      <c r="AB41" s="1167">
        <f>SUM(AA41:AA42)</f>
        <v>0.24026666666666666</v>
      </c>
      <c r="AD41" s="415">
        <f>+'07-POTESTAD DISCIPLINARIA'!BC16</f>
        <v>1.3066666666666666</v>
      </c>
      <c r="AE41" s="417">
        <f t="shared" si="2"/>
        <v>0</v>
      </c>
      <c r="AG41" s="415">
        <f>+'07-POTESTAD DISCIPLINARIA'!BG16</f>
        <v>0.26133333333333331</v>
      </c>
      <c r="AH41" s="417">
        <f t="shared" si="3"/>
        <v>0</v>
      </c>
    </row>
    <row r="42" spans="2:34" ht="67.5" customHeight="1">
      <c r="B42" s="1467"/>
      <c r="C42" s="1476"/>
      <c r="D42" s="31" t="str">
        <f>+'01-FR-03 POA INSTITUCIONAL'!D42</f>
        <v>3.1.2 Evaluar y dar impulso procesal al 100% las noticias disciplinarias (quejas) puestas en conocimiento de la Entidad.</v>
      </c>
      <c r="E42" s="52">
        <f>+'01-FR-03 POA INSTITUCIONAL'!E42</f>
        <v>0.2</v>
      </c>
      <c r="F42" s="139">
        <f>+'01-FR-03 POA INSTITUCIONAL'!F42</f>
        <v>1</v>
      </c>
      <c r="G42" s="1041">
        <f>+'01-FR-03 POA INSTITUCIONAL'!G42</f>
        <v>0.98</v>
      </c>
      <c r="H42" s="141" t="str">
        <f>+'01-FR-03 POA INSTITUCIONAL'!H42</f>
        <v>Noticias disciplinarias  evaluadas y con impulso procesal</v>
      </c>
      <c r="I42" s="142" t="str">
        <f>+'01-FR-03 POA INSTITUCIONAL'!I42</f>
        <v>Potestad Disciplinaria</v>
      </c>
      <c r="J42" s="143" t="str">
        <f>+'01-FR-03 POA INSTITUCIONAL'!J42</f>
        <v>Personería Delegada para la Coordinación de Potestad Disciplinaria</v>
      </c>
      <c r="K42" s="144">
        <f>+'01-FR-03 POA INSTITUCIONAL'!K42</f>
        <v>1</v>
      </c>
      <c r="L42" s="144">
        <f>+'01-FR-03 POA INSTITUCIONAL'!L42</f>
        <v>1</v>
      </c>
      <c r="M42" s="144">
        <f>+'01-FR-03 POA INSTITUCIONAL'!M42</f>
        <v>1</v>
      </c>
      <c r="N42" s="144">
        <f>+'01-FR-03 POA INSTITUCIONAL'!N42</f>
        <v>1</v>
      </c>
      <c r="O42" s="409">
        <f>+'07-POTESTAD DISCIPLINARIA'!V17</f>
        <v>1</v>
      </c>
      <c r="P42" s="409">
        <f>+'07-POTESTAD DISCIPLINARIA'!W17</f>
        <v>0.72299999999999998</v>
      </c>
      <c r="Q42" s="409">
        <f>+'07-POTESTAD DISCIPLINARIA'!AD17</f>
        <v>1</v>
      </c>
      <c r="R42" s="409">
        <f>+'07-POTESTAD DISCIPLINARIA'!AE17</f>
        <v>0.69200000000000006</v>
      </c>
      <c r="S42" s="409">
        <f>+'07-POTESTAD DISCIPLINARIA'!AL17</f>
        <v>1</v>
      </c>
      <c r="T42" s="409">
        <f>+'07-POTESTAD DISCIPLINARIA'!AM17</f>
        <v>1.0813333333333333</v>
      </c>
      <c r="U42" s="32">
        <f>+'07-POTESTAD DISCIPLINARIA'!AT17</f>
        <v>1</v>
      </c>
      <c r="V42" s="433"/>
      <c r="W42" s="409">
        <f>+'07-POTESTAD DISCIPLINARIA'!AV17</f>
        <v>1</v>
      </c>
      <c r="X42" s="411">
        <f>IFERROR(IF(OR($W$42="",$W$42=0),0,ROUNDDOWN(AVERAGE($P42,R42,T42,V42),3)),0)</f>
        <v>0.83199999999999996</v>
      </c>
      <c r="Y42" s="765">
        <f>IF(AND($W42&gt;0),X42/$W42,"No programado")*0.75</f>
        <v>0.624</v>
      </c>
      <c r="Z42" s="411">
        <f>(IF(AND(X42&gt;0,$F42&gt;0),X42/$F42,0)/4)*0.75</f>
        <v>0.156</v>
      </c>
      <c r="AA42" s="418">
        <f t="shared" si="12"/>
        <v>3.1200000000000002E-2</v>
      </c>
      <c r="AB42" s="1168"/>
      <c r="AD42" s="415">
        <f>+'07-POTESTAD DISCIPLINARIA'!BC17</f>
        <v>0.624</v>
      </c>
      <c r="AE42" s="417">
        <f t="shared" si="2"/>
        <v>0</v>
      </c>
      <c r="AG42" s="415">
        <f>+'07-POTESTAD DISCIPLINARIA'!BG17</f>
        <v>0.156</v>
      </c>
      <c r="AH42" s="417">
        <f t="shared" si="3"/>
        <v>0</v>
      </c>
    </row>
    <row r="43" spans="2:34" ht="95.25" customHeight="1">
      <c r="B43" s="1467"/>
      <c r="C43" s="1475" t="s">
        <v>139</v>
      </c>
      <c r="D43" s="31" t="str">
        <f>+'01-FR-03 POA INSTITUCIONAL'!D43</f>
        <v>3.2.1 Realizar una visita de seguimiento a las 51 Oficinas de Control Interno Disciplinario del Distrito e identificar hechos constitutivos de faltas relevantes en temas de interés e impacto en cada anualidad.</v>
      </c>
      <c r="E43" s="52">
        <f>+'01-FR-03 POA INSTITUCIONAL'!E43</f>
        <v>0.5</v>
      </c>
      <c r="F43" s="139">
        <f>+'01-FR-03 POA INSTITUCIONAL'!F43</f>
        <v>204</v>
      </c>
      <c r="G43" s="1041">
        <f>+'01-FR-03 POA INSTITUCIONAL'!G43</f>
        <v>204</v>
      </c>
      <c r="H43" s="141" t="str">
        <f>+'01-FR-03 POA INSTITUCIONAL'!H43</f>
        <v>Visitas de seguimiento a Oficinas de Control Interno Disciplinario realizadas</v>
      </c>
      <c r="I43" s="142" t="str">
        <f>+'01-FR-03 POA INSTITUCIONAL'!I43</f>
        <v>Potestad Disciplinaria</v>
      </c>
      <c r="J43" s="143" t="str">
        <f>+'01-FR-03 POA INSTITUCIONAL'!J43</f>
        <v>Personería Delegada para la Coordinación de Potestad Disciplinaria</v>
      </c>
      <c r="K43" s="144">
        <f>+'01-FR-03 POA INSTITUCIONAL'!K43</f>
        <v>51</v>
      </c>
      <c r="L43" s="144">
        <f>+'01-FR-03 POA INSTITUCIONAL'!L43</f>
        <v>51</v>
      </c>
      <c r="M43" s="144">
        <f>+'01-FR-03 POA INSTITUCIONAL'!M43</f>
        <v>51</v>
      </c>
      <c r="N43" s="144">
        <f>+'01-FR-03 POA INSTITUCIONAL'!N43</f>
        <v>51</v>
      </c>
      <c r="O43" s="425">
        <f>+'07-POTESTAD DISCIPLINARIA'!V18</f>
        <v>0</v>
      </c>
      <c r="P43" s="425">
        <f>+'07-POTESTAD DISCIPLINARIA'!W18</f>
        <v>12</v>
      </c>
      <c r="Q43" s="425">
        <f>+'07-POTESTAD DISCIPLINARIA'!AD18</f>
        <v>15</v>
      </c>
      <c r="R43" s="425">
        <f>+'07-POTESTAD DISCIPLINARIA'!AE18</f>
        <v>39</v>
      </c>
      <c r="S43" s="425">
        <f>+'07-POTESTAD DISCIPLINARIA'!AL18</f>
        <v>15</v>
      </c>
      <c r="T43" s="425">
        <f>+'07-POTESTAD DISCIPLINARIA'!AM18</f>
        <v>0</v>
      </c>
      <c r="U43" s="425">
        <f>+'07-POTESTAD DISCIPLINARIA'!AT18</f>
        <v>21</v>
      </c>
      <c r="V43" s="430">
        <f>+'07-POTESTAD DISCIPLINARIA'!AU18</f>
        <v>0</v>
      </c>
      <c r="W43" s="425">
        <f>+'07-POTESTAD DISCIPLINARIA'!AV18</f>
        <v>51</v>
      </c>
      <c r="X43" s="427">
        <f t="shared" si="7"/>
        <v>51</v>
      </c>
      <c r="Y43" s="765">
        <f t="shared" ref="Y43:Y61" si="13">IF(AND(X43&gt;0,$W43&gt;0),X43/$W43,0)</f>
        <v>1</v>
      </c>
      <c r="Z43" s="411">
        <f t="shared" si="10"/>
        <v>0.25</v>
      </c>
      <c r="AA43" s="418">
        <f t="shared" si="12"/>
        <v>0.125</v>
      </c>
      <c r="AB43" s="1167">
        <f>SUM(AA43:AA44)</f>
        <v>0.1484375</v>
      </c>
      <c r="AD43" s="415">
        <f>+'07-POTESTAD DISCIPLINARIA'!BC18</f>
        <v>1</v>
      </c>
      <c r="AE43" s="417">
        <f t="shared" si="2"/>
        <v>0</v>
      </c>
      <c r="AG43" s="415">
        <f>+'07-POTESTAD DISCIPLINARIA'!BG18</f>
        <v>0.25</v>
      </c>
      <c r="AH43" s="417">
        <f t="shared" si="3"/>
        <v>0</v>
      </c>
    </row>
    <row r="44" spans="2:34" ht="95.25" customHeight="1">
      <c r="B44" s="1467"/>
      <c r="C44" s="1476"/>
      <c r="D44" s="31" t="str">
        <f>+'01-FR-03 POA INSTITUCIONAL'!D44</f>
        <v>3.2.2 Asumir por competencia preferente el 100% de los procesos cuyos temas sean considerados de interés e impacto el Distrito Capital.</v>
      </c>
      <c r="E44" s="52">
        <f>+'01-FR-03 POA INSTITUCIONAL'!E44</f>
        <v>0.5</v>
      </c>
      <c r="F44" s="32">
        <f>+'01-FR-03 POA INSTITUCIONAL'!F44</f>
        <v>1</v>
      </c>
      <c r="G44" s="176">
        <f>+'01-FR-03 POA INSTITUCIONAL'!G44</f>
        <v>1</v>
      </c>
      <c r="H44" s="141" t="str">
        <f>+'01-FR-03 POA INSTITUCIONAL'!H44</f>
        <v>Procesos de interés e impacto asumidos por competencia</v>
      </c>
      <c r="I44" s="142" t="str">
        <f>+'01-FR-03 POA INSTITUCIONAL'!I44</f>
        <v>Potestad Disciplinaria</v>
      </c>
      <c r="J44" s="143" t="str">
        <f>+'01-FR-03 POA INSTITUCIONAL'!J44</f>
        <v>Personería Delegada para la Coordinación de Potestad Disciplinaria</v>
      </c>
      <c r="K44" s="145">
        <f>+'01-FR-03 POA INSTITUCIONAL'!K44</f>
        <v>1</v>
      </c>
      <c r="L44" s="145">
        <f>+'01-FR-03 POA INSTITUCIONAL'!L44</f>
        <v>1</v>
      </c>
      <c r="M44" s="145">
        <f>+'01-FR-03 POA INSTITUCIONAL'!M44</f>
        <v>1</v>
      </c>
      <c r="N44" s="145">
        <f>+'01-FR-03 POA INSTITUCIONAL'!N44</f>
        <v>1</v>
      </c>
      <c r="O44" s="32">
        <f>+'07-POTESTAD DISCIPLINARIA'!V19</f>
        <v>0</v>
      </c>
      <c r="P44" s="32">
        <f>+'07-POTESTAD DISCIPLINARIA'!W19</f>
        <v>1</v>
      </c>
      <c r="Q44" s="409">
        <f>+'07-POTESTAD DISCIPLINARIA'!AD19</f>
        <v>1</v>
      </c>
      <c r="R44" s="409">
        <f>+'07-POTESTAD DISCIPLINARIA'!AE19</f>
        <v>1</v>
      </c>
      <c r="S44" s="409">
        <f>+'07-POTESTAD DISCIPLINARIA'!AL19</f>
        <v>1</v>
      </c>
      <c r="T44" s="409">
        <f>+'07-POTESTAD DISCIPLINARIA'!AM19</f>
        <v>1</v>
      </c>
      <c r="U44" s="32">
        <f>+'07-POTESTAD DISCIPLINARIA'!AT19</f>
        <v>1</v>
      </c>
      <c r="V44" s="433"/>
      <c r="W44" s="409">
        <f>+'07-POTESTAD DISCIPLINARIA'!AV19</f>
        <v>1</v>
      </c>
      <c r="X44" s="739">
        <f>IFERROR(IF(OR($W$44="",$W$44=0),0,ROUNDDOWN(AVERAGE($P44,R44,T44,V44),3)),0)</f>
        <v>1</v>
      </c>
      <c r="Y44" s="762">
        <f>IF(AND(X44&gt;0,$W44&gt;0),X44/$W44,0)*0.75</f>
        <v>0.75</v>
      </c>
      <c r="Z44" s="411">
        <f>(IF(AND(X44&gt;0,$F44&gt;0),X44/$F44,0)/4)*0.75</f>
        <v>0.1875</v>
      </c>
      <c r="AA44" s="418">
        <f>IF(AND(Z44&gt;0,E44&gt;0),Z44*E44,0)*0.25</f>
        <v>2.34375E-2</v>
      </c>
      <c r="AB44" s="1169"/>
      <c r="AD44" s="415">
        <f>+'07-POTESTAD DISCIPLINARIA'!BC19</f>
        <v>0.75</v>
      </c>
      <c r="AE44" s="417">
        <f t="shared" si="2"/>
        <v>0</v>
      </c>
      <c r="AG44" s="415">
        <f>+'07-POTESTAD DISCIPLINARIA'!BG19</f>
        <v>0.1875</v>
      </c>
      <c r="AH44" s="417">
        <f t="shared" si="3"/>
        <v>0</v>
      </c>
    </row>
    <row r="45" spans="2:34" ht="126.75" customHeight="1">
      <c r="B45" s="1467"/>
      <c r="C45" s="164" t="s">
        <v>140</v>
      </c>
      <c r="D45" s="31" t="str">
        <f>+'01-FR-03 POA INSTITUCIONAL'!D45</f>
        <v>3.3.1 Generar 8 escenarios de intercambio de conocimiento con los(as) servidores(as) públicos(as) para fortalecer el conocimiento en la sustanciación de procesos disciplinarios en el Distrito Capital.</v>
      </c>
      <c r="E45" s="52">
        <f>+'01-FR-03 POA INSTITUCIONAL'!E45</f>
        <v>1</v>
      </c>
      <c r="F45" s="139">
        <f>+'01-FR-03 POA INSTITUCIONAL'!F45</f>
        <v>8</v>
      </c>
      <c r="G45" s="1041">
        <f>+'01-FR-03 POA INSTITUCIONAL'!G45</f>
        <v>8</v>
      </c>
      <c r="H45" s="141" t="str">
        <f>+'01-FR-03 POA INSTITUCIONAL'!H45</f>
        <v>Escenarios de intercambio de conocimiento generados</v>
      </c>
      <c r="I45" s="142" t="str">
        <f>+'01-FR-03 POA INSTITUCIONAL'!I45</f>
        <v>Potestad Disciplinaria</v>
      </c>
      <c r="J45" s="143" t="str">
        <f>+'01-FR-03 POA INSTITUCIONAL'!J45</f>
        <v>Personería Delegada para la Coordinación de Potestad Disciplinaria</v>
      </c>
      <c r="K45" s="144">
        <f>+'01-FR-03 POA INSTITUCIONAL'!K45</f>
        <v>2</v>
      </c>
      <c r="L45" s="144">
        <f>+'01-FR-03 POA INSTITUCIONAL'!L45</f>
        <v>2</v>
      </c>
      <c r="M45" s="144">
        <f>+'01-FR-03 POA INSTITUCIONAL'!M45</f>
        <v>2</v>
      </c>
      <c r="N45" s="144">
        <f>+'01-FR-03 POA INSTITUCIONAL'!N45</f>
        <v>2</v>
      </c>
      <c r="O45" s="425">
        <f>+'07-POTESTAD DISCIPLINARIA'!V20</f>
        <v>0</v>
      </c>
      <c r="P45" s="425">
        <f>+'07-POTESTAD DISCIPLINARIA'!W20</f>
        <v>0</v>
      </c>
      <c r="Q45" s="425">
        <f>+'07-POTESTAD DISCIPLINARIA'!AD20</f>
        <v>0</v>
      </c>
      <c r="R45" s="425">
        <f>+'07-POTESTAD DISCIPLINARIA'!AE20</f>
        <v>1</v>
      </c>
      <c r="S45" s="425">
        <f>+'07-POTESTAD DISCIPLINARIA'!AL20</f>
        <v>1</v>
      </c>
      <c r="T45" s="425">
        <f>+'07-POTESTAD DISCIPLINARIA'!AM20</f>
        <v>0</v>
      </c>
      <c r="U45" s="425">
        <f>+'07-POTESTAD DISCIPLINARIA'!AT20</f>
        <v>1</v>
      </c>
      <c r="V45" s="430">
        <f>+'07-POTESTAD DISCIPLINARIA'!AU20</f>
        <v>0</v>
      </c>
      <c r="W45" s="426">
        <f>+'07-POTESTAD DISCIPLINARIA'!AV20</f>
        <v>2</v>
      </c>
      <c r="X45" s="427">
        <f t="shared" si="7"/>
        <v>1</v>
      </c>
      <c r="Y45" s="765">
        <f t="shared" si="13"/>
        <v>0.5</v>
      </c>
      <c r="Z45" s="411">
        <f t="shared" si="10"/>
        <v>0.125</v>
      </c>
      <c r="AA45" s="418">
        <f t="shared" si="12"/>
        <v>0.125</v>
      </c>
      <c r="AB45" s="1025">
        <f>SUM(AA45)</f>
        <v>0.125</v>
      </c>
      <c r="AD45" s="415">
        <f>+'07-POTESTAD DISCIPLINARIA'!BC20</f>
        <v>0.5</v>
      </c>
      <c r="AE45" s="417">
        <f t="shared" si="2"/>
        <v>0</v>
      </c>
      <c r="AG45" s="415">
        <f>+'07-POTESTAD DISCIPLINARIA'!BG20</f>
        <v>0.125</v>
      </c>
      <c r="AH45" s="417">
        <f t="shared" si="3"/>
        <v>0</v>
      </c>
    </row>
    <row r="46" spans="2:34" ht="61.5" customHeight="1">
      <c r="B46" s="1467"/>
      <c r="C46" s="1475" t="s">
        <v>312</v>
      </c>
      <c r="D46" s="31" t="str">
        <f>+'01-FR-03 POA INSTITUCIONAL'!D46</f>
        <v>3.4.1 Implementar un sistema de comunicación efectiva y eficiente con las Oficinas de Control Interno del Distrito Capital.</v>
      </c>
      <c r="E46" s="52">
        <f>+'01-FR-03 POA INSTITUCIONAL'!E46</f>
        <v>0.2</v>
      </c>
      <c r="F46" s="139">
        <f>+'01-FR-03 POA INSTITUCIONAL'!F46</f>
        <v>1</v>
      </c>
      <c r="G46" s="1041" t="str">
        <f>+'01-FR-03 POA INSTITUCIONAL'!G46</f>
        <v>S.I.</v>
      </c>
      <c r="H46" s="141" t="str">
        <f>+'01-FR-03 POA INSTITUCIONAL'!H46</f>
        <v xml:space="preserve">Sistema de Comunicación con las Oficinas de Control Interno Disciplinario implementado </v>
      </c>
      <c r="I46" s="142" t="str">
        <f>+'01-FR-03 POA INSTITUCIONAL'!I46</f>
        <v>Potestad Disciplinaria</v>
      </c>
      <c r="J46" s="143" t="str">
        <f>+'01-FR-03 POA INSTITUCIONAL'!J46</f>
        <v>Personería Delegada para la Coordinación de Potestad Disciplinaria</v>
      </c>
      <c r="K46" s="677">
        <f>+'01-FR-03 POA INSTITUCIONAL'!K46</f>
        <v>0.5</v>
      </c>
      <c r="L46" s="677">
        <f>+'01-FR-03 POA INSTITUCIONAL'!L46</f>
        <v>0.5</v>
      </c>
      <c r="M46" s="677">
        <f>+'01-FR-03 POA INSTITUCIONAL'!M46</f>
        <v>0</v>
      </c>
      <c r="N46" s="677">
        <f>+'01-FR-03 POA INSTITUCIONAL'!N46</f>
        <v>0</v>
      </c>
      <c r="O46" s="426">
        <f>+'07-POTESTAD DISCIPLINARIA'!V21</f>
        <v>0.05</v>
      </c>
      <c r="P46" s="426">
        <f>+'07-POTESTAD DISCIPLINARIA'!W21</f>
        <v>0.05</v>
      </c>
      <c r="Q46" s="426">
        <f>+'07-POTESTAD DISCIPLINARIA'!AD21</f>
        <v>0.2</v>
      </c>
      <c r="R46" s="426">
        <f>+'07-POTESTAD DISCIPLINARIA'!AE21</f>
        <v>0</v>
      </c>
      <c r="S46" s="426">
        <f>+'07-POTESTAD DISCIPLINARIA'!AL21</f>
        <v>0.15000000000000002</v>
      </c>
      <c r="T46" s="426">
        <f>+'07-POTESTAD DISCIPLINARIA'!AM21</f>
        <v>0.35</v>
      </c>
      <c r="U46" s="426">
        <f>+'07-POTESTAD DISCIPLINARIA'!AT21</f>
        <v>0.1</v>
      </c>
      <c r="V46" s="432">
        <f>+'07-POTESTAD DISCIPLINARIA'!AU21</f>
        <v>0</v>
      </c>
      <c r="W46" s="426">
        <f>+'07-POTESTAD DISCIPLINARIA'!AV21</f>
        <v>0.5</v>
      </c>
      <c r="X46" s="428">
        <f t="shared" si="7"/>
        <v>0.39999999999999997</v>
      </c>
      <c r="Y46" s="765">
        <f t="shared" si="13"/>
        <v>0.79999999999999993</v>
      </c>
      <c r="Z46" s="411">
        <f t="shared" si="10"/>
        <v>0.39999999999999997</v>
      </c>
      <c r="AA46" s="418">
        <f t="shared" si="12"/>
        <v>0.08</v>
      </c>
      <c r="AB46" s="1191">
        <f>SUM(AA46:AA48)</f>
        <v>0.186</v>
      </c>
      <c r="AD46" s="415">
        <f>+'07-POTESTAD DISCIPLINARIA'!BC21</f>
        <v>0.79999999999999993</v>
      </c>
      <c r="AE46" s="417">
        <f t="shared" si="2"/>
        <v>0</v>
      </c>
      <c r="AG46" s="415">
        <f>+'07-POTESTAD DISCIPLINARIA'!BG21</f>
        <v>0.39999999999999997</v>
      </c>
      <c r="AH46" s="417">
        <f t="shared" si="3"/>
        <v>0</v>
      </c>
    </row>
    <row r="47" spans="2:34" ht="61.5" customHeight="1">
      <c r="B47" s="1467"/>
      <c r="C47" s="1477"/>
      <c r="D47" s="31" t="str">
        <f>+'01-FR-03 POA INSTITUCIONAL'!D47</f>
        <v xml:space="preserve">3.4.2 Diseñar e implementar un sistema de información misional que generé el expediente electrónico  </v>
      </c>
      <c r="E47" s="52">
        <f>+'01-FR-03 POA INSTITUCIONAL'!E47</f>
        <v>0.7</v>
      </c>
      <c r="F47" s="139">
        <f>+'01-FR-03 POA INSTITUCIONAL'!F47</f>
        <v>1</v>
      </c>
      <c r="G47" s="1041" t="str">
        <f>+'01-FR-03 POA INSTITUCIONAL'!G47</f>
        <v>S.I.</v>
      </c>
      <c r="H47" s="141" t="str">
        <f>+'01-FR-03 POA INSTITUCIONAL'!H47</f>
        <v xml:space="preserve">Sistema de información misional implementado </v>
      </c>
      <c r="I47" s="142" t="str">
        <f>+'01-FR-03 POA INSTITUCIONAL'!I47</f>
        <v>Potestad Disciplinaria</v>
      </c>
      <c r="J47" s="143" t="str">
        <f>+'01-FR-03 POA INSTITUCIONAL'!J47</f>
        <v>Personería Delegada para la Coordinación de Potestad Disciplinaria</v>
      </c>
      <c r="K47" s="677">
        <f>+'01-FR-03 POA INSTITUCIONAL'!K47</f>
        <v>0.2</v>
      </c>
      <c r="L47" s="677">
        <f>+'01-FR-03 POA INSTITUCIONAL'!L47</f>
        <v>0.4</v>
      </c>
      <c r="M47" s="677">
        <f>+'01-FR-03 POA INSTITUCIONAL'!M47</f>
        <v>0.3</v>
      </c>
      <c r="N47" s="677">
        <f>+'01-FR-03 POA INSTITUCIONAL'!N47</f>
        <v>0.1</v>
      </c>
      <c r="O47" s="426">
        <f>+'07-POTESTAD DISCIPLINARIA'!V22</f>
        <v>0.02</v>
      </c>
      <c r="P47" s="426">
        <f>+'07-POTESTAD DISCIPLINARIA'!W22</f>
        <v>0.02</v>
      </c>
      <c r="Q47" s="426">
        <f>+'07-POTESTAD DISCIPLINARIA'!AD22</f>
        <v>0.06</v>
      </c>
      <c r="R47" s="426">
        <f>+'07-POTESTAD DISCIPLINARIA'!AE22</f>
        <v>0.06</v>
      </c>
      <c r="S47" s="426">
        <f>+'07-POTESTAD DISCIPLINARIA'!AL22</f>
        <v>0.06</v>
      </c>
      <c r="T47" s="426">
        <f>+'07-POTESTAD DISCIPLINARIA'!AM22</f>
        <v>0.06</v>
      </c>
      <c r="U47" s="426">
        <f>+'07-POTESTAD DISCIPLINARIA'!AT22</f>
        <v>0.06</v>
      </c>
      <c r="V47" s="432">
        <f>+'07-POTESTAD DISCIPLINARIA'!AU22</f>
        <v>0</v>
      </c>
      <c r="W47" s="426">
        <f>+'07-POTESTAD DISCIPLINARIA'!AV22</f>
        <v>0.2</v>
      </c>
      <c r="X47" s="428">
        <f t="shared" si="7"/>
        <v>0.14000000000000001</v>
      </c>
      <c r="Y47" s="765">
        <f t="shared" si="13"/>
        <v>0.70000000000000007</v>
      </c>
      <c r="Z47" s="411">
        <f t="shared" si="10"/>
        <v>0.14000000000000001</v>
      </c>
      <c r="AA47" s="418">
        <f t="shared" si="12"/>
        <v>9.8000000000000004E-2</v>
      </c>
      <c r="AB47" s="1191"/>
      <c r="AD47" s="415">
        <f>+'07-POTESTAD DISCIPLINARIA'!BC22</f>
        <v>0.70000000000000007</v>
      </c>
      <c r="AE47" s="417">
        <f t="shared" si="2"/>
        <v>0</v>
      </c>
      <c r="AG47" s="415">
        <f>+'07-POTESTAD DISCIPLINARIA'!BG22</f>
        <v>0.14000000000000001</v>
      </c>
      <c r="AH47" s="417">
        <f t="shared" si="3"/>
        <v>0</v>
      </c>
    </row>
    <row r="48" spans="2:34" ht="61.5" customHeight="1">
      <c r="B48" s="1468"/>
      <c r="C48" s="1476"/>
      <c r="D48" s="31" t="str">
        <f>+'01-FR-03 POA INSTITUCIONAL'!D48</f>
        <v xml:space="preserve">3.4.3 Diseñar e implementar una relatoría de las decisiones de fondo adoptadas en ejercicio de la potestad disciplinaria  </v>
      </c>
      <c r="E48" s="52">
        <f>+'01-FR-03 POA INSTITUCIONAL'!E48</f>
        <v>0.1</v>
      </c>
      <c r="F48" s="139">
        <f>+'01-FR-03 POA INSTITUCIONAL'!F48</f>
        <v>1</v>
      </c>
      <c r="G48" s="1041" t="str">
        <f>+'01-FR-03 POA INSTITUCIONAL'!G48</f>
        <v>S.I.</v>
      </c>
      <c r="H48" s="141" t="str">
        <f>+'01-FR-03 POA INSTITUCIONAL'!H48</f>
        <v>Relatoría diseñada e implementada</v>
      </c>
      <c r="I48" s="142" t="str">
        <f>+'01-FR-03 POA INSTITUCIONAL'!I48</f>
        <v>Potestad Disciplinaria</v>
      </c>
      <c r="J48" s="143" t="str">
        <f>+'01-FR-03 POA INSTITUCIONAL'!J48</f>
        <v>Personería Delegada para la Coordinación de Potestad Disciplinaria</v>
      </c>
      <c r="K48" s="677">
        <f>+'01-FR-03 POA INSTITUCIONAL'!K48</f>
        <v>0.1</v>
      </c>
      <c r="L48" s="677">
        <f>+'01-FR-03 POA INSTITUCIONAL'!L48</f>
        <v>0.3</v>
      </c>
      <c r="M48" s="677">
        <f>+'01-FR-03 POA INSTITUCIONAL'!M48</f>
        <v>0.4</v>
      </c>
      <c r="N48" s="677">
        <f>+'01-FR-03 POA INSTITUCIONAL'!N48</f>
        <v>0.2</v>
      </c>
      <c r="O48" s="426">
        <f>+'07-POTESTAD DISCIPLINARIA'!V23</f>
        <v>0</v>
      </c>
      <c r="P48" s="426">
        <f>+'07-POTESTAD DISCIPLINARIA'!W23</f>
        <v>0</v>
      </c>
      <c r="Q48" s="426">
        <f>+'07-POTESTAD DISCIPLINARIA'!AD23</f>
        <v>0.02</v>
      </c>
      <c r="R48" s="426">
        <f>+'07-POTESTAD DISCIPLINARIA'!AE23</f>
        <v>0.02</v>
      </c>
      <c r="S48" s="426">
        <f>+'07-POTESTAD DISCIPLINARIA'!AL23</f>
        <v>0.05</v>
      </c>
      <c r="T48" s="1019">
        <f>+'07-POTESTAD DISCIPLINARIA'!AM23</f>
        <v>0.06</v>
      </c>
      <c r="U48" s="426">
        <f>+'07-POTESTAD DISCIPLINARIA'!AT23</f>
        <v>0.03</v>
      </c>
      <c r="V48" s="432">
        <f>+'07-POTESTAD DISCIPLINARIA'!AU23</f>
        <v>0</v>
      </c>
      <c r="W48" s="426">
        <f>+'07-POTESTAD DISCIPLINARIA'!AV23</f>
        <v>0.1</v>
      </c>
      <c r="X48" s="428">
        <f t="shared" si="7"/>
        <v>0.08</v>
      </c>
      <c r="Y48" s="765">
        <f t="shared" si="13"/>
        <v>0.79999999999999993</v>
      </c>
      <c r="Z48" s="411">
        <f t="shared" si="10"/>
        <v>0.08</v>
      </c>
      <c r="AA48" s="418">
        <f t="shared" si="12"/>
        <v>8.0000000000000002E-3</v>
      </c>
      <c r="AB48" s="1191"/>
      <c r="AD48" s="415">
        <f>+'07-POTESTAD DISCIPLINARIA'!BC23</f>
        <v>0.79999999999999993</v>
      </c>
      <c r="AE48" s="417">
        <f t="shared" si="2"/>
        <v>0</v>
      </c>
      <c r="AG48" s="415">
        <f>+'07-POTESTAD DISCIPLINARIA'!BG23</f>
        <v>0.08</v>
      </c>
      <c r="AH48" s="417">
        <f t="shared" si="3"/>
        <v>0</v>
      </c>
    </row>
    <row r="49" spans="2:35" ht="75" customHeight="1">
      <c r="B49" s="1470" t="s">
        <v>141</v>
      </c>
      <c r="C49" s="1472" t="s">
        <v>142</v>
      </c>
      <c r="D49" s="151" t="str">
        <f>+'01-FR-03 POA INSTITUCIONAL'!D49</f>
        <v>4.1.1 Implementar el 100 % de los proyectos de hoja de ruta del Plan Estratégico de Tecnología de la Información de tal forma que se optimicen los procesos de la Entidad</v>
      </c>
      <c r="E49" s="165">
        <f>+'01-FR-03 POA INSTITUCIONAL'!E49</f>
        <v>0.14000000000000001</v>
      </c>
      <c r="F49" s="166">
        <f>+'01-FR-03 POA INSTITUCIONAL'!F49</f>
        <v>1</v>
      </c>
      <c r="G49" s="154" t="str">
        <f>+'01-FR-03 POA INSTITUCIONAL'!G49</f>
        <v>S.I.</v>
      </c>
      <c r="H49" s="167" t="str">
        <f>+'01-FR-03 POA INSTITUCIONAL'!H49</f>
        <v>Porcentaje de proyectos implementados de acuerdo al plan de tecnologías de la Información</v>
      </c>
      <c r="I49" s="151" t="str">
        <f>+'01-FR-03 POA INSTITUCIONAL'!I49</f>
        <v>Direccionamiento TIC</v>
      </c>
      <c r="J49" s="168" t="str">
        <f>+'01-FR-03 POA INSTITUCIONAL'!J49</f>
        <v>Dirección de Tecnologías de la  Información y las Comunicaciones</v>
      </c>
      <c r="K49" s="169">
        <f>+'01-FR-03 POA INSTITUCIONAL'!K49</f>
        <v>0.3</v>
      </c>
      <c r="L49" s="169">
        <f>+'01-FR-03 POA INSTITUCIONAL'!L49</f>
        <v>0.4</v>
      </c>
      <c r="M49" s="169">
        <f>+'01-FR-03 POA INSTITUCIONAL'!M49</f>
        <v>0.25</v>
      </c>
      <c r="N49" s="169">
        <f>+'01-FR-03 POA INSTITUCIONAL'!N49</f>
        <v>0.05</v>
      </c>
      <c r="O49" s="434">
        <f>+'03-DIRECCIONAMIENTO TIC'!V16</f>
        <v>0.06</v>
      </c>
      <c r="P49" s="434">
        <f>+'03-DIRECCIONAMIENTO TIC'!W16</f>
        <v>0.06</v>
      </c>
      <c r="Q49" s="434">
        <f>+'03-DIRECCIONAMIENTO TIC'!AD16</f>
        <v>0.09</v>
      </c>
      <c r="R49" s="434">
        <f>+'03-DIRECCIONAMIENTO TIC'!AE16</f>
        <v>0.09</v>
      </c>
      <c r="S49" s="434">
        <f>+'03-DIRECCIONAMIENTO TIC'!AL16</f>
        <v>0.09</v>
      </c>
      <c r="T49" s="434">
        <f>+'03-DIRECCIONAMIENTO TIC'!AM16</f>
        <v>0.09</v>
      </c>
      <c r="U49" s="434">
        <f>+'03-DIRECCIONAMIENTO TIC'!AT16</f>
        <v>6.0000000000000005E-2</v>
      </c>
      <c r="V49" s="442">
        <f>+'03-DIRECCIONAMIENTO TIC'!AU16</f>
        <v>0</v>
      </c>
      <c r="W49" s="434">
        <f>+'03-DIRECCIONAMIENTO TIC'!AV16</f>
        <v>0.3</v>
      </c>
      <c r="X49" s="435">
        <f t="shared" si="7"/>
        <v>0.24</v>
      </c>
      <c r="Y49" s="764">
        <f t="shared" si="13"/>
        <v>0.8</v>
      </c>
      <c r="Z49" s="434">
        <f t="shared" si="10"/>
        <v>0.24</v>
      </c>
      <c r="AA49" s="434">
        <f t="shared" si="12"/>
        <v>3.3600000000000005E-2</v>
      </c>
      <c r="AB49" s="1435">
        <f>SUM(AA49:AA55)</f>
        <v>0.23430000000000004</v>
      </c>
      <c r="AD49" s="415">
        <f>+'03-DIRECCIONAMIENTO TIC'!BC16</f>
        <v>0.8</v>
      </c>
      <c r="AE49" s="417">
        <f t="shared" si="2"/>
        <v>0</v>
      </c>
      <c r="AG49" s="415">
        <f>+'03-DIRECCIONAMIENTO TIC'!BG16</f>
        <v>0.24</v>
      </c>
      <c r="AH49" s="417">
        <f t="shared" si="3"/>
        <v>0</v>
      </c>
    </row>
    <row r="50" spans="2:35" ht="80.25" customHeight="1">
      <c r="B50" s="1470"/>
      <c r="C50" s="1474"/>
      <c r="D50" s="151" t="str">
        <f>+'01-FR-03 POA INSTITUCIONAL'!D50</f>
        <v>4.1.2 Ejecutar en un 100 % las actividades programadas en el plan de Seguridad de la Información, garantizando la disponibilidad, confiabilidad e integridad de los activos de información</v>
      </c>
      <c r="E50" s="165">
        <f>+'01-FR-03 POA INSTITUCIONAL'!E50</f>
        <v>0.14000000000000001</v>
      </c>
      <c r="F50" s="166">
        <f>+'01-FR-03 POA INSTITUCIONAL'!F50</f>
        <v>1</v>
      </c>
      <c r="G50" s="154" t="str">
        <f>+'01-FR-03 POA INSTITUCIONAL'!G50</f>
        <v>S.I.</v>
      </c>
      <c r="H50" s="167" t="str">
        <f>+'01-FR-03 POA INSTITUCIONAL'!H50</f>
        <v>Porcentaje de actividades ejecutadas de acuerdo al plan de Seguridad de información</v>
      </c>
      <c r="I50" s="151" t="str">
        <f>+'01-FR-03 POA INSTITUCIONAL'!I50</f>
        <v>Direccionamiento TIC</v>
      </c>
      <c r="J50" s="168" t="str">
        <f>+'01-FR-03 POA INSTITUCIONAL'!J50</f>
        <v>Dirección de Tecnologías de la  Información y las Comunicaciones</v>
      </c>
      <c r="K50" s="169">
        <f>+'01-FR-03 POA INSTITUCIONAL'!K50</f>
        <v>0.3</v>
      </c>
      <c r="L50" s="169">
        <f>+'01-FR-03 POA INSTITUCIONAL'!L50</f>
        <v>0.4</v>
      </c>
      <c r="M50" s="169">
        <f>+'01-FR-03 POA INSTITUCIONAL'!M50</f>
        <v>0.25</v>
      </c>
      <c r="N50" s="169">
        <f>+'01-FR-03 POA INSTITUCIONAL'!N50</f>
        <v>0.05</v>
      </c>
      <c r="O50" s="434">
        <f>+'03-DIRECCIONAMIENTO TIC'!V17</f>
        <v>0.06</v>
      </c>
      <c r="P50" s="434">
        <f>+'03-DIRECCIONAMIENTO TIC'!W17</f>
        <v>0.06</v>
      </c>
      <c r="Q50" s="434">
        <f>+'03-DIRECCIONAMIENTO TIC'!AD17</f>
        <v>0.09</v>
      </c>
      <c r="R50" s="434">
        <f>+'03-DIRECCIONAMIENTO TIC'!AE17</f>
        <v>0.09</v>
      </c>
      <c r="S50" s="434">
        <f>+'03-DIRECCIONAMIENTO TIC'!AL17</f>
        <v>0.09</v>
      </c>
      <c r="T50" s="434">
        <f>+'03-DIRECCIONAMIENTO TIC'!AM17</f>
        <v>0.09</v>
      </c>
      <c r="U50" s="434">
        <f>+'03-DIRECCIONAMIENTO TIC'!AT17</f>
        <v>0.06</v>
      </c>
      <c r="V50" s="442">
        <f>+'03-DIRECCIONAMIENTO TIC'!AU17</f>
        <v>0</v>
      </c>
      <c r="W50" s="434">
        <f>+'03-DIRECCIONAMIENTO TIC'!AV17</f>
        <v>0.3</v>
      </c>
      <c r="X50" s="435">
        <f t="shared" si="7"/>
        <v>0.24</v>
      </c>
      <c r="Y50" s="764">
        <f t="shared" si="13"/>
        <v>0.8</v>
      </c>
      <c r="Z50" s="434">
        <f t="shared" ref="Z50:Z59" si="14">IF(AND(X50&gt;0,$F50&gt;0),X50/$F50,0)</f>
        <v>0.24</v>
      </c>
      <c r="AA50" s="434">
        <f t="shared" ref="AA50:AA64" si="15">IF(AND(Z50&gt;0,E50&gt;0),Z50*E50,0)</f>
        <v>3.3600000000000005E-2</v>
      </c>
      <c r="AB50" s="1156"/>
      <c r="AD50" s="415">
        <f>+'03-DIRECCIONAMIENTO TIC'!BC17</f>
        <v>0.8</v>
      </c>
      <c r="AE50" s="417">
        <f t="shared" ref="AE50:AE52" si="16">Y50-AD50</f>
        <v>0</v>
      </c>
      <c r="AG50" s="415">
        <f>+'03-DIRECCIONAMIENTO TIC'!BG17</f>
        <v>0.24</v>
      </c>
      <c r="AH50" s="417">
        <f t="shared" ref="AH50:AH52" si="17">+Z50-AG50</f>
        <v>0</v>
      </c>
    </row>
    <row r="51" spans="2:35" ht="111" customHeight="1">
      <c r="B51" s="1470"/>
      <c r="C51" s="1474"/>
      <c r="D51" s="151" t="str">
        <f>+'01-FR-03 POA INSTITUCIONAL'!D51</f>
        <v>4.1.3 Realizar el 100% de las actividades definidas en la estrategia de servicios ciudadanos digitales, que permitan acceder a los tramites y servicios de la Entidad a través de canales digitales rápidos, fiables y seguros</v>
      </c>
      <c r="E51" s="165">
        <f>+'01-FR-03 POA INSTITUCIONAL'!E51</f>
        <v>0.14000000000000001</v>
      </c>
      <c r="F51" s="166">
        <f>+'01-FR-03 POA INSTITUCIONAL'!F51</f>
        <v>1</v>
      </c>
      <c r="G51" s="154" t="str">
        <f>+'01-FR-03 POA INSTITUCIONAL'!G51</f>
        <v>S.I.</v>
      </c>
      <c r="H51" s="167" t="str">
        <f>+'01-FR-03 POA INSTITUCIONAL'!H51</f>
        <v xml:space="preserve">Porcentaje de actividades ejecutadas  en la estrategia de servicios ciudadanos digitales </v>
      </c>
      <c r="I51" s="151" t="str">
        <f>+'01-FR-03 POA INSTITUCIONAL'!I51</f>
        <v>Direccionamiento TIC</v>
      </c>
      <c r="J51" s="168" t="str">
        <f>+'01-FR-03 POA INSTITUCIONAL'!J51</f>
        <v>Dirección de Tecnologías de la  Información y las Comunicaciones</v>
      </c>
      <c r="K51" s="169">
        <f>+'01-FR-03 POA INSTITUCIONAL'!K51</f>
        <v>0.3</v>
      </c>
      <c r="L51" s="169">
        <f>+'01-FR-03 POA INSTITUCIONAL'!L51</f>
        <v>0.4</v>
      </c>
      <c r="M51" s="169">
        <f>+'01-FR-03 POA INSTITUCIONAL'!M51</f>
        <v>0.25</v>
      </c>
      <c r="N51" s="169">
        <f>+'01-FR-03 POA INSTITUCIONAL'!N51</f>
        <v>0.05</v>
      </c>
      <c r="O51" s="434">
        <f>+'03-DIRECCIONAMIENTO TIC'!V18</f>
        <v>0.05</v>
      </c>
      <c r="P51" s="434">
        <f>+'03-DIRECCIONAMIENTO TIC'!W18</f>
        <v>0.05</v>
      </c>
      <c r="Q51" s="434">
        <f>+'03-DIRECCIONAMIENTO TIC'!AD18</f>
        <v>0.09</v>
      </c>
      <c r="R51" s="434">
        <f>+'03-DIRECCIONAMIENTO TIC'!AE18</f>
        <v>0.09</v>
      </c>
      <c r="S51" s="434">
        <f>+'03-DIRECCIONAMIENTO TIC'!AL18</f>
        <v>0.09</v>
      </c>
      <c r="T51" s="434">
        <f>+'03-DIRECCIONAMIENTO TIC'!AM18</f>
        <v>0.09</v>
      </c>
      <c r="U51" s="434">
        <f>+'03-DIRECCIONAMIENTO TIC'!AT18</f>
        <v>7.0000000000000007E-2</v>
      </c>
      <c r="V51" s="442">
        <f>+'03-DIRECCIONAMIENTO TIC'!AU18</f>
        <v>0</v>
      </c>
      <c r="W51" s="434">
        <f>+'03-DIRECCIONAMIENTO TIC'!AV18</f>
        <v>0.30000000000000004</v>
      </c>
      <c r="X51" s="435">
        <f t="shared" si="7"/>
        <v>0.23</v>
      </c>
      <c r="Y51" s="764">
        <f t="shared" si="13"/>
        <v>0.76666666666666661</v>
      </c>
      <c r="Z51" s="434">
        <f t="shared" si="14"/>
        <v>0.23</v>
      </c>
      <c r="AA51" s="434">
        <f t="shared" si="15"/>
        <v>3.2200000000000006E-2</v>
      </c>
      <c r="AB51" s="1156"/>
      <c r="AD51" s="415">
        <f>+'03-DIRECCIONAMIENTO TIC'!BC18</f>
        <v>0.76666666666666661</v>
      </c>
      <c r="AE51" s="417">
        <f t="shared" si="16"/>
        <v>0</v>
      </c>
      <c r="AG51" s="415">
        <f>+'03-DIRECCIONAMIENTO TIC'!BG18</f>
        <v>0.23</v>
      </c>
      <c r="AH51" s="417">
        <f t="shared" si="17"/>
        <v>0</v>
      </c>
    </row>
    <row r="52" spans="2:35" ht="82.5" customHeight="1">
      <c r="B52" s="1470"/>
      <c r="C52" s="1474"/>
      <c r="D52" s="151" t="str">
        <f>+'01-FR-03 POA INSTITUCIONAL'!D52</f>
        <v>4.1.4 Implementar en un 100% los lineamientos que adopte la Entidad para mejorar la gestión de datos que facilite la toma de decisiones</v>
      </c>
      <c r="E52" s="165">
        <f>+'01-FR-03 POA INSTITUCIONAL'!E52</f>
        <v>0.14000000000000001</v>
      </c>
      <c r="F52" s="166">
        <f>+'01-FR-03 POA INSTITUCIONAL'!F52</f>
        <v>1</v>
      </c>
      <c r="G52" s="154" t="str">
        <f>+'01-FR-03 POA INSTITUCIONAL'!G52</f>
        <v>S.I.</v>
      </c>
      <c r="H52" s="167" t="str">
        <f>+'01-FR-03 POA INSTITUCIONAL'!H52</f>
        <v>Porcentaje de lineamientos adoptados  en la estrategia de gestión de datos</v>
      </c>
      <c r="I52" s="151" t="str">
        <f>+'01-FR-03 POA INSTITUCIONAL'!I52</f>
        <v>Direccionamiento TIC</v>
      </c>
      <c r="J52" s="168" t="str">
        <f>+'01-FR-03 POA INSTITUCIONAL'!J52</f>
        <v>Dirección de Tecnologías de la  Información y las Comunicaciones</v>
      </c>
      <c r="K52" s="169">
        <f>+'01-FR-03 POA INSTITUCIONAL'!K52</f>
        <v>0.3</v>
      </c>
      <c r="L52" s="169">
        <f>+'01-FR-03 POA INSTITUCIONAL'!L52</f>
        <v>0.4</v>
      </c>
      <c r="M52" s="169">
        <f>+'01-FR-03 POA INSTITUCIONAL'!M52</f>
        <v>0.25</v>
      </c>
      <c r="N52" s="169">
        <f>+'01-FR-03 POA INSTITUCIONAL'!N52</f>
        <v>0.05</v>
      </c>
      <c r="O52" s="434">
        <f>+'03-DIRECCIONAMIENTO TIC'!V19</f>
        <v>0.05</v>
      </c>
      <c r="P52" s="434">
        <f>+'03-DIRECCIONAMIENTO TIC'!W19</f>
        <v>0.05</v>
      </c>
      <c r="Q52" s="434">
        <f>+'03-DIRECCIONAMIENTO TIC'!AD19</f>
        <v>0.09</v>
      </c>
      <c r="R52" s="434">
        <f>+'03-DIRECCIONAMIENTO TIC'!AE19</f>
        <v>0.09</v>
      </c>
      <c r="S52" s="434">
        <f>+'03-DIRECCIONAMIENTO TIC'!AL19</f>
        <v>0.09</v>
      </c>
      <c r="T52" s="434">
        <f>+'03-DIRECCIONAMIENTO TIC'!AM19</f>
        <v>0.09</v>
      </c>
      <c r="U52" s="434">
        <f>+'03-DIRECCIONAMIENTO TIC'!AT19</f>
        <v>7.0000000000000007E-2</v>
      </c>
      <c r="V52" s="442">
        <f>+'03-DIRECCIONAMIENTO TIC'!AU19</f>
        <v>0</v>
      </c>
      <c r="W52" s="434">
        <f>+'03-DIRECCIONAMIENTO TIC'!AV19</f>
        <v>0.30000000000000004</v>
      </c>
      <c r="X52" s="435">
        <f t="shared" si="7"/>
        <v>0.23</v>
      </c>
      <c r="Y52" s="764">
        <f t="shared" si="13"/>
        <v>0.76666666666666661</v>
      </c>
      <c r="Z52" s="434">
        <f t="shared" si="14"/>
        <v>0.23</v>
      </c>
      <c r="AA52" s="434">
        <f t="shared" si="15"/>
        <v>3.2200000000000006E-2</v>
      </c>
      <c r="AB52" s="1156"/>
      <c r="AD52" s="415">
        <f>+'03-DIRECCIONAMIENTO TIC'!BC19</f>
        <v>0.76666666666666661</v>
      </c>
      <c r="AE52" s="417">
        <f t="shared" si="16"/>
        <v>0</v>
      </c>
      <c r="AG52" s="415">
        <f>+'03-DIRECCIONAMIENTO TIC'!BG19</f>
        <v>0.23</v>
      </c>
      <c r="AH52" s="417">
        <f t="shared" si="17"/>
        <v>0</v>
      </c>
    </row>
    <row r="53" spans="2:35" ht="94.5" customHeight="1">
      <c r="B53" s="1470"/>
      <c r="C53" s="1474"/>
      <c r="D53" s="151" t="str">
        <f>+'01-FR-03 POA INSTITUCIONAL'!D53</f>
        <v>4.1.5 Desarrollar el 100% de los requerimientos prioritarios a Sistemas de Información y de apoyo que garanticen el óptimo desempeño de la gestión de los procesos en la Entidad</v>
      </c>
      <c r="E53" s="165">
        <f>+'01-FR-03 POA INSTITUCIONAL'!E53</f>
        <v>0.14000000000000001</v>
      </c>
      <c r="F53" s="166">
        <f>+'01-FR-03 POA INSTITUCIONAL'!F53</f>
        <v>1</v>
      </c>
      <c r="G53" s="154" t="str">
        <f>+'01-FR-03 POA INSTITUCIONAL'!G53</f>
        <v>S.I.</v>
      </c>
      <c r="H53" s="167" t="str">
        <f>+'01-FR-03 POA INSTITUCIONAL'!H53</f>
        <v>Cantidad de requerimientos prioritarios desarrollados para los sistemas información</v>
      </c>
      <c r="I53" s="151" t="str">
        <f>+'01-FR-03 POA INSTITUCIONAL'!I53</f>
        <v>Direccionamiento TIC</v>
      </c>
      <c r="J53" s="168" t="str">
        <f>+'01-FR-03 POA INSTITUCIONAL'!J53</f>
        <v>Dirección de Tecnologías de la  Información y las Comunicaciones</v>
      </c>
      <c r="K53" s="169">
        <f>+'01-FR-03 POA INSTITUCIONAL'!K53</f>
        <v>0.3</v>
      </c>
      <c r="L53" s="169">
        <f>+'01-FR-03 POA INSTITUCIONAL'!L53</f>
        <v>0.4</v>
      </c>
      <c r="M53" s="169">
        <f>+'01-FR-03 POA INSTITUCIONAL'!M53</f>
        <v>0.25</v>
      </c>
      <c r="N53" s="169">
        <f>+'01-FR-03 POA INSTITUCIONAL'!N53</f>
        <v>0.05</v>
      </c>
      <c r="O53" s="434">
        <f>+'03-DIRECCIONAMIENTO TIC'!V20</f>
        <v>0.05</v>
      </c>
      <c r="P53" s="434">
        <f>+'03-DIRECCIONAMIENTO TIC'!W20</f>
        <v>0.05</v>
      </c>
      <c r="Q53" s="434">
        <f>+'03-DIRECCIONAMIENTO TIC'!AD20</f>
        <v>0.09</v>
      </c>
      <c r="R53" s="434">
        <f>+'03-DIRECCIONAMIENTO TIC'!AE20</f>
        <v>0.09</v>
      </c>
      <c r="S53" s="434">
        <f>+'03-DIRECCIONAMIENTO TIC'!AL20</f>
        <v>0.09</v>
      </c>
      <c r="T53" s="434">
        <f>+'03-DIRECCIONAMIENTO TIC'!AM20</f>
        <v>0.09</v>
      </c>
      <c r="U53" s="434">
        <f>+'03-DIRECCIONAMIENTO TIC'!AT20</f>
        <v>6.9999999999999993E-2</v>
      </c>
      <c r="V53" s="442">
        <f>+'03-DIRECCIONAMIENTO TIC'!AU20</f>
        <v>0</v>
      </c>
      <c r="W53" s="434">
        <f>+'03-DIRECCIONAMIENTO TIC'!AV20</f>
        <v>0.3</v>
      </c>
      <c r="X53" s="435">
        <f t="shared" si="7"/>
        <v>0.23</v>
      </c>
      <c r="Y53" s="764">
        <f t="shared" si="13"/>
        <v>0.76666666666666672</v>
      </c>
      <c r="Z53" s="434">
        <f t="shared" si="14"/>
        <v>0.23</v>
      </c>
      <c r="AA53" s="434">
        <f t="shared" si="15"/>
        <v>3.2200000000000006E-2</v>
      </c>
      <c r="AB53" s="1156"/>
      <c r="AD53" s="415">
        <f>+'03-DIRECCIONAMIENTO TIC'!BC20</f>
        <v>0.76666666666666672</v>
      </c>
      <c r="AE53" s="417">
        <f t="shared" ref="AE53:AE56" si="18">Y53-AD53</f>
        <v>0</v>
      </c>
      <c r="AG53" s="415">
        <f>+'03-DIRECCIONAMIENTO TIC'!BG20</f>
        <v>0.23</v>
      </c>
      <c r="AH53" s="417">
        <f t="shared" ref="AH53:AH56" si="19">+Z53-AG53</f>
        <v>0</v>
      </c>
    </row>
    <row r="54" spans="2:35" ht="71.25" customHeight="1">
      <c r="B54" s="1470"/>
      <c r="C54" s="1474"/>
      <c r="D54" s="151" t="str">
        <f>+'01-FR-03 POA INSTITUCIONAL'!D54</f>
        <v>4.1.6 Implementar en un 100% las actividades programadas en el plan de uso y apropiación de las TIC, para una óptima gestión institucional</v>
      </c>
      <c r="E54" s="165">
        <f>+'01-FR-03 POA INSTITUCIONAL'!E54</f>
        <v>0.15</v>
      </c>
      <c r="F54" s="166">
        <f>+'01-FR-03 POA INSTITUCIONAL'!F54</f>
        <v>1</v>
      </c>
      <c r="G54" s="154" t="str">
        <f>+'01-FR-03 POA INSTITUCIONAL'!G54</f>
        <v>S.I.</v>
      </c>
      <c r="H54" s="167" t="str">
        <f>+'01-FR-03 POA INSTITUCIONAL'!H54</f>
        <v>Porcentaje de actividades ejecutadas del plan de uso y apropiación</v>
      </c>
      <c r="I54" s="151" t="str">
        <f>+'01-FR-03 POA INSTITUCIONAL'!I54</f>
        <v>Direccionamiento TIC</v>
      </c>
      <c r="J54" s="168" t="str">
        <f>+'01-FR-03 POA INSTITUCIONAL'!J54</f>
        <v>Dirección de Tecnologías de la  Información y las Comunicaciones</v>
      </c>
      <c r="K54" s="169">
        <f>+'01-FR-03 POA INSTITUCIONAL'!K54</f>
        <v>0.3</v>
      </c>
      <c r="L54" s="169">
        <f>+'01-FR-03 POA INSTITUCIONAL'!L54</f>
        <v>0.4</v>
      </c>
      <c r="M54" s="169">
        <f>+'01-FR-03 POA INSTITUCIONAL'!M54</f>
        <v>0.25</v>
      </c>
      <c r="N54" s="169">
        <f>+'01-FR-03 POA INSTITUCIONAL'!N54</f>
        <v>0.05</v>
      </c>
      <c r="O54" s="434">
        <f>+'03-DIRECCIONAMIENTO TIC'!V21</f>
        <v>0.05</v>
      </c>
      <c r="P54" s="434">
        <f>+'03-DIRECCIONAMIENTO TIC'!W21</f>
        <v>0.05</v>
      </c>
      <c r="Q54" s="434">
        <f>+'03-DIRECCIONAMIENTO TIC'!AD21</f>
        <v>0.09</v>
      </c>
      <c r="R54" s="434">
        <f>+'03-DIRECCIONAMIENTO TIC'!AE21</f>
        <v>0.09</v>
      </c>
      <c r="S54" s="434">
        <f>+'03-DIRECCIONAMIENTO TIC'!AL21</f>
        <v>0.09</v>
      </c>
      <c r="T54" s="434">
        <f>+'03-DIRECCIONAMIENTO TIC'!AM21</f>
        <v>0.09</v>
      </c>
      <c r="U54" s="434">
        <f>+'03-DIRECCIONAMIENTO TIC'!AT21</f>
        <v>7.0000000000000007E-2</v>
      </c>
      <c r="V54" s="442">
        <f>+'03-DIRECCIONAMIENTO TIC'!AU21</f>
        <v>0</v>
      </c>
      <c r="W54" s="434">
        <f>+'03-DIRECCIONAMIENTO TIC'!AV21</f>
        <v>0.30000000000000004</v>
      </c>
      <c r="X54" s="435">
        <f t="shared" si="7"/>
        <v>0.23</v>
      </c>
      <c r="Y54" s="764">
        <f t="shared" si="13"/>
        <v>0.76666666666666661</v>
      </c>
      <c r="Z54" s="434">
        <f t="shared" si="14"/>
        <v>0.23</v>
      </c>
      <c r="AA54" s="434">
        <f t="shared" si="15"/>
        <v>3.4500000000000003E-2</v>
      </c>
      <c r="AB54" s="1156"/>
      <c r="AD54" s="415">
        <f>+'03-DIRECCIONAMIENTO TIC'!BC21</f>
        <v>0.76666666666666661</v>
      </c>
      <c r="AE54" s="417">
        <f t="shared" si="18"/>
        <v>0</v>
      </c>
      <c r="AG54" s="415">
        <f>+'03-DIRECCIONAMIENTO TIC'!BG21</f>
        <v>0.23</v>
      </c>
      <c r="AH54" s="417">
        <f t="shared" si="19"/>
        <v>0</v>
      </c>
    </row>
    <row r="55" spans="2:35" ht="87.75" customHeight="1">
      <c r="B55" s="1470"/>
      <c r="C55" s="1473"/>
      <c r="D55" s="151" t="str">
        <f>+'01-FR-03 POA INSTITUCIONAL'!D55</f>
        <v>4.1.7 Optimizar la infraestructura tecnológica cumpliendo el 100% de las actividades de la hoja de ruta proyectada para garantizar la prestación continua de los servicios en la Entidad</v>
      </c>
      <c r="E55" s="165">
        <f>+'01-FR-03 POA INSTITUCIONAL'!E55</f>
        <v>0.15</v>
      </c>
      <c r="F55" s="166">
        <f>+'01-FR-03 POA INSTITUCIONAL'!F55</f>
        <v>1</v>
      </c>
      <c r="G55" s="154" t="str">
        <f>+'01-FR-03 POA INSTITUCIONAL'!G55</f>
        <v>S.I</v>
      </c>
      <c r="H55" s="167" t="str">
        <f>+'01-FR-03 POA INSTITUCIONAL'!H55</f>
        <v>Porcentaje de actividades ejecutadas de la hoja de ruta de optimización tecnológica</v>
      </c>
      <c r="I55" s="151" t="str">
        <f>+'01-FR-03 POA INSTITUCIONAL'!I55</f>
        <v>Direccionamiento TIC</v>
      </c>
      <c r="J55" s="168" t="str">
        <f>+'01-FR-03 POA INSTITUCIONAL'!J55</f>
        <v>Dirección de Tecnologías de la  Información y las Comunicaciones</v>
      </c>
      <c r="K55" s="169">
        <f>+'01-FR-03 POA INSTITUCIONAL'!K55</f>
        <v>0.3</v>
      </c>
      <c r="L55" s="169">
        <f>+'01-FR-03 POA INSTITUCIONAL'!L55</f>
        <v>0.4</v>
      </c>
      <c r="M55" s="169">
        <f>+'01-FR-03 POA INSTITUCIONAL'!M55</f>
        <v>0.25</v>
      </c>
      <c r="N55" s="169">
        <f>+'01-FR-03 POA INSTITUCIONAL'!N55</f>
        <v>0.05</v>
      </c>
      <c r="O55" s="434">
        <f>+'03-DIRECCIONAMIENTO TIC'!V22</f>
        <v>0.06</v>
      </c>
      <c r="P55" s="434">
        <f>+'03-DIRECCIONAMIENTO TIC'!W22</f>
        <v>0.06</v>
      </c>
      <c r="Q55" s="434">
        <f>+'03-DIRECCIONAMIENTO TIC'!AD22</f>
        <v>0.09</v>
      </c>
      <c r="R55" s="434">
        <f>+'03-DIRECCIONAMIENTO TIC'!AE22</f>
        <v>0.09</v>
      </c>
      <c r="S55" s="434">
        <f>+'03-DIRECCIONAMIENTO TIC'!AL22</f>
        <v>0.09</v>
      </c>
      <c r="T55" s="434">
        <f>+'03-DIRECCIONAMIENTO TIC'!AM22</f>
        <v>0.09</v>
      </c>
      <c r="U55" s="434">
        <f>+'03-DIRECCIONAMIENTO TIC'!AT22</f>
        <v>0.06</v>
      </c>
      <c r="V55" s="442">
        <f>+'03-DIRECCIONAMIENTO TIC'!AU22</f>
        <v>0</v>
      </c>
      <c r="W55" s="434">
        <f>+'03-DIRECCIONAMIENTO TIC'!AV22</f>
        <v>0.3</v>
      </c>
      <c r="X55" s="435">
        <f t="shared" si="7"/>
        <v>0.24</v>
      </c>
      <c r="Y55" s="764">
        <f t="shared" si="13"/>
        <v>0.8</v>
      </c>
      <c r="Z55" s="434">
        <f t="shared" si="14"/>
        <v>0.24</v>
      </c>
      <c r="AA55" s="434">
        <f t="shared" si="15"/>
        <v>3.5999999999999997E-2</v>
      </c>
      <c r="AB55" s="1436"/>
      <c r="AD55" s="415">
        <f>+'03-DIRECCIONAMIENTO TIC'!BC22</f>
        <v>0.8</v>
      </c>
      <c r="AE55" s="417">
        <f t="shared" si="18"/>
        <v>0</v>
      </c>
      <c r="AG55" s="415">
        <f>+'03-DIRECCIONAMIENTO TIC'!BG22</f>
        <v>0.24</v>
      </c>
      <c r="AH55" s="417">
        <f t="shared" si="19"/>
        <v>0</v>
      </c>
    </row>
    <row r="56" spans="2:35" ht="105" customHeight="1">
      <c r="B56" s="1470"/>
      <c r="C56" s="1481" t="s">
        <v>143</v>
      </c>
      <c r="D56" s="31" t="str">
        <f>+'01-FR-03 POA INSTITUCIONAL'!D56</f>
        <v>4.2.1 Formular e implementar el 100% de las acciones para la Sostenibilidad y mejora del Sistema de Gestión de la Calidad 
-SGC- (Meta Transversal)</v>
      </c>
      <c r="E56" s="52">
        <f>+'01-FR-03 POA INSTITUCIONAL'!E56</f>
        <v>0.2</v>
      </c>
      <c r="F56" s="32">
        <f>+'01-FR-03 POA INSTITUCIONAL'!F56</f>
        <v>1</v>
      </c>
      <c r="G56" s="176">
        <f>+'01-FR-03 POA INSTITUCIONAL'!G56</f>
        <v>1</v>
      </c>
      <c r="H56" s="141" t="str">
        <f>+'01-FR-03 POA INSTITUCIONAL'!H56</f>
        <v xml:space="preserve">Porcentaje de acciones implementadas para la sostenibilidad y mejora del SGC </v>
      </c>
      <c r="I56" s="142" t="str">
        <f>+'01-FR-03 POA INSTITUCIONAL'!I56</f>
        <v>Direccionamiento Estratégico</v>
      </c>
      <c r="J56" s="143" t="str">
        <f>+'01-FR-03 POA INSTITUCIONAL'!J56</f>
        <v>Dirección de Planeación
Aportan: Dependencias lideradas por  Responsables de procesos y operativos de todos los procesos institucionales</v>
      </c>
      <c r="K56" s="145">
        <f>+'01-FR-03 POA INSTITUCIONAL'!K56</f>
        <v>1</v>
      </c>
      <c r="L56" s="145">
        <f>+'01-FR-03 POA INSTITUCIONAL'!L56</f>
        <v>1</v>
      </c>
      <c r="M56" s="145">
        <f>+'01-FR-03 POA INSTITUCIONAL'!M56</f>
        <v>1</v>
      </c>
      <c r="N56" s="145">
        <f>+'01-FR-03 POA INSTITUCIONAL'!N56</f>
        <v>1</v>
      </c>
      <c r="O56" s="438">
        <f>+'01-DIRECCIONAMIENTO ESTRATÉGICO'!V16</f>
        <v>0.2</v>
      </c>
      <c r="P56" s="704">
        <f>+'01-DIRECCIONAMIENTO ESTRATÉGICO'!W16</f>
        <v>0.2</v>
      </c>
      <c r="Q56" s="438">
        <f>+'01-DIRECCIONAMIENTO ESTRATÉGICO'!AD16</f>
        <v>0.22000000000000003</v>
      </c>
      <c r="R56" s="704">
        <f>+'01-DIRECCIONAMIENTO ESTRATÉGICO'!AE16</f>
        <v>0.18482662638903868</v>
      </c>
      <c r="S56" s="438">
        <f>+'01-DIRECCIONAMIENTO ESTRATÉGICO'!AL16</f>
        <v>0.29000000000000004</v>
      </c>
      <c r="T56" s="438">
        <f>+'01-DIRECCIONAMIENTO ESTRATÉGICO'!AM16</f>
        <v>0.31566361788617886</v>
      </c>
      <c r="U56" s="438">
        <f>+'01-DIRECCIONAMIENTO ESTRATÉGICO'!AT16</f>
        <v>0.29000000000000004</v>
      </c>
      <c r="V56" s="444">
        <f>+'01-DIRECCIONAMIENTO ESTRATÉGICO'!AU16</f>
        <v>0</v>
      </c>
      <c r="W56" s="438">
        <f>+'01-DIRECCIONAMIENTO ESTRATÉGICO'!AV16</f>
        <v>1</v>
      </c>
      <c r="X56" s="472">
        <f t="shared" si="7"/>
        <v>0.70049024427521756</v>
      </c>
      <c r="Y56" s="761">
        <f t="shared" si="13"/>
        <v>0.70049024427521756</v>
      </c>
      <c r="Z56" s="411">
        <f>(IF(AND(X56&gt;0,$F56&gt;0),X56/$F56,0)/4)</f>
        <v>0.17512256106880439</v>
      </c>
      <c r="AA56" s="418">
        <f t="shared" si="15"/>
        <v>3.5024512213760878E-2</v>
      </c>
      <c r="AB56" s="1216">
        <f>SUM(AA56:AA61)</f>
        <v>0.24493721062645929</v>
      </c>
      <c r="AD56" s="415">
        <f>+'01-DIRECCIONAMIENTO ESTRATÉGICO'!BC16</f>
        <v>0.70049024427521756</v>
      </c>
      <c r="AE56" s="417">
        <f t="shared" si="18"/>
        <v>0</v>
      </c>
      <c r="AG56" s="415">
        <f>+'01-DIRECCIONAMIENTO ESTRATÉGICO'!BG16</f>
        <v>0.17512256106880439</v>
      </c>
      <c r="AH56" s="417">
        <f t="shared" si="19"/>
        <v>0</v>
      </c>
    </row>
    <row r="57" spans="2:35" ht="96" customHeight="1">
      <c r="B57" s="1470"/>
      <c r="C57" s="1483"/>
      <c r="D57" s="31" t="str">
        <f>+'01-FR-03 POA INSTITUCIONAL'!D57</f>
        <v>4.2.2 Implementar el 40% de las actividades requeridas para la sostenibilidad y mejora del MIPG, de acuerdo con la metodología establecida por la Función Pública. (Meta Transversal)</v>
      </c>
      <c r="E57" s="52">
        <f>+'01-FR-03 POA INSTITUCIONAL'!E57</f>
        <v>0.2</v>
      </c>
      <c r="F57" s="32">
        <f>+'01-FR-03 POA INSTITUCIONAL'!F57</f>
        <v>0.4</v>
      </c>
      <c r="G57" s="176">
        <f>+'01-FR-03 POA INSTITUCIONAL'!G57</f>
        <v>0.6</v>
      </c>
      <c r="H57" s="141" t="str">
        <f>+'01-FR-03 POA INSTITUCIONAL'!H57</f>
        <v>Porcentaje de actividades implementadas para la sostenibilidad  y mejora del MIPG</v>
      </c>
      <c r="I57" s="142" t="str">
        <f>+'01-FR-03 POA INSTITUCIONAL'!I57</f>
        <v>Direccionamiento Estratégico</v>
      </c>
      <c r="J57" s="143" t="str">
        <f>+'01-FR-03 POA INSTITUCIONAL'!J57</f>
        <v>Dirección de Planeación
Aportan: Dependencias lideradas por  Responsables de procesos y operativos de todos los procesos institucionales</v>
      </c>
      <c r="K57" s="145">
        <f>+'01-FR-03 POA INSTITUCIONAL'!K57</f>
        <v>0.22</v>
      </c>
      <c r="L57" s="145">
        <f>+'01-FR-03 POA INSTITUCIONAL'!L57</f>
        <v>0.14000000000000001</v>
      </c>
      <c r="M57" s="145">
        <f>+'01-FR-03 POA INSTITUCIONAL'!M57</f>
        <v>0.02</v>
      </c>
      <c r="N57" s="145">
        <f>+'01-FR-03 POA INSTITUCIONAL'!N57</f>
        <v>0.02</v>
      </c>
      <c r="O57" s="438">
        <f>+'01-DIRECCIONAMIENTO ESTRATÉGICO'!V17</f>
        <v>0.03</v>
      </c>
      <c r="P57" s="438">
        <f>+'01-DIRECCIONAMIENTO ESTRATÉGICO'!W17</f>
        <v>0.03</v>
      </c>
      <c r="Q57" s="438">
        <f>+'01-DIRECCIONAMIENTO ESTRATÉGICO'!AD17</f>
        <v>0.04</v>
      </c>
      <c r="R57" s="438">
        <f>+'01-DIRECCIONAMIENTO ESTRATÉGICO'!AE17</f>
        <v>0.01</v>
      </c>
      <c r="S57" s="438">
        <f>+'01-DIRECCIONAMIENTO ESTRATÉGICO'!AL17</f>
        <v>7.0000000000000007E-2</v>
      </c>
      <c r="T57" s="438">
        <f>+'01-DIRECCIONAMIENTO ESTRATÉGICO'!AM17</f>
        <v>7.0000000000000007E-2</v>
      </c>
      <c r="U57" s="438">
        <f>+'01-DIRECCIONAMIENTO ESTRATÉGICO'!AT17</f>
        <v>0.08</v>
      </c>
      <c r="V57" s="444">
        <f>+'01-DIRECCIONAMIENTO ESTRATÉGICO'!AU17</f>
        <v>0</v>
      </c>
      <c r="W57" s="438">
        <f>+'01-DIRECCIONAMIENTO ESTRATÉGICO'!AV17</f>
        <v>0.22000000000000003</v>
      </c>
      <c r="X57" s="439">
        <f t="shared" si="7"/>
        <v>0.11000000000000001</v>
      </c>
      <c r="Y57" s="762">
        <f t="shared" si="13"/>
        <v>0.5</v>
      </c>
      <c r="Z57" s="411">
        <f t="shared" si="14"/>
        <v>0.27500000000000002</v>
      </c>
      <c r="AA57" s="418">
        <f t="shared" si="15"/>
        <v>5.5000000000000007E-2</v>
      </c>
      <c r="AB57" s="1437"/>
      <c r="AD57" s="415">
        <f>+'01-DIRECCIONAMIENTO ESTRATÉGICO'!BC17</f>
        <v>0.5</v>
      </c>
      <c r="AE57" s="417">
        <f t="shared" ref="AE57:AE62" si="20">Y57-AD57</f>
        <v>0</v>
      </c>
      <c r="AG57" s="415">
        <f>+'01-DIRECCIONAMIENTO ESTRATÉGICO'!BG17</f>
        <v>0.27500000000000002</v>
      </c>
      <c r="AH57" s="417">
        <f t="shared" ref="AH57:AH62" si="21">+Z57-AG57</f>
        <v>0</v>
      </c>
    </row>
    <row r="58" spans="2:35" ht="74.25" customHeight="1">
      <c r="B58" s="1470"/>
      <c r="C58" s="1483"/>
      <c r="D58" s="31" t="str">
        <f>+'01-FR-03 POA INSTITUCIONAL'!D58</f>
        <v>4.2.3 Implementar el 100% de los requisitos del Sistema de Gestión Ambiental –SGA-, bajo los estándares de la norma ISO 14001</v>
      </c>
      <c r="E58" s="52">
        <f>+'01-FR-03 POA INSTITUCIONAL'!E58</f>
        <v>0.15</v>
      </c>
      <c r="F58" s="32">
        <f>+'01-FR-03 POA INSTITUCIONAL'!F58</f>
        <v>1</v>
      </c>
      <c r="G58" s="176" t="str">
        <f>+'01-FR-03 POA INSTITUCIONAL'!G58</f>
        <v>S.I.</v>
      </c>
      <c r="H58" s="141" t="str">
        <f>+'01-FR-03 POA INSTITUCIONAL'!H58</f>
        <v xml:space="preserve">Porcentaje de requisitos del  SGA implementados bajo los estándares de la norma ISO 14001 </v>
      </c>
      <c r="I58" s="142" t="str">
        <f>+'01-FR-03 POA INSTITUCIONAL'!I58</f>
        <v>Direccionamiento Estratégico</v>
      </c>
      <c r="J58" s="143" t="str">
        <f>+'01-FR-03 POA INSTITUCIONAL'!J58</f>
        <v>Dirección de Planeación</v>
      </c>
      <c r="K58" s="145">
        <f>+'01-FR-03 POA INSTITUCIONAL'!K58</f>
        <v>0.38</v>
      </c>
      <c r="L58" s="145">
        <f>+'01-FR-03 POA INSTITUCIONAL'!L58</f>
        <v>0.33</v>
      </c>
      <c r="M58" s="145">
        <f>+'01-FR-03 POA INSTITUCIONAL'!M58</f>
        <v>0.28999999999999998</v>
      </c>
      <c r="N58" s="145">
        <f>+'01-FR-03 POA INSTITUCIONAL'!N58</f>
        <v>0</v>
      </c>
      <c r="O58" s="438">
        <f>+'01-DIRECCIONAMIENTO ESTRATÉGICO'!V18</f>
        <v>0.09</v>
      </c>
      <c r="P58" s="438">
        <f>+'01-DIRECCIONAMIENTO ESTRATÉGICO'!W18</f>
        <v>0.09</v>
      </c>
      <c r="Q58" s="438">
        <f>+'01-DIRECCIONAMIENTO ESTRATÉGICO'!AD18</f>
        <v>0.09</v>
      </c>
      <c r="R58" s="438">
        <f>+'01-DIRECCIONAMIENTO ESTRATÉGICO'!AE18</f>
        <v>0.09</v>
      </c>
      <c r="S58" s="438">
        <f>+'01-DIRECCIONAMIENTO ESTRATÉGICO'!AL18</f>
        <v>0.11</v>
      </c>
      <c r="T58" s="438">
        <f>+'01-DIRECCIONAMIENTO ESTRATÉGICO'!AM18</f>
        <v>0.11</v>
      </c>
      <c r="U58" s="438">
        <f>+'01-DIRECCIONAMIENTO ESTRATÉGICO'!AT18</f>
        <v>0.09</v>
      </c>
      <c r="V58" s="444">
        <f>+'01-DIRECCIONAMIENTO ESTRATÉGICO'!AU18</f>
        <v>0</v>
      </c>
      <c r="W58" s="438">
        <f>+'01-DIRECCIONAMIENTO ESTRATÉGICO'!AV18</f>
        <v>0.38</v>
      </c>
      <c r="X58" s="439">
        <f t="shared" si="7"/>
        <v>0.28999999999999998</v>
      </c>
      <c r="Y58" s="762">
        <f t="shared" si="13"/>
        <v>0.76315789473684204</v>
      </c>
      <c r="Z58" s="411">
        <f t="shared" si="14"/>
        <v>0.28999999999999998</v>
      </c>
      <c r="AA58" s="418">
        <f t="shared" si="15"/>
        <v>4.3499999999999997E-2</v>
      </c>
      <c r="AB58" s="1437"/>
      <c r="AD58" s="415">
        <f>+'01-DIRECCIONAMIENTO ESTRATÉGICO'!BC18</f>
        <v>0.76315789473684204</v>
      </c>
      <c r="AE58" s="417">
        <f t="shared" si="20"/>
        <v>0</v>
      </c>
      <c r="AG58" s="415">
        <f>+'01-DIRECCIONAMIENTO ESTRATÉGICO'!BG18</f>
        <v>0.28999999999999998</v>
      </c>
      <c r="AH58" s="417">
        <f t="shared" si="21"/>
        <v>0</v>
      </c>
    </row>
    <row r="59" spans="2:35" ht="63" customHeight="1">
      <c r="B59" s="1470"/>
      <c r="C59" s="1483"/>
      <c r="D59" s="31" t="str">
        <f>+'01-FR-03 POA INSTITUCIONAL'!D59</f>
        <v>4.2.4 Realizar 12 acciones de monitoreo y revisión  al Plan Anticorrupción y de Atención al Ciudadano -PAAC- de la vigencia.</v>
      </c>
      <c r="E59" s="52">
        <f>+'01-FR-03 POA INSTITUCIONAL'!E59</f>
        <v>0.1</v>
      </c>
      <c r="F59" s="139">
        <f>+'01-FR-03 POA INSTITUCIONAL'!F59</f>
        <v>12</v>
      </c>
      <c r="G59" s="1041" t="str">
        <f>+'01-FR-03 POA INSTITUCIONAL'!G59</f>
        <v>3 
(En el último año)</v>
      </c>
      <c r="H59" s="141" t="str">
        <f>+'01-FR-03 POA INSTITUCIONAL'!H59</f>
        <v>Acciones de monitoreo y revisión realizadas al PAAC</v>
      </c>
      <c r="I59" s="142" t="str">
        <f>+'01-FR-03 POA INSTITUCIONAL'!I59</f>
        <v>Direccionamiento Estratégico</v>
      </c>
      <c r="J59" s="143" t="str">
        <f>+'01-FR-03 POA INSTITUCIONAL'!J59</f>
        <v>Dirección de Planeación</v>
      </c>
      <c r="K59" s="144">
        <f>+'01-FR-03 POA INSTITUCIONAL'!K59</f>
        <v>3</v>
      </c>
      <c r="L59" s="144">
        <f>+'01-FR-03 POA INSTITUCIONAL'!L59</f>
        <v>3</v>
      </c>
      <c r="M59" s="144">
        <f>+'01-FR-03 POA INSTITUCIONAL'!M59</f>
        <v>3</v>
      </c>
      <c r="N59" s="144">
        <f>+'01-FR-03 POA INSTITUCIONAL'!N59</f>
        <v>3</v>
      </c>
      <c r="O59" s="175">
        <f>+'01-DIRECCIONAMIENTO ESTRATÉGICO'!V19</f>
        <v>1</v>
      </c>
      <c r="P59" s="175">
        <f>+'01-DIRECCIONAMIENTO ESTRATÉGICO'!W19</f>
        <v>1</v>
      </c>
      <c r="Q59" s="174">
        <f>+'01-DIRECCIONAMIENTO ESTRATÉGICO'!AD19</f>
        <v>0</v>
      </c>
      <c r="R59" s="174">
        <f>+'01-DIRECCIONAMIENTO ESTRATÉGICO'!AE19</f>
        <v>0</v>
      </c>
      <c r="S59" s="174">
        <f>+'01-DIRECCIONAMIENTO ESTRATÉGICO'!AL19</f>
        <v>1</v>
      </c>
      <c r="T59" s="174">
        <f>+'01-DIRECCIONAMIENTO ESTRATÉGICO'!AM19</f>
        <v>1</v>
      </c>
      <c r="U59" s="174">
        <f>+'01-DIRECCIONAMIENTO ESTRATÉGICO'!AT19</f>
        <v>1</v>
      </c>
      <c r="V59" s="445">
        <f>+'01-DIRECCIONAMIENTO ESTRATÉGICO'!AU19</f>
        <v>0</v>
      </c>
      <c r="W59" s="174">
        <f>+'01-DIRECCIONAMIENTO ESTRATÉGICO'!AV19</f>
        <v>3</v>
      </c>
      <c r="X59" s="428">
        <f t="shared" ref="X59:X61" si="22">+P59+R59+T59+V59</f>
        <v>2</v>
      </c>
      <c r="Y59" s="762">
        <f t="shared" si="13"/>
        <v>0.66666666666666663</v>
      </c>
      <c r="Z59" s="411">
        <f t="shared" si="14"/>
        <v>0.16666666666666666</v>
      </c>
      <c r="AA59" s="418">
        <f t="shared" si="15"/>
        <v>1.6666666666666666E-2</v>
      </c>
      <c r="AB59" s="1437"/>
      <c r="AD59" s="415">
        <f>+'01-DIRECCIONAMIENTO ESTRATÉGICO'!BC19</f>
        <v>0.66666666666666663</v>
      </c>
      <c r="AE59" s="417">
        <f t="shared" si="20"/>
        <v>0</v>
      </c>
      <c r="AG59" s="415">
        <f>+'01-DIRECCIONAMIENTO ESTRATÉGICO'!BG19</f>
        <v>0.16666666666666666</v>
      </c>
      <c r="AH59" s="417">
        <f t="shared" si="21"/>
        <v>0</v>
      </c>
    </row>
    <row r="60" spans="2:35" ht="63" customHeight="1">
      <c r="B60" s="1470"/>
      <c r="C60" s="1483"/>
      <c r="D60" s="31" t="str">
        <f>+'01-FR-03 POA INSTITUCIONAL'!D60</f>
        <v>4.2.5 Incrementar al 90% la percepción de los usuarios que califican como excelente y bueno el servicio en la Personería de Bogotá</v>
      </c>
      <c r="E60" s="52">
        <f>+'01-FR-03 POA INSTITUCIONAL'!E60</f>
        <v>0.2</v>
      </c>
      <c r="F60" s="32">
        <f>+'01-FR-03 POA INSTITUCIONAL'!F60</f>
        <v>0.9</v>
      </c>
      <c r="G60" s="176">
        <f>+'01-FR-03 POA INSTITUCIONAL'!G60</f>
        <v>0.86</v>
      </c>
      <c r="H60" s="141" t="str">
        <f>+'01-FR-03 POA INSTITUCIONAL'!H60</f>
        <v>Porcentaje de Percepción de los usuarios en calificación excelente y bueno incrementado</v>
      </c>
      <c r="I60" s="142" t="str">
        <f>+'01-FR-03 POA INSTITUCIONAL'!I60</f>
        <v>Servicio al Usuario</v>
      </c>
      <c r="J60" s="143" t="str">
        <f>+'01-FR-03 POA INSTITUCIONAL'!J60</f>
        <v>Secretaría General</v>
      </c>
      <c r="K60" s="145">
        <f>+'01-FR-03 POA INSTITUCIONAL'!K60</f>
        <v>0.9</v>
      </c>
      <c r="L60" s="145">
        <f>+'01-FR-03 POA INSTITUCIONAL'!L60</f>
        <v>0.9</v>
      </c>
      <c r="M60" s="145">
        <f>+'01-FR-03 POA INSTITUCIONAL'!M60</f>
        <v>0.9</v>
      </c>
      <c r="N60" s="145">
        <f>+'01-FR-03 POA INSTITUCIONAL'!N60</f>
        <v>0.9</v>
      </c>
      <c r="O60" s="477">
        <f>+'14-SERVICIO AL USUARIO'!V16</f>
        <v>0.9</v>
      </c>
      <c r="P60" s="478">
        <f>+'14-SERVICIO AL USUARIO'!W16</f>
        <v>0.79800000000000004</v>
      </c>
      <c r="Q60" s="477">
        <f>+'14-SERVICIO AL USUARIO'!AD16</f>
        <v>0</v>
      </c>
      <c r="R60" s="477">
        <f>+'14-SERVICIO AL USUARIO'!AE16</f>
        <v>0</v>
      </c>
      <c r="S60" s="477">
        <f>+'14-SERVICIO AL USUARIO'!AL16</f>
        <v>0.9</v>
      </c>
      <c r="T60" s="477">
        <f>+'14-SERVICIO AL USUARIO'!AM16</f>
        <v>0.93400000000000005</v>
      </c>
      <c r="U60" s="477">
        <f>+'14-SERVICIO AL USUARIO'!AT16</f>
        <v>0</v>
      </c>
      <c r="V60" s="479">
        <f>+'14-SERVICIO AL USUARIO'!AU16</f>
        <v>0</v>
      </c>
      <c r="W60" s="477">
        <f>+'14-SERVICIO AL USUARIO'!AV16</f>
        <v>0.9</v>
      </c>
      <c r="X60" s="454">
        <f>IFERROR(IF(OR($W$60="",$W$60=0),0,ROUNDDOWN(AVERAGE($T60),3)),0)</f>
        <v>0.93400000000000005</v>
      </c>
      <c r="Y60" s="766">
        <f>IF(AND(X60&gt;0,$W60&gt;0),X60/$W60,0)*1</f>
        <v>1.0377777777777779</v>
      </c>
      <c r="Z60" s="454">
        <f>(IF(AND(X60&gt;0,$F60&gt;0),X60/$F60,0)/4)</f>
        <v>0.25944444444444448</v>
      </c>
      <c r="AA60" s="480">
        <f t="shared" si="15"/>
        <v>5.1888888888888901E-2</v>
      </c>
      <c r="AB60" s="1437"/>
      <c r="AD60" s="468">
        <f>+'14-SERVICIO AL USUARIO'!BC16</f>
        <v>1.0377777777777779</v>
      </c>
      <c r="AE60" s="469">
        <f t="shared" si="20"/>
        <v>0</v>
      </c>
      <c r="AF60" s="470"/>
      <c r="AG60" s="468">
        <f>+'14-SERVICIO AL USUARIO'!BG16</f>
        <v>0.25944444444444448</v>
      </c>
      <c r="AH60" s="469">
        <f t="shared" si="21"/>
        <v>0</v>
      </c>
    </row>
    <row r="61" spans="2:35" ht="70.5" customHeight="1">
      <c r="B61" s="1470"/>
      <c r="C61" s="1482"/>
      <c r="D61" s="31" t="str">
        <f>+'01-FR-03 POA INSTITUCIONAL'!D61</f>
        <v xml:space="preserve">4.2.6 Implementar 7 lineamientos en compromiso con la calidad para satisfacer las necesidades y expectativas de los (as) usuarios(as) y partes interesadas </v>
      </c>
      <c r="E61" s="52">
        <f>+'01-FR-03 POA INSTITUCIONAL'!E61</f>
        <v>0.15</v>
      </c>
      <c r="F61" s="139">
        <f>+'01-FR-03 POA INSTITUCIONAL'!F61</f>
        <v>7</v>
      </c>
      <c r="G61" s="1041">
        <f>+'01-FR-03 POA INSTITUCIONAL'!G61</f>
        <v>3</v>
      </c>
      <c r="H61" s="141" t="str">
        <f>+'01-FR-03 POA INSTITUCIONAL'!H61</f>
        <v>Lineamientos implementados</v>
      </c>
      <c r="I61" s="142" t="str">
        <f>+'01-FR-03 POA INSTITUCIONAL'!I61</f>
        <v>Servicio al Usuario</v>
      </c>
      <c r="J61" s="143" t="str">
        <f>+'01-FR-03 POA INSTITUCIONAL'!J61</f>
        <v>Secretaría General</v>
      </c>
      <c r="K61" s="144">
        <f>+'01-FR-03 POA INSTITUCIONAL'!K61</f>
        <v>2</v>
      </c>
      <c r="L61" s="144">
        <f>+'01-FR-03 POA INSTITUCIONAL'!L61</f>
        <v>3</v>
      </c>
      <c r="M61" s="144">
        <f>+'01-FR-03 POA INSTITUCIONAL'!M61</f>
        <v>1</v>
      </c>
      <c r="N61" s="144">
        <f>+'01-FR-03 POA INSTITUCIONAL'!N61</f>
        <v>1</v>
      </c>
      <c r="O61" s="481">
        <f>+'14-SERVICIO AL USUARIO'!V17</f>
        <v>1</v>
      </c>
      <c r="P61" s="481">
        <f>+'14-SERVICIO AL USUARIO'!W17</f>
        <v>1</v>
      </c>
      <c r="Q61" s="481">
        <f>+'14-SERVICIO AL USUARIO'!AD17</f>
        <v>1</v>
      </c>
      <c r="R61" s="481">
        <f>+'14-SERVICIO AL USUARIO'!AE17</f>
        <v>1</v>
      </c>
      <c r="S61" s="481">
        <f>+'14-SERVICIO AL USUARIO'!AL17</f>
        <v>0</v>
      </c>
      <c r="T61" s="481">
        <f>+'14-SERVICIO AL USUARIO'!AM17</f>
        <v>0</v>
      </c>
      <c r="U61" s="481">
        <f>+'14-SERVICIO AL USUARIO'!AT17</f>
        <v>0</v>
      </c>
      <c r="V61" s="482">
        <f>+'14-SERVICIO AL USUARIO'!AU17</f>
        <v>0</v>
      </c>
      <c r="W61" s="481">
        <f>+'14-SERVICIO AL USUARIO'!AV17</f>
        <v>2</v>
      </c>
      <c r="X61" s="483">
        <f t="shared" si="22"/>
        <v>2</v>
      </c>
      <c r="Y61" s="766">
        <f t="shared" si="13"/>
        <v>1</v>
      </c>
      <c r="Z61" s="454">
        <f>IF(AND(X61&gt;0,$F61&gt;0),X61/$F61,0)</f>
        <v>0.2857142857142857</v>
      </c>
      <c r="AA61" s="480">
        <f t="shared" si="15"/>
        <v>4.2857142857142851E-2</v>
      </c>
      <c r="AB61" s="1438"/>
      <c r="AD61" s="468">
        <f>+'14-SERVICIO AL USUARIO'!BC17</f>
        <v>1</v>
      </c>
      <c r="AE61" s="469">
        <f t="shared" si="20"/>
        <v>0</v>
      </c>
      <c r="AF61" s="470"/>
      <c r="AG61" s="468">
        <f>+'14-SERVICIO AL USUARIO'!BG17</f>
        <v>0.2857142857142857</v>
      </c>
      <c r="AH61" s="469">
        <f t="shared" si="21"/>
        <v>0</v>
      </c>
      <c r="AI61" s="1021"/>
    </row>
    <row r="62" spans="2:35" ht="60" customHeight="1">
      <c r="B62" s="1470"/>
      <c r="C62" s="1472" t="s">
        <v>144</v>
      </c>
      <c r="D62" s="151" t="str">
        <f>+'01-FR-03 POA INSTITUCIONAL'!D62</f>
        <v xml:space="preserve">4.3.1 Gestionar el 100% de las novedades y situaciones administrativas de los servidores públicos de la Entidad.
</v>
      </c>
      <c r="E62" s="165">
        <f>+'01-FR-03 POA INSTITUCIONAL'!E62</f>
        <v>0.1</v>
      </c>
      <c r="F62" s="166">
        <f>+'01-FR-03 POA INSTITUCIONAL'!F62</f>
        <v>1</v>
      </c>
      <c r="G62" s="154">
        <f>+'01-FR-03 POA INSTITUCIONAL'!G62</f>
        <v>1</v>
      </c>
      <c r="H62" s="167" t="str">
        <f>+'01-FR-03 POA INSTITUCIONAL'!H62</f>
        <v>Porcentaje de novedades y situaciones administrativas gestionadas</v>
      </c>
      <c r="I62" s="151" t="str">
        <f>+'01-FR-03 POA INSTITUCIONAL'!I62</f>
        <v>Gestión del Talento Humano</v>
      </c>
      <c r="J62" s="168" t="str">
        <f>+'01-FR-03 POA INSTITUCIONAL'!J62</f>
        <v xml:space="preserve">
Dirección de Talento Humano
</v>
      </c>
      <c r="K62" s="169">
        <f>+'01-FR-03 POA INSTITUCIONAL'!K62</f>
        <v>1</v>
      </c>
      <c r="L62" s="169">
        <f>+'01-FR-03 POA INSTITUCIONAL'!L62</f>
        <v>1</v>
      </c>
      <c r="M62" s="169">
        <f>+'01-FR-03 POA INSTITUCIONAL'!M62</f>
        <v>1</v>
      </c>
      <c r="N62" s="169">
        <f>+'01-FR-03 POA INSTITUCIONAL'!N62</f>
        <v>1</v>
      </c>
      <c r="O62" s="443">
        <f>+'08-G. DEL TALENTO HUMANO'!V16</f>
        <v>1</v>
      </c>
      <c r="P62" s="443">
        <f>+'08-G. DEL TALENTO HUMANO'!W16</f>
        <v>1</v>
      </c>
      <c r="Q62" s="183">
        <f>+'08-G. DEL TALENTO HUMANO'!AD16</f>
        <v>1</v>
      </c>
      <c r="R62" s="443">
        <f>+'08-G. DEL TALENTO HUMANO'!AE16</f>
        <v>1</v>
      </c>
      <c r="S62" s="183">
        <f>+'08-G. DEL TALENTO HUMANO'!AL16</f>
        <v>1</v>
      </c>
      <c r="T62" s="183">
        <f>'08-G. DEL TALENTO HUMANO'!AM16</f>
        <v>1</v>
      </c>
      <c r="U62" s="183">
        <f>+'08-G. DEL TALENTO HUMANO'!AT16</f>
        <v>1</v>
      </c>
      <c r="V62" s="183"/>
      <c r="W62" s="183">
        <f>+'08-G. DEL TALENTO HUMANO'!AV16</f>
        <v>1</v>
      </c>
      <c r="X62" s="423">
        <f>IFERROR(IF(OR($W$62="",$W$62=0),0,ROUNDDOWN(AVERAGE($P62,R62,T62,V62),3)),0)</f>
        <v>1</v>
      </c>
      <c r="Y62" s="768">
        <f>IF(AND(X62&gt;0,$W62&gt;0),X62/$W62,0)*0.75</f>
        <v>0.75</v>
      </c>
      <c r="Z62" s="447">
        <f>(IF(AND(X62&gt;0,$F62&gt;0),X62/$F62,0)/4)*0.75</f>
        <v>0.1875</v>
      </c>
      <c r="AA62" s="447">
        <f t="shared" si="15"/>
        <v>1.8750000000000003E-2</v>
      </c>
      <c r="AB62" s="1439">
        <f>SUM(AA62:AA69)</f>
        <v>0.17406864261168384</v>
      </c>
      <c r="AD62" s="415">
        <f>+'08-G. DEL TALENTO HUMANO'!BC16</f>
        <v>0.75</v>
      </c>
      <c r="AE62" s="417">
        <f t="shared" si="20"/>
        <v>0</v>
      </c>
      <c r="AG62" s="415">
        <f>+'08-G. DEL TALENTO HUMANO'!BG16</f>
        <v>0.1875</v>
      </c>
      <c r="AH62" s="417">
        <f t="shared" si="21"/>
        <v>0</v>
      </c>
    </row>
    <row r="63" spans="2:35" ht="88.5" customHeight="1">
      <c r="B63" s="1470"/>
      <c r="C63" s="1474"/>
      <c r="D63" s="151" t="str">
        <f>+'01-FR-03 POA INSTITUCIONAL'!D63</f>
        <v xml:space="preserve">4.3.2 Incluir el 97% de las Novedades en la nómina oportunamente, para liquidación y pago </v>
      </c>
      <c r="E63" s="165">
        <f>+'01-FR-03 POA INSTITUCIONAL'!E63</f>
        <v>0.1</v>
      </c>
      <c r="F63" s="166">
        <f>+'01-FR-03 POA INSTITUCIONAL'!F63</f>
        <v>0.97</v>
      </c>
      <c r="G63" s="154">
        <f>+'01-FR-03 POA INSTITUCIONAL'!G63</f>
        <v>0.97</v>
      </c>
      <c r="H63" s="167" t="str">
        <f>+'01-FR-03 POA INSTITUCIONAL'!H63</f>
        <v xml:space="preserve">Novedades incluidas en la nómina  oportunamente  </v>
      </c>
      <c r="I63" s="151" t="str">
        <f>+'01-FR-03 POA INSTITUCIONAL'!I63</f>
        <v>Gestión del Talento Humano</v>
      </c>
      <c r="J63" s="168" t="str">
        <f>+'01-FR-03 POA INSTITUCIONAL'!J63</f>
        <v>Dependencia Líder: 
Dirección de Talento Humano
Dependencia Operativa:
Subdirección de Gestión del Talento Humano</v>
      </c>
      <c r="K63" s="169">
        <f>+'01-FR-03 POA INSTITUCIONAL'!K63</f>
        <v>0.97</v>
      </c>
      <c r="L63" s="169">
        <f>+'01-FR-03 POA INSTITUCIONAL'!L63</f>
        <v>0.97</v>
      </c>
      <c r="M63" s="169">
        <f>+'01-FR-03 POA INSTITUCIONAL'!M63</f>
        <v>0.97</v>
      </c>
      <c r="N63" s="169">
        <f>+'01-FR-03 POA INSTITUCIONAL'!N63</f>
        <v>0.97</v>
      </c>
      <c r="O63" s="443">
        <f>+'08-G. DEL TALENTO HUMANO'!V17</f>
        <v>0.97000000000000008</v>
      </c>
      <c r="P63" s="443">
        <f>+'08-G. DEL TALENTO HUMANO'!W17</f>
        <v>0.99400000000000011</v>
      </c>
      <c r="Q63" s="183">
        <f>+'08-G. DEL TALENTO HUMANO'!AD17</f>
        <v>0.97000000000000008</v>
      </c>
      <c r="R63" s="443">
        <f>+'08-G. DEL TALENTO HUMANO'!AE17</f>
        <v>0.97033333333333316</v>
      </c>
      <c r="S63" s="183">
        <f>+'08-G. DEL TALENTO HUMANO'!AL17</f>
        <v>0.97000000000000008</v>
      </c>
      <c r="T63" s="443">
        <f>'08-G. DEL TALENTO HUMANO'!AM17</f>
        <v>0.96833333333333327</v>
      </c>
      <c r="U63" s="183">
        <f>+'08-G. DEL TALENTO HUMANO'!AT17</f>
        <v>0.97000000000000008</v>
      </c>
      <c r="V63" s="183"/>
      <c r="W63" s="183">
        <f>+'08-G. DEL TALENTO HUMANO'!AV17</f>
        <v>0.97000000000000008</v>
      </c>
      <c r="X63" s="423">
        <f>IFERROR(IF(OR($W$63="",$W$63=0),0,ROUNDDOWN(AVERAGE($P63,R63,T63,V63),3)),0)</f>
        <v>0.97699999999999998</v>
      </c>
      <c r="Y63" s="768">
        <f>IF(AND(X63&gt;0,$W63&gt;0),X63/$W63,0)*0.75</f>
        <v>0.7554123711340206</v>
      </c>
      <c r="Z63" s="447">
        <f>(IF(AND(X63&gt;0,$F63&gt;0),X63/$F63,0)/4)*0.75</f>
        <v>0.18885309278350515</v>
      </c>
      <c r="AA63" s="447">
        <f t="shared" si="15"/>
        <v>1.8885309278350516E-2</v>
      </c>
      <c r="AB63" s="1440"/>
      <c r="AD63" s="415">
        <f>+'08-G. DEL TALENTO HUMANO'!BC17</f>
        <v>0.7554123711340206</v>
      </c>
      <c r="AE63" s="417">
        <f t="shared" ref="AE63:AE72" si="23">Y63-AD63</f>
        <v>0</v>
      </c>
      <c r="AG63" s="415">
        <f>+'08-G. DEL TALENTO HUMANO'!BG17</f>
        <v>0.18885309278350515</v>
      </c>
      <c r="AH63" s="417">
        <f t="shared" ref="AH63:AH70" si="24">+Z63-AG63</f>
        <v>0</v>
      </c>
    </row>
    <row r="64" spans="2:35" ht="99.75" customHeight="1">
      <c r="B64" s="1470"/>
      <c r="C64" s="1474"/>
      <c r="D64" s="151" t="str">
        <f>+'01-FR-03 POA INSTITUCIONAL'!D64</f>
        <v xml:space="preserve">4.3.3 Lograr el 90 % de usuarios internos  satisfechos con las solicitudes de servicios atendidas de la SGTH (Certificaciones laborales, bonos pensionales y autorizaciones de retiro de cesantías). </v>
      </c>
      <c r="E64" s="165">
        <f>+'01-FR-03 POA INSTITUCIONAL'!E64</f>
        <v>0.1</v>
      </c>
      <c r="F64" s="166">
        <f>+'01-FR-03 POA INSTITUCIONAL'!F64</f>
        <v>0.9</v>
      </c>
      <c r="G64" s="154" t="str">
        <f>+'01-FR-03 POA INSTITUCIONAL'!G64</f>
        <v>S.I.</v>
      </c>
      <c r="H64" s="167" t="str">
        <f>+'01-FR-03 POA INSTITUCIONAL'!H64</f>
        <v>Porcentaje de Usuarios internos satisfechos con las solicitudes de los servicios atendidas de la SGTH (Certificaciones laborales, bonos pensionales y autorizaciones de retiro de cesantías)</v>
      </c>
      <c r="I64" s="151" t="str">
        <f>+'01-FR-03 POA INSTITUCIONAL'!I64</f>
        <v>Gestión del Talento Humano</v>
      </c>
      <c r="J64" s="168" t="str">
        <f>+'01-FR-03 POA INSTITUCIONAL'!J64</f>
        <v>Dependencia Líder: 
Dirección de Talento Humano
Dependencia Operativa:
Subdirección de Gestión del Talento Humano</v>
      </c>
      <c r="K64" s="169">
        <f>+'01-FR-03 POA INSTITUCIONAL'!K64</f>
        <v>0.9</v>
      </c>
      <c r="L64" s="169">
        <f>+'01-FR-03 POA INSTITUCIONAL'!L64</f>
        <v>0.9</v>
      </c>
      <c r="M64" s="169">
        <f>+'01-FR-03 POA INSTITUCIONAL'!M64</f>
        <v>0.9</v>
      </c>
      <c r="N64" s="169">
        <f>+'01-FR-03 POA INSTITUCIONAL'!N64</f>
        <v>0.9</v>
      </c>
      <c r="O64" s="443">
        <f>+'08-G. DEL TALENTO HUMANO'!V18</f>
        <v>0</v>
      </c>
      <c r="P64" s="443">
        <f>+'08-G. DEL TALENTO HUMANO'!W18</f>
        <v>0</v>
      </c>
      <c r="Q64" s="183">
        <f>+'08-G. DEL TALENTO HUMANO'!AD18</f>
        <v>0.9</v>
      </c>
      <c r="R64" s="443">
        <f>+'08-G. DEL TALENTO HUMANO'!AE18</f>
        <v>0.94799999999999995</v>
      </c>
      <c r="S64" s="183">
        <f>+'08-G. DEL TALENTO HUMANO'!AL18</f>
        <v>0.9</v>
      </c>
      <c r="T64" s="443">
        <f>'08-G. DEL TALENTO HUMANO'!AM18</f>
        <v>0.97</v>
      </c>
      <c r="U64" s="183">
        <f>+'08-G. DEL TALENTO HUMANO'!AT18</f>
        <v>0.9</v>
      </c>
      <c r="V64" s="183"/>
      <c r="W64" s="183">
        <f>+'08-G. DEL TALENTO HUMANO'!AV18</f>
        <v>0.90000000000000013</v>
      </c>
      <c r="X64" s="423">
        <f>IFERROR(IF(OR($W$64="",$W$64=0),0,ROUNDDOWN(AVERAGE(R64,T64,V64),3)),0)</f>
        <v>0.95899999999999996</v>
      </c>
      <c r="Y64" s="768">
        <f>IF(AND(X64&gt;0,$W64&gt;0),X64/$W64,0)*0.75</f>
        <v>0.79916666666666658</v>
      </c>
      <c r="Z64" s="447">
        <f>(IF(AND(X64&gt;0,$F64&gt;0),X64/$F64,0)/4)*0.75</f>
        <v>0.19979166666666667</v>
      </c>
      <c r="AA64" s="447">
        <f t="shared" si="15"/>
        <v>1.9979166666666669E-2</v>
      </c>
      <c r="AB64" s="1440"/>
      <c r="AD64" s="415">
        <f>+'08-G. DEL TALENTO HUMANO'!BC18</f>
        <v>0.79916666666666658</v>
      </c>
      <c r="AE64" s="417">
        <f t="shared" si="23"/>
        <v>0</v>
      </c>
      <c r="AG64" s="415">
        <f>+'08-G. DEL TALENTO HUMANO'!BG18</f>
        <v>0.19979166666666667</v>
      </c>
      <c r="AH64" s="417">
        <f t="shared" si="24"/>
        <v>0</v>
      </c>
    </row>
    <row r="65" spans="2:34" ht="87" customHeight="1">
      <c r="B65" s="1470"/>
      <c r="C65" s="1474"/>
      <c r="D65" s="151" t="str">
        <f>+'01-FR-03 POA INSTITUCIONAL'!D65</f>
        <v xml:space="preserve">4.3.4 Formular e implementar el 100% del Plan Institucional de Capacitación de la vigencia.
</v>
      </c>
      <c r="E65" s="165">
        <f>+'01-FR-03 POA INSTITUCIONAL'!E65</f>
        <v>0.15</v>
      </c>
      <c r="F65" s="166">
        <f>+'01-FR-03 POA INSTITUCIONAL'!F65</f>
        <v>1</v>
      </c>
      <c r="G65" s="154">
        <f>+'01-FR-03 POA INSTITUCIONAL'!G65</f>
        <v>1</v>
      </c>
      <c r="H65" s="167" t="str">
        <f>+'01-FR-03 POA INSTITUCIONAL'!H65</f>
        <v>Plan Institucional de Capacitación formulado y ejecutado</v>
      </c>
      <c r="I65" s="151" t="str">
        <f>+'01-FR-03 POA INSTITUCIONAL'!I65</f>
        <v>Gestión del Talento Humano</v>
      </c>
      <c r="J65" s="168" t="str">
        <f>+'01-FR-03 POA INSTITUCIONAL'!J65</f>
        <v>Dependencia Líder: 
Dirección de Talento Humano
Dependencia Operativa:
Subdirección de Desarrollo del Talento Humano</v>
      </c>
      <c r="K65" s="169">
        <f>+'01-FR-03 POA INSTITUCIONAL'!K65</f>
        <v>1</v>
      </c>
      <c r="L65" s="169">
        <f>+'01-FR-03 POA INSTITUCIONAL'!L65</f>
        <v>1</v>
      </c>
      <c r="M65" s="169">
        <f>+'01-FR-03 POA INSTITUCIONAL'!M65</f>
        <v>1</v>
      </c>
      <c r="N65" s="169">
        <f>+'01-FR-03 POA INSTITUCIONAL'!N65</f>
        <v>1</v>
      </c>
      <c r="O65" s="443">
        <f>+'08-G. DEL TALENTO HUMANO'!V19</f>
        <v>0.24100000000000002</v>
      </c>
      <c r="P65" s="443">
        <f>+'08-G. DEL TALENTO HUMANO'!W19</f>
        <v>0.24100000000000002</v>
      </c>
      <c r="Q65" s="443">
        <f>+'08-G. DEL TALENTO HUMANO'!AD19</f>
        <v>0.27500000000000002</v>
      </c>
      <c r="R65" s="443">
        <f>+'08-G. DEL TALENTO HUMANO'!AE19</f>
        <v>0.2611</v>
      </c>
      <c r="S65" s="443">
        <f>+'08-G. DEL TALENTO HUMANO'!AL19</f>
        <v>0.16500000000000001</v>
      </c>
      <c r="T65" s="1020">
        <f>+'08-G. DEL TALENTO HUMANO'!AM19</f>
        <v>0.16469999999999999</v>
      </c>
      <c r="U65" s="443">
        <f>+'08-G. DEL TALENTO HUMANO'!AT19</f>
        <v>0.31900000000000001</v>
      </c>
      <c r="V65" s="451">
        <f>+'08-G. DEL TALENTO HUMANO'!AU19</f>
        <v>0</v>
      </c>
      <c r="W65" s="443">
        <f>+'08-G. DEL TALENTO HUMANO'!AV19</f>
        <v>1</v>
      </c>
      <c r="X65" s="435">
        <f t="shared" ref="X65:X69" si="25">+P65+R65+T65+V65</f>
        <v>0.66679999999999995</v>
      </c>
      <c r="Y65" s="769">
        <f>IF(AND(X65&gt;0,$W65&gt;0),X65/$W65,0)</f>
        <v>0.66679999999999995</v>
      </c>
      <c r="Z65" s="447">
        <f>(IF(AND(X65&gt;0,$F65&gt;0),X65/$F65,0)/4)</f>
        <v>0.16669999999999999</v>
      </c>
      <c r="AA65" s="448">
        <f>IF(AND(Z65&gt;0,E65&gt;0),Z65*E65,0)</f>
        <v>2.5004999999999996E-2</v>
      </c>
      <c r="AB65" s="1440"/>
      <c r="AD65" s="415">
        <f>+'08-G. DEL TALENTO HUMANO'!BC19</f>
        <v>0.66679999999999995</v>
      </c>
      <c r="AE65" s="417">
        <f t="shared" si="23"/>
        <v>0</v>
      </c>
      <c r="AG65" s="415">
        <f>+'08-G. DEL TALENTO HUMANO'!BG19</f>
        <v>0.16669999999999999</v>
      </c>
      <c r="AH65" s="417">
        <f>+Z65-AG65</f>
        <v>0</v>
      </c>
    </row>
    <row r="66" spans="2:34" ht="88.2" customHeight="1">
      <c r="B66" s="1470"/>
      <c r="C66" s="1474"/>
      <c r="D66" s="151" t="str">
        <f>+'01-FR-03 POA INSTITUCIONAL'!D66</f>
        <v>4.3.5 Formular e implementar el 100% del Plan Institucional de Bienestar de la vigencia .</v>
      </c>
      <c r="E66" s="165">
        <f>+'01-FR-03 POA INSTITUCIONAL'!E66</f>
        <v>0.15</v>
      </c>
      <c r="F66" s="166">
        <f>+'01-FR-03 POA INSTITUCIONAL'!F66</f>
        <v>1</v>
      </c>
      <c r="G66" s="154">
        <f>+'01-FR-03 POA INSTITUCIONAL'!G66</f>
        <v>1</v>
      </c>
      <c r="H66" s="167" t="str">
        <f>+'01-FR-03 POA INSTITUCIONAL'!H66</f>
        <v>Plan Institucional de Bienestar formulado y ejecutado</v>
      </c>
      <c r="I66" s="151" t="str">
        <f>+'01-FR-03 POA INSTITUCIONAL'!I66</f>
        <v>Gestión del Talento Humano</v>
      </c>
      <c r="J66" s="168" t="str">
        <f>+'01-FR-03 POA INSTITUCIONAL'!J66</f>
        <v>Dependencia Líder: 
Dirección de Talento Humano
Dependencia Operativa:
Subdirección de Desarrollo del Talento Humano</v>
      </c>
      <c r="K66" s="169">
        <f>+'01-FR-03 POA INSTITUCIONAL'!K66</f>
        <v>1</v>
      </c>
      <c r="L66" s="169">
        <f>+'01-FR-03 POA INSTITUCIONAL'!L66</f>
        <v>1</v>
      </c>
      <c r="M66" s="169">
        <f>+'01-FR-03 POA INSTITUCIONAL'!M66</f>
        <v>1</v>
      </c>
      <c r="N66" s="169">
        <f>+'01-FR-03 POA INSTITUCIONAL'!N66</f>
        <v>1</v>
      </c>
      <c r="O66" s="443">
        <f>+'08-G. DEL TALENTO HUMANO'!V20</f>
        <v>0.308</v>
      </c>
      <c r="P66" s="443">
        <f>+'08-G. DEL TALENTO HUMANO'!W20</f>
        <v>0.308</v>
      </c>
      <c r="Q66" s="443">
        <f>+'08-G. DEL TALENTO HUMANO'!AD20</f>
        <v>0.187</v>
      </c>
      <c r="R66" s="443">
        <f>+'08-G. DEL TALENTO HUMANO'!AE20</f>
        <v>0.2016</v>
      </c>
      <c r="S66" s="183">
        <f>+'08-G. DEL TALENTO HUMANO'!AL20</f>
        <v>0.19700000000000001</v>
      </c>
      <c r="T66" s="443">
        <f>+'08-G. DEL TALENTO HUMANO'!AM20</f>
        <v>0.30000000000000004</v>
      </c>
      <c r="U66" s="183">
        <f>+'08-G. DEL TALENTO HUMANO'!AT20</f>
        <v>0.308</v>
      </c>
      <c r="V66" s="453">
        <f>+'08-G. DEL TALENTO HUMANO'!AU20</f>
        <v>0</v>
      </c>
      <c r="W66" s="183">
        <f>+'08-G. DEL TALENTO HUMANO'!AV20</f>
        <v>1</v>
      </c>
      <c r="X66" s="435">
        <f t="shared" si="25"/>
        <v>0.8096000000000001</v>
      </c>
      <c r="Y66" s="769">
        <f t="shared" ref="Y66:Y69" si="26">IF(AND(X66&gt;0,$W66&gt;0),X66/$W66,0)</f>
        <v>0.8096000000000001</v>
      </c>
      <c r="Z66" s="447">
        <f t="shared" ref="Z66:Z68" si="27">(IF(AND(X66&gt;0,$F66&gt;0),X66/$F66,0)/4)</f>
        <v>0.20240000000000002</v>
      </c>
      <c r="AA66" s="448">
        <f t="shared" ref="AA66:AA70" si="28">IF(AND(Z66&gt;0,E66&gt;0),Z66*E66,0)</f>
        <v>3.0360000000000002E-2</v>
      </c>
      <c r="AB66" s="1440"/>
      <c r="AD66" s="415">
        <f>+'08-G. DEL TALENTO HUMANO'!BC20</f>
        <v>0.8096000000000001</v>
      </c>
      <c r="AE66" s="417">
        <f t="shared" si="23"/>
        <v>0</v>
      </c>
      <c r="AG66" s="415">
        <f>+'08-G. DEL TALENTO HUMANO'!BG20</f>
        <v>0.20240000000000002</v>
      </c>
      <c r="AH66" s="417">
        <f t="shared" si="24"/>
        <v>0</v>
      </c>
    </row>
    <row r="67" spans="2:34" ht="99.6" customHeight="1">
      <c r="B67" s="1470"/>
      <c r="C67" s="1474"/>
      <c r="D67" s="151" t="str">
        <f>+'01-FR-03 POA INSTITUCIONAL'!D67</f>
        <v>4.3.6 Formular e implementar el 100% del Plan Institucional de Incentivos de la vigencia.</v>
      </c>
      <c r="E67" s="165">
        <f>+'01-FR-03 POA INSTITUCIONAL'!E67</f>
        <v>0.15</v>
      </c>
      <c r="F67" s="166">
        <f>+'01-FR-03 POA INSTITUCIONAL'!F67</f>
        <v>1</v>
      </c>
      <c r="G67" s="154">
        <f>+'01-FR-03 POA INSTITUCIONAL'!G67</f>
        <v>1</v>
      </c>
      <c r="H67" s="167" t="str">
        <f>+'01-FR-03 POA INSTITUCIONAL'!H67</f>
        <v>Plan Institucional de Incentivos formulado y ejecutado</v>
      </c>
      <c r="I67" s="151" t="str">
        <f>+'01-FR-03 POA INSTITUCIONAL'!I67</f>
        <v>Gestión del Talento Humano</v>
      </c>
      <c r="J67" s="168" t="str">
        <f>+'01-FR-03 POA INSTITUCIONAL'!J67</f>
        <v>Dependencia Líder: 
Dirección de Talento Humano
Dependencia Operativa:
Subdirección de Desarrollo del Talento Humano</v>
      </c>
      <c r="K67" s="169">
        <f>+'01-FR-03 POA INSTITUCIONAL'!K67</f>
        <v>1</v>
      </c>
      <c r="L67" s="169">
        <f>+'01-FR-03 POA INSTITUCIONAL'!L67</f>
        <v>1</v>
      </c>
      <c r="M67" s="169">
        <f>+'01-FR-03 POA INSTITUCIONAL'!M67</f>
        <v>1</v>
      </c>
      <c r="N67" s="169">
        <f>+'01-FR-03 POA INSTITUCIONAL'!N67</f>
        <v>1</v>
      </c>
      <c r="O67" s="443">
        <f>+'08-G. DEL TALENTO HUMANO'!V21</f>
        <v>0.26424999999999998</v>
      </c>
      <c r="P67" s="443">
        <f>+'08-G. DEL TALENTO HUMANO'!W21</f>
        <v>0.248</v>
      </c>
      <c r="Q67" s="443">
        <f>+'08-G. DEL TALENTO HUMANO'!AD21</f>
        <v>0.17525000000000002</v>
      </c>
      <c r="R67" s="443">
        <f>+'08-G. DEL TALENTO HUMANO'!AE21</f>
        <v>4.7800000000000002E-2</v>
      </c>
      <c r="S67" s="183">
        <f>+'08-G. DEL TALENTO HUMANO'!AL21</f>
        <v>0.1275</v>
      </c>
      <c r="T67" s="1020">
        <f>+'08-G. DEL TALENTO HUMANO'!AM21</f>
        <v>0.22270000000000001</v>
      </c>
      <c r="U67" s="183">
        <f>+'08-G. DEL TALENTO HUMANO'!AT21</f>
        <v>0.433</v>
      </c>
      <c r="V67" s="453">
        <f>+'08-G. DEL TALENTO HUMANO'!AU21</f>
        <v>0</v>
      </c>
      <c r="W67" s="183">
        <f>+'08-G. DEL TALENTO HUMANO'!AV21</f>
        <v>1</v>
      </c>
      <c r="X67" s="695">
        <f t="shared" si="25"/>
        <v>0.51849999999999996</v>
      </c>
      <c r="Y67" s="769">
        <f t="shared" si="26"/>
        <v>0.51849999999999996</v>
      </c>
      <c r="Z67" s="447">
        <f>(IF(AND(X67&gt;0,$F67&gt;0),X67/$F67,0)/4)</f>
        <v>0.12962499999999999</v>
      </c>
      <c r="AA67" s="448">
        <f t="shared" si="28"/>
        <v>1.9443749999999999E-2</v>
      </c>
      <c r="AB67" s="1440"/>
      <c r="AD67" s="415">
        <f>+'08-G. DEL TALENTO HUMANO'!BC21</f>
        <v>0.51849999999999996</v>
      </c>
      <c r="AE67" s="417">
        <f t="shared" si="23"/>
        <v>0</v>
      </c>
      <c r="AG67" s="415">
        <f>+'08-G. DEL TALENTO HUMANO'!BG21</f>
        <v>0.12962499999999999</v>
      </c>
      <c r="AH67" s="417">
        <f t="shared" si="24"/>
        <v>0</v>
      </c>
    </row>
    <row r="68" spans="2:34" ht="85.95" customHeight="1">
      <c r="B68" s="1470"/>
      <c r="C68" s="1474"/>
      <c r="D68" s="151" t="str">
        <f>+'01-FR-03 POA INSTITUCIONAL'!D68</f>
        <v>4.3.7 Diseñar e implementar el 100 % del Plan Anual de Trabajo del Sistema de Gestión de Seguridad y Salud en el Trabajo SG-SST de la vigencia.</v>
      </c>
      <c r="E68" s="165">
        <f>+'01-FR-03 POA INSTITUCIONAL'!E68</f>
        <v>0.15</v>
      </c>
      <c r="F68" s="166">
        <f>+'01-FR-03 POA INSTITUCIONAL'!F68</f>
        <v>1</v>
      </c>
      <c r="G68" s="154">
        <f>+'01-FR-03 POA INSTITUCIONAL'!G68</f>
        <v>0.99</v>
      </c>
      <c r="H68" s="167" t="str">
        <f>+'01-FR-03 POA INSTITUCIONAL'!H68</f>
        <v>Plan Anual de Trabajo del Sistema de Gestión de Seguridad y Salud en el Trabajo SG-SST diseñado y ejecutado</v>
      </c>
      <c r="I68" s="151" t="str">
        <f>+'01-FR-03 POA INSTITUCIONAL'!I68</f>
        <v>Gestión del Talento Humano</v>
      </c>
      <c r="J68" s="168" t="str">
        <f>+'01-FR-03 POA INSTITUCIONAL'!J68</f>
        <v>Dependencia Líder: 
Dirección de Talento Humano
Dependencia Operativa:
Subdirección de Desarrollo del Talento Humano</v>
      </c>
      <c r="K68" s="169">
        <f>+'01-FR-03 POA INSTITUCIONAL'!K68</f>
        <v>1</v>
      </c>
      <c r="L68" s="169">
        <f>+'01-FR-03 POA INSTITUCIONAL'!L68</f>
        <v>1</v>
      </c>
      <c r="M68" s="169">
        <f>+'01-FR-03 POA INSTITUCIONAL'!M68</f>
        <v>1</v>
      </c>
      <c r="N68" s="169">
        <f>+'01-FR-03 POA INSTITUCIONAL'!N68</f>
        <v>1</v>
      </c>
      <c r="O68" s="443">
        <f>+'08-G. DEL TALENTO HUMANO'!V22</f>
        <v>0.38924999999999998</v>
      </c>
      <c r="P68" s="443">
        <f>+'08-G. DEL TALENTO HUMANO'!W22</f>
        <v>0.38400000000000001</v>
      </c>
      <c r="Q68" s="443">
        <f>+'08-G. DEL TALENTO HUMANO'!AD22</f>
        <v>0.14124999999999999</v>
      </c>
      <c r="R68" s="443">
        <f>+'08-G. DEL TALENTO HUMANO'!AE22</f>
        <v>0.14529999999999998</v>
      </c>
      <c r="S68" s="183">
        <f>+'08-G. DEL TALENTO HUMANO'!AL22</f>
        <v>0.14424999999999999</v>
      </c>
      <c r="T68" s="1020">
        <f>+'08-G. DEL TALENTO HUMANO'!AM22</f>
        <v>0.1368</v>
      </c>
      <c r="U68" s="183">
        <f>+'08-G. DEL TALENTO HUMANO'!AT22</f>
        <v>0.32525000000000004</v>
      </c>
      <c r="V68" s="453">
        <f>+'08-G. DEL TALENTO HUMANO'!AU22</f>
        <v>0</v>
      </c>
      <c r="W68" s="183">
        <f>+'08-G. DEL TALENTO HUMANO'!AV22</f>
        <v>1</v>
      </c>
      <c r="X68" s="695">
        <f t="shared" si="25"/>
        <v>0.66610000000000003</v>
      </c>
      <c r="Y68" s="769">
        <f t="shared" si="26"/>
        <v>0.66610000000000003</v>
      </c>
      <c r="Z68" s="447">
        <f t="shared" si="27"/>
        <v>0.16652500000000001</v>
      </c>
      <c r="AA68" s="448">
        <f t="shared" si="28"/>
        <v>2.4978750000000001E-2</v>
      </c>
      <c r="AB68" s="1440"/>
      <c r="AD68" s="415">
        <f>+'08-G. DEL TALENTO HUMANO'!BC22</f>
        <v>0.66610000000000003</v>
      </c>
      <c r="AE68" s="417">
        <f t="shared" si="23"/>
        <v>0</v>
      </c>
      <c r="AG68" s="415">
        <f>+'08-G. DEL TALENTO HUMANO'!BG22</f>
        <v>0.16652500000000001</v>
      </c>
      <c r="AH68" s="417">
        <f t="shared" si="24"/>
        <v>0</v>
      </c>
    </row>
    <row r="69" spans="2:34" ht="84.75" customHeight="1">
      <c r="B69" s="1470"/>
      <c r="C69" s="1473"/>
      <c r="D69" s="151" t="str">
        <f>+'01-FR-03 POA INSTITUCIONAL'!D69</f>
        <v>4.3.8 Realizar 36 capacitaciones sobre los Sistemas de Gestión y Evaluación del Desempeño Laboral de la Entidad.</v>
      </c>
      <c r="E69" s="152">
        <f>+'01-FR-03 POA INSTITUCIONAL'!E69</f>
        <v>0.1</v>
      </c>
      <c r="F69" s="185">
        <f>+'01-FR-03 POA INSTITUCIONAL'!F69</f>
        <v>36</v>
      </c>
      <c r="G69" s="186" t="str">
        <f>+'01-FR-03 POA INSTITUCIONAL'!G69</f>
        <v>S.I.</v>
      </c>
      <c r="H69" s="179" t="str">
        <f>+'01-FR-03 POA INSTITUCIONAL'!H69</f>
        <v>Capacitaciones realizadas sobre los Sistemas de Gestión y Evaluación del Desempeño Laboral de la Personería de Bogotá, D.C.</v>
      </c>
      <c r="I69" s="180" t="str">
        <f>+'01-FR-03 POA INSTITUCIONAL'!I69</f>
        <v>Gestión del Talento Humano</v>
      </c>
      <c r="J69" s="181" t="str">
        <f>+'01-FR-03 POA INSTITUCIONAL'!J69</f>
        <v>Dirección de Talento Humano</v>
      </c>
      <c r="K69" s="187">
        <f>+'01-FR-03 POA INSTITUCIONAL'!K69</f>
        <v>9</v>
      </c>
      <c r="L69" s="187">
        <f>+'01-FR-03 POA INSTITUCIONAL'!L69</f>
        <v>9</v>
      </c>
      <c r="M69" s="187">
        <f>+'01-FR-03 POA INSTITUCIONAL'!M69</f>
        <v>9</v>
      </c>
      <c r="N69" s="187">
        <f>+'01-FR-03 POA INSTITUCIONAL'!N69</f>
        <v>9</v>
      </c>
      <c r="O69" s="187">
        <f>+'08-G. DEL TALENTO HUMANO'!V23</f>
        <v>3</v>
      </c>
      <c r="P69" s="187">
        <f>+'08-G. DEL TALENTO HUMANO'!W23</f>
        <v>3</v>
      </c>
      <c r="Q69" s="187">
        <f>+'08-G. DEL TALENTO HUMANO'!AD23</f>
        <v>0</v>
      </c>
      <c r="R69" s="187">
        <f>+'08-G. DEL TALENTO HUMANO'!AE23</f>
        <v>0</v>
      </c>
      <c r="S69" s="187">
        <f>+'08-G. DEL TALENTO HUMANO'!AL23</f>
        <v>3</v>
      </c>
      <c r="T69" s="187">
        <f>+'08-G. DEL TALENTO HUMANO'!AM23</f>
        <v>3</v>
      </c>
      <c r="U69" s="187">
        <f>+'08-G. DEL TALENTO HUMANO'!AT23</f>
        <v>3</v>
      </c>
      <c r="V69" s="452">
        <f>+'08-G. DEL TALENTO HUMANO'!AU23</f>
        <v>0</v>
      </c>
      <c r="W69" s="187">
        <f>+'08-G. DEL TALENTO HUMANO'!AV23</f>
        <v>9</v>
      </c>
      <c r="X69" s="187">
        <f t="shared" si="25"/>
        <v>6</v>
      </c>
      <c r="Y69" s="769">
        <f t="shared" si="26"/>
        <v>0.66666666666666663</v>
      </c>
      <c r="Z69" s="447">
        <f t="shared" ref="Z69" si="29">IF(AND(X69&gt;0,$F69&gt;0),X69/$F69,0)</f>
        <v>0.16666666666666666</v>
      </c>
      <c r="AA69" s="448">
        <f t="shared" si="28"/>
        <v>1.6666666666666666E-2</v>
      </c>
      <c r="AB69" s="1441"/>
      <c r="AD69" s="415">
        <f>+'08-G. DEL TALENTO HUMANO'!BC23</f>
        <v>0.66666666666666663</v>
      </c>
      <c r="AE69" s="417">
        <f t="shared" si="23"/>
        <v>0</v>
      </c>
      <c r="AG69" s="415">
        <f>+'08-G. DEL TALENTO HUMANO'!BG23</f>
        <v>0.16666666666666666</v>
      </c>
      <c r="AH69" s="417">
        <f t="shared" si="24"/>
        <v>0</v>
      </c>
    </row>
    <row r="70" spans="2:34" ht="76.5" customHeight="1">
      <c r="B70" s="1470"/>
      <c r="C70" s="1486" t="s">
        <v>145</v>
      </c>
      <c r="D70" s="31" t="str">
        <f>+'01-FR-03 POA INSTITUCIONAL'!D70</f>
        <v>4.4.1 Atender el 100% de los servicios de mantenimiento, almacén, transporte. Aseo y cafetería</v>
      </c>
      <c r="E70" s="52">
        <f>+'01-FR-03 POA INSTITUCIONAL'!E70</f>
        <v>0.1</v>
      </c>
      <c r="F70" s="32">
        <f>+'01-FR-03 POA INSTITUCIONAL'!F70</f>
        <v>1</v>
      </c>
      <c r="G70" s="176">
        <f>+'01-FR-03 POA INSTITUCIONAL'!G70</f>
        <v>0.99199999999999999</v>
      </c>
      <c r="H70" s="141" t="str">
        <f>+'01-FR-03 POA INSTITUCIONAL'!H70</f>
        <v>Porcentaje de servicios atendidos</v>
      </c>
      <c r="I70" s="142" t="str">
        <f>+'01-FR-03 POA INSTITUCIONAL'!I70</f>
        <v>Gestión Administrativa</v>
      </c>
      <c r="J70" s="143" t="str">
        <f>+'01-FR-03 POA INSTITUCIONAL'!J70</f>
        <v>Subdirección de Gestión Documental y Recursos Físicos
Dirección Administrativa y Financiera</v>
      </c>
      <c r="K70" s="145">
        <f>+'01-FR-03 POA INSTITUCIONAL'!K70</f>
        <v>1</v>
      </c>
      <c r="L70" s="145">
        <f>+'01-FR-03 POA INSTITUCIONAL'!L70</f>
        <v>1</v>
      </c>
      <c r="M70" s="145">
        <f>+'01-FR-03 POA INSTITUCIONAL'!M70</f>
        <v>1</v>
      </c>
      <c r="N70" s="145">
        <f>+'01-FR-03 POA INSTITUCIONAL'!N70</f>
        <v>1</v>
      </c>
      <c r="O70" s="409">
        <f>+'09-G.  ADMINISTRATIVA'!V16</f>
        <v>1</v>
      </c>
      <c r="P70" s="409">
        <f>+'09-G.  ADMINISTRATIVA'!W16</f>
        <v>0.99633333333333329</v>
      </c>
      <c r="Q70" s="409">
        <f>+'09-G.  ADMINISTRATIVA'!AD16</f>
        <v>1</v>
      </c>
      <c r="R70" s="409">
        <f>+'09-G.  ADMINISTRATIVA'!AE16</f>
        <v>1</v>
      </c>
      <c r="S70" s="409">
        <f>+'09-G.  ADMINISTRATIVA'!AL16</f>
        <v>1</v>
      </c>
      <c r="T70" s="409">
        <f>+'09-G.  ADMINISTRATIVA'!AM16</f>
        <v>1</v>
      </c>
      <c r="U70" s="409">
        <f>+'09-G.  ADMINISTRATIVA'!AT16</f>
        <v>1</v>
      </c>
      <c r="V70" s="409"/>
      <c r="W70" s="409">
        <f>+'09-G.  ADMINISTRATIVA'!AV16</f>
        <v>1</v>
      </c>
      <c r="X70" s="454">
        <f>IFERROR(IF(OR($W$70="",$W$70=0),0,ROUNDDOWN(AVERAGE($P70,R70,T70,V70),3)),0)</f>
        <v>0.998</v>
      </c>
      <c r="Y70" s="765">
        <f>IF(AND(X70&gt;0,$W70&gt;0),X70/$W70,0)*0.75</f>
        <v>0.74849999999999994</v>
      </c>
      <c r="Z70" s="411">
        <f>(IF(AND(X70&gt;0,$F70&gt;0),X70/$F70,0)/4)*0.75</f>
        <v>0.18712499999999999</v>
      </c>
      <c r="AA70" s="411">
        <f t="shared" si="28"/>
        <v>1.87125E-2</v>
      </c>
      <c r="AB70" s="1270">
        <f>SUM(AA70:AA87)</f>
        <v>0.17938619223122312</v>
      </c>
      <c r="AD70" s="415">
        <f>+'09-G.  ADMINISTRATIVA'!BC16</f>
        <v>0.74849999999999994</v>
      </c>
      <c r="AE70" s="417">
        <f t="shared" si="23"/>
        <v>0</v>
      </c>
      <c r="AG70" s="415">
        <f>+'09-G.  ADMINISTRATIVA'!BG16</f>
        <v>0.18712499999999999</v>
      </c>
      <c r="AH70" s="417">
        <f t="shared" si="24"/>
        <v>0</v>
      </c>
    </row>
    <row r="71" spans="2:34" ht="62.25" customHeight="1">
      <c r="B71" s="1470"/>
      <c r="C71" s="1239"/>
      <c r="D71" s="31" t="str">
        <f>+'01-FR-03 POA INSTITUCIONAL'!D71</f>
        <v>4.4.2 Ejecutar el 97% de las actividades del Plan Estratégico de Seguridad Vial (PESV)</v>
      </c>
      <c r="E71" s="52">
        <f>+'01-FR-03 POA INSTITUCIONAL'!E71</f>
        <v>0.1</v>
      </c>
      <c r="F71" s="32">
        <f>+'01-FR-03 POA INSTITUCIONAL'!F71</f>
        <v>0.97</v>
      </c>
      <c r="G71" s="176">
        <f>+'01-FR-03 POA INSTITUCIONAL'!G71</f>
        <v>0.96599999999999997</v>
      </c>
      <c r="H71" s="141" t="str">
        <f>+'01-FR-03 POA INSTITUCIONAL'!H71</f>
        <v>Porcentaje de actividades del PESV ejecutadas</v>
      </c>
      <c r="I71" s="142" t="str">
        <f>+'01-FR-03 POA INSTITUCIONAL'!I71</f>
        <v>Gestión Administrativa</v>
      </c>
      <c r="J71" s="143" t="str">
        <f>+'01-FR-03 POA INSTITUCIONAL'!J71</f>
        <v>Subdirección de Gestión Documental y Recursos Físicos
Dirección Administrativa y Financiera</v>
      </c>
      <c r="K71" s="145">
        <f>+'01-FR-03 POA INSTITUCIONAL'!K71</f>
        <v>0.97</v>
      </c>
      <c r="L71" s="145">
        <f>+'01-FR-03 POA INSTITUCIONAL'!L71</f>
        <v>0.97</v>
      </c>
      <c r="M71" s="145">
        <f>+'01-FR-03 POA INSTITUCIONAL'!M71</f>
        <v>0.97</v>
      </c>
      <c r="N71" s="145">
        <f>+'01-FR-03 POA INSTITUCIONAL'!N71</f>
        <v>0.97</v>
      </c>
      <c r="O71" s="409">
        <f>+'09-G.  ADMINISTRATIVA'!V17</f>
        <v>0.97000000000000008</v>
      </c>
      <c r="P71" s="409">
        <f>+'09-G.  ADMINISTRATIVA'!W17</f>
        <v>1</v>
      </c>
      <c r="Q71" s="409">
        <f>+'09-G.  ADMINISTRATIVA'!AD17</f>
        <v>0.97000000000000008</v>
      </c>
      <c r="R71" s="409">
        <f>+'09-G.  ADMINISTRATIVA'!AE17</f>
        <v>1.037037037037037</v>
      </c>
      <c r="S71" s="409">
        <f>+'09-G.  ADMINISTRATIVA'!AL17</f>
        <v>0.97000000000000008</v>
      </c>
      <c r="T71" s="409">
        <f>+'09-G.  ADMINISTRATIVA'!AM17</f>
        <v>1.1609999999999998</v>
      </c>
      <c r="U71" s="409">
        <f>+'09-G.  ADMINISTRATIVA'!AT17</f>
        <v>0.97000000000000008</v>
      </c>
      <c r="V71" s="409"/>
      <c r="W71" s="409">
        <f>+'09-G.  ADMINISTRATIVA'!AV17</f>
        <v>0.97000000000000008</v>
      </c>
      <c r="X71" s="454">
        <f>IFERROR(IF(OR($W$71="",$W$71=0),0,ROUNDDOWN(AVERAGE($P71,R71,T71,V71),3)),0)</f>
        <v>1.0660000000000001</v>
      </c>
      <c r="Y71" s="765">
        <f>IF(AND(X71&gt;0,$W71&gt;0),X71/$W71,0)*0.75</f>
        <v>0.8242268041237113</v>
      </c>
      <c r="Z71" s="411">
        <f>(IF(AND(X71&gt;0,$F71&gt;0),X71/$F71,0)/4)*0.75</f>
        <v>0.20605670103092785</v>
      </c>
      <c r="AA71" s="411">
        <f t="shared" ref="AA71" si="30">IF(AND(Z71&gt;0,E71&gt;0),Z71*E71,0)</f>
        <v>2.0605670103092787E-2</v>
      </c>
      <c r="AB71" s="1168"/>
      <c r="AD71" s="415">
        <f>+'09-G.  ADMINISTRATIVA'!BC17</f>
        <v>0.8242268041237113</v>
      </c>
      <c r="AE71" s="417">
        <f t="shared" si="23"/>
        <v>0</v>
      </c>
      <c r="AG71" s="415">
        <f>+'09-G.  ADMINISTRATIVA'!BG17</f>
        <v>0.20605670103092785</v>
      </c>
      <c r="AH71" s="417">
        <f t="shared" ref="AH71:AH72" si="31">+Z71-AG71</f>
        <v>0</v>
      </c>
    </row>
    <row r="72" spans="2:34" ht="64.5" customHeight="1">
      <c r="B72" s="1470"/>
      <c r="C72" s="1239"/>
      <c r="D72" s="31" t="str">
        <f>+'01-FR-03 POA INSTITUCIONAL'!D72</f>
        <v>4.4.3 Ejecutar el 95% del presupuesto aprobado para la Entidad</v>
      </c>
      <c r="E72" s="52">
        <f>+'01-FR-03 POA INSTITUCIONAL'!E72</f>
        <v>7.0000000000000007E-2</v>
      </c>
      <c r="F72" s="32">
        <f>+'01-FR-03 POA INSTITUCIONAL'!F72</f>
        <v>0.95</v>
      </c>
      <c r="G72" s="176" t="str">
        <f>+'01-FR-03 POA INSTITUCIONAL'!G72</f>
        <v>S.I.</v>
      </c>
      <c r="H72" s="141" t="str">
        <f>+'01-FR-03 POA INSTITUCIONAL'!H72</f>
        <v>Porcentaje del presupuesto aprobado y ejecutado.</v>
      </c>
      <c r="I72" s="142" t="str">
        <f>+'01-FR-03 POA INSTITUCIONAL'!I72</f>
        <v>Gestión Financiera</v>
      </c>
      <c r="J72" s="143" t="str">
        <f>+'01-FR-03 POA INSTITUCIONAL'!J72</f>
        <v>Subdirección de Gestión Financiera
Dirección Administrativa y Financiera</v>
      </c>
      <c r="K72" s="145">
        <f>+'01-FR-03 POA INSTITUCIONAL'!K72</f>
        <v>0.95</v>
      </c>
      <c r="L72" s="145">
        <f>+'01-FR-03 POA INSTITUCIONAL'!L72</f>
        <v>0.95</v>
      </c>
      <c r="M72" s="145">
        <f>+'01-FR-03 POA INSTITUCIONAL'!M72</f>
        <v>0.95</v>
      </c>
      <c r="N72" s="145">
        <f>+'01-FR-03 POA INSTITUCIONAL'!N72</f>
        <v>0.95</v>
      </c>
      <c r="O72" s="409">
        <f>+'10-GESTIÓN FINANCIERA'!V16</f>
        <v>0.22000000000000003</v>
      </c>
      <c r="P72" s="409">
        <f>+'10-GESTIÓN FINANCIERA'!W16</f>
        <v>0.20400000000000001</v>
      </c>
      <c r="Q72" s="409">
        <f>+'10-GESTIÓN FINANCIERA'!AD16</f>
        <v>0.25</v>
      </c>
      <c r="R72" s="409">
        <f>+'10-GESTIÓN FINANCIERA'!AE16</f>
        <v>0.25800000000000001</v>
      </c>
      <c r="S72" s="409">
        <f>+'10-GESTIÓN FINANCIERA'!AL16</f>
        <v>0.25</v>
      </c>
      <c r="T72" s="409">
        <f>+'10-GESTIÓN FINANCIERA'!AM16</f>
        <v>0.19900000000000001</v>
      </c>
      <c r="U72" s="409">
        <f>+'10-GESTIÓN FINANCIERA'!AT16</f>
        <v>0.23</v>
      </c>
      <c r="V72" s="431">
        <f>+'10-GESTIÓN FINANCIERA'!AU16</f>
        <v>0</v>
      </c>
      <c r="W72" s="409">
        <f>+'10-GESTIÓN FINANCIERA'!AV16</f>
        <v>0.95</v>
      </c>
      <c r="X72" s="455">
        <f t="shared" ref="X72" si="32">+P72+R72+T72+V72</f>
        <v>0.66100000000000003</v>
      </c>
      <c r="Y72" s="770">
        <f>IF(AND(X72&gt;0,$W72&gt;0),X72/$W72,0)</f>
        <v>0.69578947368421062</v>
      </c>
      <c r="Z72" s="457">
        <f>(IF(AND(X72&gt;0,$F72&gt;0),X72/$F72,0)/4)</f>
        <v>0.17394736842105266</v>
      </c>
      <c r="AA72" s="456">
        <f>IF(AND(Z72&gt;0,E72&gt;0),Z72*E72,0)</f>
        <v>1.2176315789473688E-2</v>
      </c>
      <c r="AB72" s="1168"/>
      <c r="AD72" s="415">
        <f>+'10-GESTIÓN FINANCIERA'!BC16</f>
        <v>0.69578947368421062</v>
      </c>
      <c r="AE72" s="417">
        <f t="shared" si="23"/>
        <v>0</v>
      </c>
      <c r="AG72" s="415">
        <f>+'10-GESTIÓN FINANCIERA'!BG16</f>
        <v>0.17394736842105266</v>
      </c>
      <c r="AH72" s="417">
        <f t="shared" si="31"/>
        <v>0</v>
      </c>
    </row>
    <row r="73" spans="2:34" ht="64.5" customHeight="1">
      <c r="B73" s="1470"/>
      <c r="C73" s="1239"/>
      <c r="D73" s="31" t="str">
        <f>+'01-FR-03 POA INSTITUCIONAL'!D73</f>
        <v>4.4.4 Programar y ejecutar el 95% de los compromisos de pago adquiridos por la Entidad</v>
      </c>
      <c r="E73" s="52">
        <f>+'01-FR-03 POA INSTITUCIONAL'!E73</f>
        <v>7.0000000000000007E-2</v>
      </c>
      <c r="F73" s="32">
        <f>+'01-FR-03 POA INSTITUCIONAL'!F73</f>
        <v>0.95</v>
      </c>
      <c r="G73" s="176" t="str">
        <f>+'01-FR-03 POA INSTITUCIONAL'!G73</f>
        <v>S.I.</v>
      </c>
      <c r="H73" s="141" t="str">
        <f>+'01-FR-03 POA INSTITUCIONAL'!H73</f>
        <v>Porcentaje de los compromisos de pago programados y ejecutados.</v>
      </c>
      <c r="I73" s="142" t="str">
        <f>+'01-FR-03 POA INSTITUCIONAL'!I73</f>
        <v>Gestión Financiera</v>
      </c>
      <c r="J73" s="143" t="str">
        <f>+'01-FR-03 POA INSTITUCIONAL'!J73</f>
        <v>Subdirección de Gestión Financiera
Dirección Administrativa y Financiera</v>
      </c>
      <c r="K73" s="145">
        <f>+'01-FR-03 POA INSTITUCIONAL'!K73</f>
        <v>0.95</v>
      </c>
      <c r="L73" s="145">
        <f>+'01-FR-03 POA INSTITUCIONAL'!L73</f>
        <v>0.95</v>
      </c>
      <c r="M73" s="145">
        <f>+'01-FR-03 POA INSTITUCIONAL'!M73</f>
        <v>0.95</v>
      </c>
      <c r="N73" s="145">
        <f>+'01-FR-03 POA INSTITUCIONAL'!N73</f>
        <v>0.95</v>
      </c>
      <c r="O73" s="409">
        <f>+'10-GESTIÓN FINANCIERA'!V17</f>
        <v>0.14000000000000001</v>
      </c>
      <c r="P73" s="409">
        <f>+'10-GESTIÓN FINANCIERA'!W17</f>
        <v>9.7397917127575201E-2</v>
      </c>
      <c r="Q73" s="409">
        <f>+'10-GESTIÓN FINANCIERA'!AD17</f>
        <v>0.25</v>
      </c>
      <c r="R73" s="409">
        <f>+'10-GESTIÓN FINANCIERA'!AE17</f>
        <v>0.23532220306748558</v>
      </c>
      <c r="S73" s="409">
        <f>+'10-GESTIÓN FINANCIERA'!AL17</f>
        <v>0.23000000000000004</v>
      </c>
      <c r="T73" s="409">
        <f>+'10-GESTIÓN FINANCIERA'!AM17</f>
        <v>0.22679170604630311</v>
      </c>
      <c r="U73" s="409">
        <f>+'10-GESTIÓN FINANCIERA'!AT17</f>
        <v>0.32999999999999996</v>
      </c>
      <c r="V73" s="431">
        <f>+'10-GESTIÓN FINANCIERA'!AU17</f>
        <v>0</v>
      </c>
      <c r="W73" s="409">
        <f>+'10-GESTIÓN FINANCIERA'!AV17</f>
        <v>0.95000000000000007</v>
      </c>
      <c r="X73" s="455">
        <f t="shared" ref="X73:X74" si="33">+P73+R73+T73+V73</f>
        <v>0.55951182624136386</v>
      </c>
      <c r="Y73" s="770">
        <f t="shared" ref="Y73:Y75" si="34">IF(AND(X73&gt;0,$W73&gt;0),X73/$W73,0)</f>
        <v>0.5889598170961724</v>
      </c>
      <c r="Z73" s="457">
        <f>(IF(AND(X73&gt;0,$F73&gt;0),X73/$F73,0)/4)</f>
        <v>0.14723995427404313</v>
      </c>
      <c r="AA73" s="456">
        <f t="shared" ref="AA73:AA74" si="35">IF(AND(Z73&gt;0,E73&gt;0),Z73*E73,0)</f>
        <v>1.030679679918302E-2</v>
      </c>
      <c r="AB73" s="1168"/>
      <c r="AD73" s="415">
        <f>+'10-GESTIÓN FINANCIERA'!BC17</f>
        <v>0.5889598170961724</v>
      </c>
      <c r="AE73" s="417">
        <f t="shared" ref="AE73:AE99" si="36">Y73-AD73</f>
        <v>0</v>
      </c>
      <c r="AG73" s="415">
        <f>+'10-GESTIÓN FINANCIERA'!BG17</f>
        <v>0.14723995427404313</v>
      </c>
      <c r="AH73" s="417">
        <f t="shared" ref="AH73:AH99" si="37">+Z73-AG73</f>
        <v>0</v>
      </c>
    </row>
    <row r="74" spans="2:34" ht="64.5" customHeight="1">
      <c r="B74" s="1470"/>
      <c r="C74" s="1239"/>
      <c r="D74" s="31" t="str">
        <f>+'01-FR-03 POA INSTITUCIONAL'!D74</f>
        <v>4.4.5 Elaborar y presentar el 100% de los estados financieros de la Entidad</v>
      </c>
      <c r="E74" s="52">
        <f>+'01-FR-03 POA INSTITUCIONAL'!E74</f>
        <v>0.06</v>
      </c>
      <c r="F74" s="32">
        <f>+'01-FR-03 POA INSTITUCIONAL'!F74</f>
        <v>1</v>
      </c>
      <c r="G74" s="176" t="str">
        <f>+'01-FR-03 POA INSTITUCIONAL'!G74</f>
        <v>S.I.</v>
      </c>
      <c r="H74" s="141" t="str">
        <f>+'01-FR-03 POA INSTITUCIONAL'!H74</f>
        <v>Porcentaje de estados financieros de la Entidad elaborados y presentados.</v>
      </c>
      <c r="I74" s="142" t="str">
        <f>+'01-FR-03 POA INSTITUCIONAL'!I74</f>
        <v>Gestión Financiera</v>
      </c>
      <c r="J74" s="143" t="str">
        <f>+'01-FR-03 POA INSTITUCIONAL'!J74</f>
        <v>Subdirección de Gestión Financiera
Dirección Administrativa y Financiera</v>
      </c>
      <c r="K74" s="145">
        <f>+'01-FR-03 POA INSTITUCIONAL'!K74</f>
        <v>1</v>
      </c>
      <c r="L74" s="145">
        <f>+'01-FR-03 POA INSTITUCIONAL'!L74</f>
        <v>1</v>
      </c>
      <c r="M74" s="145">
        <f>+'01-FR-03 POA INSTITUCIONAL'!M74</f>
        <v>1</v>
      </c>
      <c r="N74" s="145">
        <f>+'01-FR-03 POA INSTITUCIONAL'!N74</f>
        <v>1</v>
      </c>
      <c r="O74" s="409">
        <f>+'10-GESTIÓN FINANCIERA'!V18</f>
        <v>0.25</v>
      </c>
      <c r="P74" s="409">
        <f>+'10-GESTIÓN FINANCIERA'!W18</f>
        <v>0.25</v>
      </c>
      <c r="Q74" s="409">
        <f>+'10-GESTIÓN FINANCIERA'!AD18</f>
        <v>0.25</v>
      </c>
      <c r="R74" s="409">
        <f>+'10-GESTIÓN FINANCIERA'!AE18</f>
        <v>0.25</v>
      </c>
      <c r="S74" s="409">
        <f>+'10-GESTIÓN FINANCIERA'!AL18</f>
        <v>0.25</v>
      </c>
      <c r="T74" s="409">
        <f>+'10-GESTIÓN FINANCIERA'!AM18</f>
        <v>0.25</v>
      </c>
      <c r="U74" s="409">
        <f>+'10-GESTIÓN FINANCIERA'!AT18</f>
        <v>0.25</v>
      </c>
      <c r="V74" s="431">
        <f>+'10-GESTIÓN FINANCIERA'!AU18</f>
        <v>0</v>
      </c>
      <c r="W74" s="409">
        <f>+'10-GESTIÓN FINANCIERA'!AV18</f>
        <v>1</v>
      </c>
      <c r="X74" s="455">
        <f t="shared" si="33"/>
        <v>0.75</v>
      </c>
      <c r="Y74" s="770">
        <f t="shared" si="34"/>
        <v>0.75</v>
      </c>
      <c r="Z74" s="457">
        <f>(IF(AND(X74&gt;0,$F74&gt;0),X74/$F74,0)/4)</f>
        <v>0.1875</v>
      </c>
      <c r="AA74" s="456">
        <f t="shared" si="35"/>
        <v>1.125E-2</v>
      </c>
      <c r="AB74" s="1168"/>
      <c r="AD74" s="415">
        <f>+'10-GESTIÓN FINANCIERA'!BC18</f>
        <v>0.75</v>
      </c>
      <c r="AE74" s="417">
        <f t="shared" si="36"/>
        <v>0</v>
      </c>
      <c r="AG74" s="415">
        <f>+'10-GESTIÓN FINANCIERA'!BG18</f>
        <v>0.1875</v>
      </c>
      <c r="AH74" s="417">
        <f t="shared" si="37"/>
        <v>0</v>
      </c>
    </row>
    <row r="75" spans="2:34" ht="78" customHeight="1">
      <c r="B75" s="1470"/>
      <c r="C75" s="1239"/>
      <c r="D75" s="31" t="str">
        <f>+'01-FR-03 POA INSTITUCIONAL'!D75</f>
        <v>4.4.6 Ejecutar el 95% del Plan Anual de Adquisiciones respecto de gastos generales</v>
      </c>
      <c r="E75" s="52">
        <f>+'01-FR-03 POA INSTITUCIONAL'!E75</f>
        <v>0.1</v>
      </c>
      <c r="F75" s="32">
        <f>+'01-FR-03 POA INSTITUCIONAL'!F75</f>
        <v>0.95</v>
      </c>
      <c r="G75" s="176" t="str">
        <f>+'01-FR-03 POA INSTITUCIONAL'!G75</f>
        <v>S.I.</v>
      </c>
      <c r="H75" s="141" t="str">
        <f>+'01-FR-03 POA INSTITUCIONAL'!H75</f>
        <v xml:space="preserve">Porcentaje del Plan Anual de Adquisiciones ejecutado </v>
      </c>
      <c r="I75" s="142" t="str">
        <f>+'01-FR-03 POA INSTITUCIONAL'!I75</f>
        <v>Gestión Contractual</v>
      </c>
      <c r="J75" s="143" t="str">
        <f>+'01-FR-03 POA INSTITUCIONAL'!J75</f>
        <v>Subdirección de Gestión Contractual
Dirección Administrativa y Financiera</v>
      </c>
      <c r="K75" s="145">
        <f>+'01-FR-03 POA INSTITUCIONAL'!K75</f>
        <v>0.95</v>
      </c>
      <c r="L75" s="145">
        <f>+'01-FR-03 POA INSTITUCIONAL'!L75</f>
        <v>0.95</v>
      </c>
      <c r="M75" s="145">
        <f>+'01-FR-03 POA INSTITUCIONAL'!M75</f>
        <v>0.95</v>
      </c>
      <c r="N75" s="145">
        <f>+'01-FR-03 POA INSTITUCIONAL'!N75</f>
        <v>0.95</v>
      </c>
      <c r="O75" s="409">
        <f>+'11-GESTIÓN CONTRACTUAL'!V16</f>
        <v>0.56999999999999995</v>
      </c>
      <c r="P75" s="409">
        <f>+'11-GESTIÓN CONTRACTUAL'!W16</f>
        <v>0.33</v>
      </c>
      <c r="Q75" s="409">
        <f>+'11-GESTIÓN CONTRACTUAL'!AD16</f>
        <v>0.24</v>
      </c>
      <c r="R75" s="409">
        <f>+'11-GESTIÓN CONTRACTUAL'!AE16</f>
        <v>0.16999999999999998</v>
      </c>
      <c r="S75" s="409">
        <f>+'11-GESTIÓN CONTRACTUAL'!AL16</f>
        <v>0.08</v>
      </c>
      <c r="T75" s="409">
        <f>+'11-GESTIÓN CONTRACTUAL'!AM16</f>
        <v>0.21000000000000002</v>
      </c>
      <c r="U75" s="409">
        <f>+'11-GESTIÓN CONTRACTUAL'!AT16</f>
        <v>0.06</v>
      </c>
      <c r="V75" s="431">
        <f>+'10-GESTIÓN FINANCIERA'!AU19</f>
        <v>0</v>
      </c>
      <c r="W75" s="409">
        <f>+'11-GESTIÓN CONTRACTUAL'!AV16</f>
        <v>0.95</v>
      </c>
      <c r="X75" s="455">
        <f t="shared" ref="X75" si="38">+P75+R75+T75+V75</f>
        <v>0.71</v>
      </c>
      <c r="Y75" s="770">
        <f t="shared" si="34"/>
        <v>0.74736842105263157</v>
      </c>
      <c r="Z75" s="457">
        <f>(IF(AND(X75&gt;0,$F75&gt;0),X75/$F75,0)/4)</f>
        <v>0.18684210526315789</v>
      </c>
      <c r="AA75" s="678">
        <f t="shared" ref="AA75:AA82" si="39">IF(AND(Z75&gt;0,E75&gt;0),Z75*E75,0)</f>
        <v>1.8684210526315789E-2</v>
      </c>
      <c r="AB75" s="1168"/>
      <c r="AD75" s="415">
        <f>+'11-GESTIÓN CONTRACTUAL'!BC16</f>
        <v>0.74736842105263157</v>
      </c>
      <c r="AE75" s="417">
        <f t="shared" si="36"/>
        <v>0</v>
      </c>
      <c r="AG75" s="415">
        <f>+'11-GESTIÓN CONTRACTUAL'!BG16</f>
        <v>0.18684210526315789</v>
      </c>
      <c r="AH75" s="417">
        <f t="shared" si="37"/>
        <v>0</v>
      </c>
    </row>
    <row r="76" spans="2:34" ht="96.75" customHeight="1">
      <c r="B76" s="1470"/>
      <c r="C76" s="1239"/>
      <c r="D76" s="31" t="str">
        <f>+'01-FR-03 POA INSTITUCIONAL'!D76</f>
        <v>4.4.7 Realizar el 95% del reparto, dentro de un término no superior a tres (3) días hábiles, de las comunicaciones oficiales institucionales recibidas por el Grupo de Correspondencia.</v>
      </c>
      <c r="E76" s="52">
        <f>+'01-FR-03 POA INSTITUCIONAL'!E76</f>
        <v>0.05</v>
      </c>
      <c r="F76" s="32">
        <f>+'01-FR-03 POA INSTITUCIONAL'!F76</f>
        <v>0.95</v>
      </c>
      <c r="G76" s="176" t="str">
        <f>+'01-FR-03 POA INSTITUCIONAL'!G76</f>
        <v>S.I.</v>
      </c>
      <c r="H76" s="141" t="str">
        <f>+'01-FR-03 POA INSTITUCIONAL'!H76</f>
        <v>Porcentaje de Comunicaciones oficiales con reparto realizado dentro de los 3 días hábiles desde su radicación</v>
      </c>
      <c r="I76" s="142" t="str">
        <f>+'01-FR-03 POA INSTITUCIONAL'!I76</f>
        <v>Gestión Documental</v>
      </c>
      <c r="J76" s="143" t="str">
        <f>+'01-FR-03 POA INSTITUCIONAL'!J76</f>
        <v>Subdirección de Gestión Documental y Recursos Físicos - Grupo de Correspondencia</v>
      </c>
      <c r="K76" s="145">
        <f>+'01-FR-03 POA INSTITUCIONAL'!K76</f>
        <v>0.95</v>
      </c>
      <c r="L76" s="145">
        <f>+'01-FR-03 POA INSTITUCIONAL'!L76</f>
        <v>0.95</v>
      </c>
      <c r="M76" s="145">
        <f>+'01-FR-03 POA INSTITUCIONAL'!M76</f>
        <v>0.95</v>
      </c>
      <c r="N76" s="145">
        <f>+'01-FR-03 POA INSTITUCIONAL'!N76</f>
        <v>0.95</v>
      </c>
      <c r="O76" s="409">
        <f>+'12-GESTIÓN DOCUMENTAL'!V16</f>
        <v>0.94999999999999984</v>
      </c>
      <c r="P76" s="409">
        <f>+'12-GESTIÓN DOCUMENTAL'!W16</f>
        <v>0.96200000000000008</v>
      </c>
      <c r="Q76" s="409">
        <f>+'12-GESTIÓN DOCUMENTAL'!AD16</f>
        <v>0.94999999999999984</v>
      </c>
      <c r="R76" s="409">
        <f>+'12-GESTIÓN DOCUMENTAL'!AE16</f>
        <v>0.97633333333333328</v>
      </c>
      <c r="S76" s="409">
        <f>+'12-GESTIÓN DOCUMENTAL'!AL16</f>
        <v>0.94999999999999984</v>
      </c>
      <c r="T76" s="409">
        <f>+'12-GESTIÓN DOCUMENTAL'!AM16</f>
        <v>0.98399999999999999</v>
      </c>
      <c r="U76" s="409">
        <f>+'12-GESTIÓN DOCUMENTAL'!AT16</f>
        <v>0.94999999999999984</v>
      </c>
      <c r="V76" s="409"/>
      <c r="W76" s="409">
        <f>+'12-GESTIÓN DOCUMENTAL'!AV16</f>
        <v>0.94999999999999984</v>
      </c>
      <c r="X76" s="454">
        <f>IFERROR(IF(OR($W$76="",$W$76=0),0,ROUNDDOWN(AVERAGE($P76,R76,T76,V76),3)),0)</f>
        <v>0.97399999999999998</v>
      </c>
      <c r="Y76" s="765">
        <f>IF(AND(X76&gt;0,$W76&gt;0),X76/$W76,0)*0.75</f>
        <v>0.7689473684210526</v>
      </c>
      <c r="Z76" s="411">
        <f>(IF(AND(X76&gt;0,$F76&gt;0),X76/$F76,0)/4)*0.75</f>
        <v>0.19223684210526315</v>
      </c>
      <c r="AA76" s="411">
        <f t="shared" si="39"/>
        <v>9.6118421052631582E-3</v>
      </c>
      <c r="AB76" s="1168"/>
      <c r="AD76" s="415">
        <f>+'12-GESTIÓN DOCUMENTAL'!BC16</f>
        <v>0.7689473684210526</v>
      </c>
      <c r="AE76" s="417">
        <f t="shared" si="36"/>
        <v>0</v>
      </c>
      <c r="AG76" s="415">
        <f>+'12-GESTIÓN DOCUMENTAL'!BG16</f>
        <v>0.19223684210526315</v>
      </c>
      <c r="AH76" s="417">
        <f t="shared" si="37"/>
        <v>0</v>
      </c>
    </row>
    <row r="77" spans="2:34" ht="76.5" customHeight="1">
      <c r="B77" s="1470"/>
      <c r="C77" s="1239"/>
      <c r="D77" s="31" t="str">
        <f>+'01-FR-03 POA INSTITUCIONAL'!D77</f>
        <v>4.4.8 Incorporar el 80% al archivo central de las transferencias documentales provenientes de las dependencias, en razón a que cumplen los requisitos exigidos para ello.</v>
      </c>
      <c r="E77" s="52">
        <f>+'01-FR-03 POA INSTITUCIONAL'!E77</f>
        <v>0.05</v>
      </c>
      <c r="F77" s="32">
        <f>+'01-FR-03 POA INSTITUCIONAL'!F77</f>
        <v>0.8</v>
      </c>
      <c r="G77" s="1041">
        <f>+'01-FR-03 POA INSTITUCIONAL'!G77</f>
        <v>264</v>
      </c>
      <c r="H77" s="141" t="str">
        <f>+'01-FR-03 POA INSTITUCIONAL'!H77</f>
        <v>Porcentaje de documentación incorporada en el archivo central durante la vigencia.</v>
      </c>
      <c r="I77" s="142" t="str">
        <f>+'01-FR-03 POA INSTITUCIONAL'!I77</f>
        <v>Gestión Documental</v>
      </c>
      <c r="J77" s="143" t="str">
        <f>+'01-FR-03 POA INSTITUCIONAL'!J77</f>
        <v>Subdirección de Gestión Documental y Recursos Físicos - Archivo central</v>
      </c>
      <c r="K77" s="145">
        <f>+'01-FR-03 POA INSTITUCIONAL'!K77</f>
        <v>0.8</v>
      </c>
      <c r="L77" s="145">
        <f>+'01-FR-03 POA INSTITUCIONAL'!L77</f>
        <v>0.8</v>
      </c>
      <c r="M77" s="145">
        <f>+'01-FR-03 POA INSTITUCIONAL'!M77</f>
        <v>0.8</v>
      </c>
      <c r="N77" s="145">
        <f>+'01-FR-03 POA INSTITUCIONAL'!N77</f>
        <v>0.8</v>
      </c>
      <c r="O77" s="409">
        <f>+'12-GESTIÓN DOCUMENTAL'!V17</f>
        <v>0.80000000000000016</v>
      </c>
      <c r="P77" s="409">
        <f>+'12-GESTIÓN DOCUMENTAL'!W17</f>
        <v>0.80000000000000016</v>
      </c>
      <c r="Q77" s="409">
        <f>+'12-GESTIÓN DOCUMENTAL'!AD17</f>
        <v>0.80000000000000016</v>
      </c>
      <c r="R77" s="409">
        <f>+'12-GESTIÓN DOCUMENTAL'!AE17</f>
        <v>0.80000000000000016</v>
      </c>
      <c r="S77" s="409">
        <f>+'12-GESTIÓN DOCUMENTAL'!AL17</f>
        <v>0.80000000000000016</v>
      </c>
      <c r="T77" s="409">
        <f>+'12-GESTIÓN DOCUMENTAL'!AM17</f>
        <v>0.81733333333333336</v>
      </c>
      <c r="U77" s="409">
        <f>+'12-GESTIÓN DOCUMENTAL'!AT17</f>
        <v>0.80000000000000016</v>
      </c>
      <c r="V77" s="409"/>
      <c r="W77" s="409">
        <f>+'12-GESTIÓN DOCUMENTAL'!AV17</f>
        <v>0.79999999999999993</v>
      </c>
      <c r="X77" s="454">
        <f>IFERROR(IF(OR($W$77="",$W$77=0),0,ROUNDDOWN(AVERAGE($P77,R77,T77,V77),3)),0)</f>
        <v>0.80500000000000005</v>
      </c>
      <c r="Y77" s="765">
        <f>IF(AND(X77&gt;0,$W77&gt;0),X77/$W77,0)*0.75</f>
        <v>0.75468750000000007</v>
      </c>
      <c r="Z77" s="411">
        <f>(IF(AND(X77&gt;0,$F77&gt;0),X77/$F77,0)/4)*0.75</f>
        <v>0.18867187500000002</v>
      </c>
      <c r="AA77" s="411">
        <f t="shared" si="39"/>
        <v>9.4335937500000019E-3</v>
      </c>
      <c r="AB77" s="1168"/>
      <c r="AD77" s="415">
        <f>+'12-GESTIÓN DOCUMENTAL'!BC17</f>
        <v>0.75468750000000007</v>
      </c>
      <c r="AE77" s="417">
        <f t="shared" si="36"/>
        <v>0</v>
      </c>
      <c r="AG77" s="415">
        <f>+'12-GESTIÓN DOCUMENTAL'!BG17</f>
        <v>0.18867187500000002</v>
      </c>
      <c r="AH77" s="417">
        <f t="shared" si="37"/>
        <v>0</v>
      </c>
    </row>
    <row r="78" spans="2:34" ht="120" customHeight="1">
      <c r="B78" s="1470"/>
      <c r="C78" s="1239"/>
      <c r="D78" s="31" t="str">
        <f>+'01-FR-03 POA INSTITUCIONAL'!D78</f>
        <v>4.4.9 Realizar 100 actividades de diseño, actualización o ajuste de los instrumentos archivísticos establecidos por norma.</v>
      </c>
      <c r="E78" s="52">
        <f>+'01-FR-03 POA INSTITUCIONAL'!E78</f>
        <v>0.05</v>
      </c>
      <c r="F78" s="139">
        <f>+'01-FR-03 POA INSTITUCIONAL'!F78</f>
        <v>100</v>
      </c>
      <c r="G78" s="1041">
        <f>+'01-FR-03 POA INSTITUCIONAL'!G78</f>
        <v>32</v>
      </c>
      <c r="H78" s="141" t="str">
        <f>+'01-FR-03 POA INSTITUCIONAL'!H78</f>
        <v>Cantidad de actividades realizadas por año para el diseño, actualización o ajuste de los instrumentos archivísticos establecidos por norma</v>
      </c>
      <c r="I78" s="142" t="str">
        <f>+'01-FR-03 POA INSTITUCIONAL'!I78</f>
        <v>Gestión Documental</v>
      </c>
      <c r="J78" s="143" t="str">
        <f>+'01-FR-03 POA INSTITUCIONAL'!J78</f>
        <v xml:space="preserve">Subdirección de Gestión Documental y Recursos Físicos </v>
      </c>
      <c r="K78" s="144">
        <f>+'01-FR-03 POA INSTITUCIONAL'!K78</f>
        <v>25</v>
      </c>
      <c r="L78" s="144">
        <f>+'01-FR-03 POA INSTITUCIONAL'!L78</f>
        <v>25</v>
      </c>
      <c r="M78" s="144">
        <f>+'01-FR-03 POA INSTITUCIONAL'!M78</f>
        <v>25</v>
      </c>
      <c r="N78" s="144">
        <f>+'01-FR-03 POA INSTITUCIONAL'!N78</f>
        <v>25</v>
      </c>
      <c r="O78" s="175">
        <f>+'12-GESTIÓN DOCUMENTAL'!V18</f>
        <v>5</v>
      </c>
      <c r="P78" s="175">
        <f>+'12-GESTIÓN DOCUMENTAL'!W18</f>
        <v>7</v>
      </c>
      <c r="Q78" s="175">
        <f>+'12-GESTIÓN DOCUMENTAL'!AD18</f>
        <v>7</v>
      </c>
      <c r="R78" s="175">
        <f>+'12-GESTIÓN DOCUMENTAL'!AE18</f>
        <v>6</v>
      </c>
      <c r="S78" s="175">
        <f>+'12-GESTIÓN DOCUMENTAL'!AL18</f>
        <v>7</v>
      </c>
      <c r="T78" s="175">
        <f>+'12-GESTIÓN DOCUMENTAL'!AM18</f>
        <v>10</v>
      </c>
      <c r="U78" s="175">
        <f>+'12-GESTIÓN DOCUMENTAL'!AT18</f>
        <v>6</v>
      </c>
      <c r="V78" s="446">
        <f>+'12-GESTIÓN DOCUMENTAL'!AU18</f>
        <v>0</v>
      </c>
      <c r="W78" s="175">
        <f>+'12-GESTIÓN DOCUMENTAL'!AV18</f>
        <v>25</v>
      </c>
      <c r="X78" s="175">
        <f t="shared" ref="X78:X79" si="40">+P78+R78+T78+V78</f>
        <v>23</v>
      </c>
      <c r="Y78" s="771">
        <f t="shared" ref="Y78:Y79" si="41">IF(AND(X78&gt;0,$W78&gt;0),X78/$W78,0)</f>
        <v>0.92</v>
      </c>
      <c r="Z78" s="411">
        <f t="shared" ref="Z78:Z79" si="42">IF(AND(X78&gt;0,$F78&gt;0),X78/$F78,0)</f>
        <v>0.23</v>
      </c>
      <c r="AA78" s="418">
        <f t="shared" si="39"/>
        <v>1.1500000000000002E-2</v>
      </c>
      <c r="AB78" s="1168"/>
      <c r="AD78" s="415">
        <f>+'12-GESTIÓN DOCUMENTAL'!BC18</f>
        <v>0.92</v>
      </c>
      <c r="AE78" s="417">
        <f t="shared" si="36"/>
        <v>0</v>
      </c>
      <c r="AG78" s="415">
        <f>+'12-GESTIÓN DOCUMENTAL'!BG18</f>
        <v>0.23</v>
      </c>
      <c r="AH78" s="417">
        <f t="shared" si="37"/>
        <v>0</v>
      </c>
    </row>
    <row r="79" spans="2:34" ht="87" customHeight="1">
      <c r="B79" s="1470"/>
      <c r="C79" s="1239"/>
      <c r="D79" s="31" t="str">
        <f>+'01-FR-03 POA INSTITUCIONAL'!D79</f>
        <v>4.4.10 Realizar 100 actividades de implementación de los instrumentos archivísticos establecidos por norma, y de las herramientas de apoyo a la gestión documental.</v>
      </c>
      <c r="E79" s="52">
        <f>+'01-FR-03 POA INSTITUCIONAL'!E79</f>
        <v>0.05</v>
      </c>
      <c r="F79" s="139">
        <f>+'01-FR-03 POA INSTITUCIONAL'!F79</f>
        <v>100</v>
      </c>
      <c r="G79" s="1041">
        <f>+'01-FR-03 POA INSTITUCIONAL'!G79</f>
        <v>26</v>
      </c>
      <c r="H79" s="141" t="str">
        <f>+'01-FR-03 POA INSTITUCIONAL'!H79</f>
        <v>Cantidad de actividades realizadas por año para implementación de los instrumentos archivísticos establecidos por norma, y de herramientas de apoyo a la gestión documental.</v>
      </c>
      <c r="I79" s="142" t="str">
        <f>+'01-FR-03 POA INSTITUCIONAL'!I79</f>
        <v>Gestión Documental
Direccionamiento TIC</v>
      </c>
      <c r="J79" s="143" t="str">
        <f>+'01-FR-03 POA INSTITUCIONAL'!J79</f>
        <v>Subdirección de Gestión Documental y Recursos Físicos
Dirección de Tecnologías de la Información y Comunicaciones</v>
      </c>
      <c r="K79" s="144">
        <f>+'01-FR-03 POA INSTITUCIONAL'!K79</f>
        <v>25</v>
      </c>
      <c r="L79" s="144">
        <f>+'01-FR-03 POA INSTITUCIONAL'!L79</f>
        <v>25</v>
      </c>
      <c r="M79" s="144">
        <f>+'01-FR-03 POA INSTITUCIONAL'!M79</f>
        <v>25</v>
      </c>
      <c r="N79" s="144">
        <f>+'01-FR-03 POA INSTITUCIONAL'!N79</f>
        <v>25</v>
      </c>
      <c r="O79" s="175">
        <f>+'12-GESTIÓN DOCUMENTAL'!V19</f>
        <v>5</v>
      </c>
      <c r="P79" s="175">
        <f>+'12-GESTIÓN DOCUMENTAL'!W19</f>
        <v>6</v>
      </c>
      <c r="Q79" s="175">
        <f>+'12-GESTIÓN DOCUMENTAL'!AD19</f>
        <v>7</v>
      </c>
      <c r="R79" s="175">
        <f>+'12-GESTIÓN DOCUMENTAL'!AE19</f>
        <v>5</v>
      </c>
      <c r="S79" s="175">
        <f>+'12-GESTIÓN DOCUMENTAL'!AL19</f>
        <v>7</v>
      </c>
      <c r="T79" s="175">
        <f>+'12-GESTIÓN DOCUMENTAL'!AM19</f>
        <v>6</v>
      </c>
      <c r="U79" s="175">
        <f>+'12-GESTIÓN DOCUMENTAL'!AT19</f>
        <v>6</v>
      </c>
      <c r="V79" s="446">
        <f>+'12-GESTIÓN DOCUMENTAL'!AU19</f>
        <v>0</v>
      </c>
      <c r="W79" s="175">
        <f>+'12-GESTIÓN DOCUMENTAL'!AV19</f>
        <v>25</v>
      </c>
      <c r="X79" s="175">
        <f t="shared" si="40"/>
        <v>17</v>
      </c>
      <c r="Y79" s="771">
        <f t="shared" si="41"/>
        <v>0.68</v>
      </c>
      <c r="Z79" s="411">
        <f t="shared" si="42"/>
        <v>0.17</v>
      </c>
      <c r="AA79" s="418">
        <f t="shared" si="39"/>
        <v>8.5000000000000006E-3</v>
      </c>
      <c r="AB79" s="1168"/>
      <c r="AD79" s="415">
        <f>+'12-GESTIÓN DOCUMENTAL'!BC19</f>
        <v>0.68</v>
      </c>
      <c r="AE79" s="417">
        <f t="shared" si="36"/>
        <v>0</v>
      </c>
      <c r="AG79" s="415">
        <f>+'12-GESTIÓN DOCUMENTAL'!BG19</f>
        <v>0.17</v>
      </c>
      <c r="AH79" s="417">
        <f t="shared" si="37"/>
        <v>0</v>
      </c>
    </row>
    <row r="80" spans="2:34" ht="63" customHeight="1">
      <c r="B80" s="1470"/>
      <c r="C80" s="1239"/>
      <c r="D80" s="31" t="str">
        <f>+'01-FR-03 POA INSTITUCIONAL'!D80</f>
        <v>4.4.11  Representar a la Entidad en el 100% de los procesos judiciales en los cuales la sea vinculada o demandada.</v>
      </c>
      <c r="E80" s="52">
        <f>+'01-FR-03 POA INSTITUCIONAL'!E80</f>
        <v>0.05</v>
      </c>
      <c r="F80" s="32">
        <f>+'01-FR-03 POA INSTITUCIONAL'!F80</f>
        <v>1</v>
      </c>
      <c r="G80" s="176">
        <f>+'01-FR-03 POA INSTITUCIONAL'!G80</f>
        <v>1</v>
      </c>
      <c r="H80" s="141" t="str">
        <f>+'01-FR-03 POA INSTITUCIONAL'!H80</f>
        <v>Porcentaje de procesos judiciales en los que se vincule o demande a la Entidad, objeto de representación oportuna</v>
      </c>
      <c r="I80" s="142" t="str">
        <f>+'01-FR-03 POA INSTITUCIONAL'!I80</f>
        <v xml:space="preserve"> Gestión Jurídica</v>
      </c>
      <c r="J80" s="143" t="str">
        <f>+'01-FR-03 POA INSTITUCIONAL'!J80</f>
        <v>Oficina Asesora Jurídica</v>
      </c>
      <c r="K80" s="145">
        <f>+'01-FR-03 POA INSTITUCIONAL'!K80</f>
        <v>1</v>
      </c>
      <c r="L80" s="145">
        <f>+'01-FR-03 POA INSTITUCIONAL'!L80</f>
        <v>1</v>
      </c>
      <c r="M80" s="145">
        <f>+'01-FR-03 POA INSTITUCIONAL'!M80</f>
        <v>1</v>
      </c>
      <c r="N80" s="145">
        <f>+'01-FR-03 POA INSTITUCIONAL'!N80</f>
        <v>1</v>
      </c>
      <c r="O80" s="459">
        <f>+'13-GESTIÓN JURÍDICA'!V16</f>
        <v>1</v>
      </c>
      <c r="P80" s="459">
        <f>+'13-GESTIÓN JURÍDICA'!W16</f>
        <v>1</v>
      </c>
      <c r="Q80" s="459">
        <f>+'13-GESTIÓN JURÍDICA'!AD16</f>
        <v>1</v>
      </c>
      <c r="R80" s="459">
        <f>+'13-GESTIÓN JURÍDICA'!AE16</f>
        <v>1</v>
      </c>
      <c r="S80" s="459">
        <f>+'13-GESTIÓN JURÍDICA'!AL16</f>
        <v>1</v>
      </c>
      <c r="T80" s="409">
        <f>+'13-GESTIÓN JURÍDICA'!AM16</f>
        <v>1</v>
      </c>
      <c r="U80" s="409">
        <f>+'13-GESTIÓN JURÍDICA'!AT16</f>
        <v>1</v>
      </c>
      <c r="V80" s="409"/>
      <c r="W80" s="409">
        <f>+'13-GESTIÓN JURÍDICA'!AV16</f>
        <v>1</v>
      </c>
      <c r="X80" s="454">
        <f>IFERROR(IF(OR($W$80="",$W$80=0),0,ROUNDDOWN(AVERAGE($P80,R80,T80,V80),3)),0)</f>
        <v>1</v>
      </c>
      <c r="Y80" s="765">
        <f>IF(AND(X80&gt;0,$W80&gt;0),X80/$W80,0)*0.75</f>
        <v>0.75</v>
      </c>
      <c r="Z80" s="411">
        <f>(IF(AND(X80&gt;0,$F80&gt;0),X80/$F80,0)/4)*0.75</f>
        <v>0.1875</v>
      </c>
      <c r="AA80" s="418">
        <f t="shared" si="39"/>
        <v>9.3750000000000014E-3</v>
      </c>
      <c r="AB80" s="1168"/>
      <c r="AD80" s="415">
        <f>+'13-GESTIÓN JURÍDICA'!BC16</f>
        <v>0.75</v>
      </c>
      <c r="AE80" s="417">
        <f t="shared" si="36"/>
        <v>0</v>
      </c>
      <c r="AG80" s="415">
        <f>+'13-GESTIÓN JURÍDICA'!BG16</f>
        <v>0.1875</v>
      </c>
      <c r="AH80" s="417">
        <f t="shared" si="37"/>
        <v>0</v>
      </c>
    </row>
    <row r="81" spans="2:34" ht="54.75" customHeight="1">
      <c r="B81" s="1470"/>
      <c r="C81" s="1239"/>
      <c r="D81" s="31" t="str">
        <f>+'01-FR-03 POA INSTITUCIONAL'!D81</f>
        <v xml:space="preserve">4.4.12 Defender judicialmente a la Entidad en el 100% de las acciones de tutela en las cuales sea vinculada o accionada </v>
      </c>
      <c r="E81" s="52">
        <f>+'01-FR-03 POA INSTITUCIONAL'!E81</f>
        <v>0.05</v>
      </c>
      <c r="F81" s="32">
        <f>+'01-FR-03 POA INSTITUCIONAL'!F81</f>
        <v>1</v>
      </c>
      <c r="G81" s="176">
        <f>+'01-FR-03 POA INSTITUCIONAL'!G81</f>
        <v>1</v>
      </c>
      <c r="H81" s="141" t="str">
        <f>+'01-FR-03 POA INSTITUCIONAL'!H81</f>
        <v xml:space="preserve">Porcentaje de acciones de tutela en las cuales se defienda judicialmente a la Entidad oportunamente </v>
      </c>
      <c r="I81" s="142" t="str">
        <f>+'01-FR-03 POA INSTITUCIONAL'!I81</f>
        <v xml:space="preserve"> Gestión Jurídica</v>
      </c>
      <c r="J81" s="143" t="str">
        <f>+'01-FR-03 POA INSTITUCIONAL'!J81</f>
        <v>Oficina Asesora Jurídica</v>
      </c>
      <c r="K81" s="145">
        <f>+'01-FR-03 POA INSTITUCIONAL'!K81</f>
        <v>1</v>
      </c>
      <c r="L81" s="145">
        <f>+'01-FR-03 POA INSTITUCIONAL'!L81</f>
        <v>1</v>
      </c>
      <c r="M81" s="145">
        <f>+'01-FR-03 POA INSTITUCIONAL'!M81</f>
        <v>1</v>
      </c>
      <c r="N81" s="145">
        <f>+'01-FR-03 POA INSTITUCIONAL'!N81</f>
        <v>1</v>
      </c>
      <c r="O81" s="459">
        <f>+'13-GESTIÓN JURÍDICA'!V17</f>
        <v>1</v>
      </c>
      <c r="P81" s="459">
        <f>+'13-GESTIÓN JURÍDICA'!W17</f>
        <v>1</v>
      </c>
      <c r="Q81" s="459">
        <f>+'13-GESTIÓN JURÍDICA'!AD17</f>
        <v>1</v>
      </c>
      <c r="R81" s="459">
        <f>+'13-GESTIÓN JURÍDICA'!AE17</f>
        <v>1</v>
      </c>
      <c r="S81" s="459">
        <f>+'13-GESTIÓN JURÍDICA'!AL17</f>
        <v>1</v>
      </c>
      <c r="T81" s="409">
        <f>+'13-GESTIÓN JURÍDICA'!AM17</f>
        <v>1</v>
      </c>
      <c r="U81" s="409">
        <f>+'13-GESTIÓN JURÍDICA'!AT17</f>
        <v>1</v>
      </c>
      <c r="V81" s="409"/>
      <c r="W81" s="409">
        <f>+'13-GESTIÓN JURÍDICA'!AV17</f>
        <v>1</v>
      </c>
      <c r="X81" s="454">
        <f>IFERROR(IF(OR($W$81="",$W$81=0),0,ROUNDDOWN(AVERAGE($P81,R81,T81,V81),3)),0)</f>
        <v>1</v>
      </c>
      <c r="Y81" s="765">
        <f t="shared" ref="Y81:Y84" si="43">IF(AND(X81&gt;0,$W81&gt;0),X81/$W81,0)*0.75</f>
        <v>0.75</v>
      </c>
      <c r="Z81" s="411">
        <f t="shared" ref="Z81:Z84" si="44">(IF(AND(X81&gt;0,$F81&gt;0),X81/$F81,0)/4)*0.75</f>
        <v>0.1875</v>
      </c>
      <c r="AA81" s="418">
        <f t="shared" si="39"/>
        <v>9.3750000000000014E-3</v>
      </c>
      <c r="AB81" s="1168"/>
      <c r="AD81" s="415">
        <f>+'13-GESTIÓN JURÍDICA'!BC17</f>
        <v>0.75</v>
      </c>
      <c r="AE81" s="417">
        <f t="shared" si="36"/>
        <v>0</v>
      </c>
      <c r="AG81" s="415">
        <f>+'13-GESTIÓN JURÍDICA'!BG17</f>
        <v>0.1875</v>
      </c>
      <c r="AH81" s="417">
        <f t="shared" si="37"/>
        <v>0</v>
      </c>
    </row>
    <row r="82" spans="2:34" ht="78.75" customHeight="1">
      <c r="B82" s="1470"/>
      <c r="C82" s="1239"/>
      <c r="D82" s="31" t="str">
        <f>+'01-FR-03 POA INSTITUCIONAL'!D82</f>
        <v>4.4.13 Emitir oportunamente el 100% de los conceptos jurídicos solicitados por el Despacho del Personero de Bogotá o sus delegados.</v>
      </c>
      <c r="E82" s="52">
        <f>+'01-FR-03 POA INSTITUCIONAL'!E82</f>
        <v>0.05</v>
      </c>
      <c r="F82" s="32">
        <f>+'01-FR-03 POA INSTITUCIONAL'!F82</f>
        <v>1</v>
      </c>
      <c r="G82" s="176">
        <f>+'01-FR-03 POA INSTITUCIONAL'!G82</f>
        <v>1</v>
      </c>
      <c r="H82" s="141" t="str">
        <f>+'01-FR-03 POA INSTITUCIONAL'!H82</f>
        <v>Porcentaje de conceptos de competencia de la dependencia emitidos oportunamente</v>
      </c>
      <c r="I82" s="142" t="str">
        <f>+'01-FR-03 POA INSTITUCIONAL'!I82</f>
        <v xml:space="preserve"> Gestión Jurídica</v>
      </c>
      <c r="J82" s="143" t="str">
        <f>+'01-FR-03 POA INSTITUCIONAL'!J82</f>
        <v>Oficina Asesora Jurídica</v>
      </c>
      <c r="K82" s="145">
        <f>+'01-FR-03 POA INSTITUCIONAL'!K82</f>
        <v>1</v>
      </c>
      <c r="L82" s="145">
        <f>+'01-FR-03 POA INSTITUCIONAL'!L82</f>
        <v>1</v>
      </c>
      <c r="M82" s="145">
        <f>+'01-FR-03 POA INSTITUCIONAL'!M82</f>
        <v>1</v>
      </c>
      <c r="N82" s="145">
        <f>+'01-FR-03 POA INSTITUCIONAL'!N82</f>
        <v>1</v>
      </c>
      <c r="O82" s="459">
        <f>+'13-GESTIÓN JURÍDICA'!V18</f>
        <v>1</v>
      </c>
      <c r="P82" s="459">
        <f>+'13-GESTIÓN JURÍDICA'!W18</f>
        <v>1</v>
      </c>
      <c r="Q82" s="459">
        <f>+'13-GESTIÓN JURÍDICA'!AD18</f>
        <v>1</v>
      </c>
      <c r="R82" s="459">
        <f>+'13-GESTIÓN JURÍDICA'!AE18</f>
        <v>1</v>
      </c>
      <c r="S82" s="459">
        <f>+'13-GESTIÓN JURÍDICA'!AL18</f>
        <v>1</v>
      </c>
      <c r="T82" s="409">
        <f>+'13-GESTIÓN JURÍDICA'!AM18</f>
        <v>1</v>
      </c>
      <c r="U82" s="409">
        <f>+'13-GESTIÓN JURÍDICA'!AT18</f>
        <v>1</v>
      </c>
      <c r="V82" s="409"/>
      <c r="W82" s="409">
        <f>+'13-GESTIÓN JURÍDICA'!AV18</f>
        <v>1</v>
      </c>
      <c r="X82" s="454">
        <f>IFERROR(IF(OR($W$82="",$W$82=0),0,ROUNDDOWN(AVERAGE($P82,R82,T82,V82),3)),0)</f>
        <v>1</v>
      </c>
      <c r="Y82" s="765">
        <f t="shared" si="43"/>
        <v>0.75</v>
      </c>
      <c r="Z82" s="411">
        <f t="shared" si="44"/>
        <v>0.1875</v>
      </c>
      <c r="AA82" s="418">
        <f t="shared" si="39"/>
        <v>9.3750000000000014E-3</v>
      </c>
      <c r="AB82" s="1168"/>
      <c r="AD82" s="415">
        <f>+'13-GESTIÓN JURÍDICA'!BC18</f>
        <v>0.75</v>
      </c>
      <c r="AE82" s="417">
        <f t="shared" si="36"/>
        <v>0</v>
      </c>
      <c r="AG82" s="415">
        <f>+'13-GESTIÓN JURÍDICA'!BG18</f>
        <v>0.1875</v>
      </c>
      <c r="AH82" s="417">
        <f t="shared" si="37"/>
        <v>0</v>
      </c>
    </row>
    <row r="83" spans="2:34" ht="76.5" customHeight="1">
      <c r="B83" s="1470"/>
      <c r="C83" s="1239"/>
      <c r="D83" s="1484" t="str">
        <f>+'01-FR-03 POA INSTITUCIONAL'!D83</f>
        <v>4.4.14 Registrar el 100% de los reportes de las sanciones disciplinarias de los servidores públicos distritales.</v>
      </c>
      <c r="E83" s="1479">
        <f>+'01-FR-03 POA INSTITUCIONAL'!E83</f>
        <v>0.05</v>
      </c>
      <c r="F83" s="32">
        <f>+'01-FR-03 POA INSTITUCIONAL'!F83</f>
        <v>1</v>
      </c>
      <c r="G83" s="176">
        <f>+'01-FR-03 POA INSTITUCIONAL'!G83</f>
        <v>1</v>
      </c>
      <c r="H83" s="141" t="str">
        <f>+'01-FR-03 POA INSTITUCIONAL'!H83</f>
        <v>Porcentaje de reportes de la base de datos de sanciones disciplinarias registrados</v>
      </c>
      <c r="I83" s="142" t="str">
        <f>+'01-FR-03 POA INSTITUCIONAL'!I83</f>
        <v xml:space="preserve"> Gestión Jurídica</v>
      </c>
      <c r="J83" s="143" t="str">
        <f>+'01-FR-03 POA INSTITUCIONAL'!J83</f>
        <v>Oficina Asesora Jurídica</v>
      </c>
      <c r="K83" s="145">
        <f>+'01-FR-03 POA INSTITUCIONAL'!K83</f>
        <v>1</v>
      </c>
      <c r="L83" s="145">
        <f>+'01-FR-03 POA INSTITUCIONAL'!L83</f>
        <v>1</v>
      </c>
      <c r="M83" s="145">
        <f>+'01-FR-03 POA INSTITUCIONAL'!M83</f>
        <v>1</v>
      </c>
      <c r="N83" s="145">
        <f>+'01-FR-03 POA INSTITUCIONAL'!N83</f>
        <v>1</v>
      </c>
      <c r="O83" s="459">
        <f>+'13-GESTIÓN JURÍDICA'!V19</f>
        <v>1</v>
      </c>
      <c r="P83" s="459">
        <f>+'13-GESTIÓN JURÍDICA'!W19</f>
        <v>1</v>
      </c>
      <c r="Q83" s="459">
        <f>+'13-GESTIÓN JURÍDICA'!AD19</f>
        <v>1</v>
      </c>
      <c r="R83" s="459">
        <f>+'13-GESTIÓN JURÍDICA'!AE19</f>
        <v>1</v>
      </c>
      <c r="S83" s="459">
        <f>+'13-GESTIÓN JURÍDICA'!AL19</f>
        <v>1</v>
      </c>
      <c r="T83" s="409">
        <f>+'13-GESTIÓN JURÍDICA'!AM19</f>
        <v>1</v>
      </c>
      <c r="U83" s="409">
        <f>+'13-GESTIÓN JURÍDICA'!AT19</f>
        <v>1</v>
      </c>
      <c r="V83" s="409"/>
      <c r="W83" s="409">
        <f>+'13-GESTIÓN JURÍDICA'!AV19</f>
        <v>1</v>
      </c>
      <c r="X83" s="454">
        <f>IFERROR(IF(OR($W$83="",$W$83=0),0,ROUNDDOWN(AVERAGE($P83,R83,T83,V83),3)),0)</f>
        <v>1</v>
      </c>
      <c r="Y83" s="765">
        <f t="shared" si="43"/>
        <v>0.75</v>
      </c>
      <c r="Z83" s="411">
        <f t="shared" si="44"/>
        <v>0.1875</v>
      </c>
      <c r="AA83" s="1425">
        <f>AVERAGE((IF(AND(Z83&gt;0,E83&gt;0),Z83*E83,0)),(IF(AND(Z84&gt;0,E83&gt;0),Z84*E83,0)))</f>
        <v>9.3750000000000014E-3</v>
      </c>
      <c r="AB83" s="1168"/>
      <c r="AD83" s="415">
        <f>+'13-GESTIÓN JURÍDICA'!BC19</f>
        <v>0.75</v>
      </c>
      <c r="AE83" s="417">
        <f t="shared" si="36"/>
        <v>0</v>
      </c>
      <c r="AG83" s="415">
        <f>+'13-GESTIÓN JURÍDICA'!BG19</f>
        <v>0.1875</v>
      </c>
      <c r="AH83" s="417">
        <f t="shared" si="37"/>
        <v>0</v>
      </c>
    </row>
    <row r="84" spans="2:34" ht="76.5" customHeight="1">
      <c r="B84" s="1470"/>
      <c r="C84" s="1239"/>
      <c r="D84" s="1485"/>
      <c r="E84" s="1480"/>
      <c r="F84" s="32">
        <f>+'01-FR-03 POA INSTITUCIONAL'!F84</f>
        <v>1</v>
      </c>
      <c r="G84" s="176">
        <f>+'01-FR-03 POA INSTITUCIONAL'!G84</f>
        <v>1</v>
      </c>
      <c r="H84" s="141" t="str">
        <f>+'01-FR-03 POA INSTITUCIONAL'!H84</f>
        <v>Porcentaje de antecedentes disciplinarios expedidos</v>
      </c>
      <c r="I84" s="142" t="str">
        <f>+'01-FR-03 POA INSTITUCIONAL'!I84</f>
        <v xml:space="preserve"> Gestión Jurídica</v>
      </c>
      <c r="J84" s="143" t="str">
        <f>+'01-FR-03 POA INSTITUCIONAL'!J84</f>
        <v>Oficina Asesora Jurídica</v>
      </c>
      <c r="K84" s="145">
        <f>+'01-FR-03 POA INSTITUCIONAL'!K84</f>
        <v>1</v>
      </c>
      <c r="L84" s="145">
        <f>+'01-FR-03 POA INSTITUCIONAL'!L84</f>
        <v>1</v>
      </c>
      <c r="M84" s="145">
        <f>+'01-FR-03 POA INSTITUCIONAL'!M84</f>
        <v>1</v>
      </c>
      <c r="N84" s="145">
        <f>+'01-FR-03 POA INSTITUCIONAL'!N84</f>
        <v>1</v>
      </c>
      <c r="O84" s="459">
        <f>+'13-GESTIÓN JURÍDICA'!V20</f>
        <v>1</v>
      </c>
      <c r="P84" s="459">
        <f>+'13-GESTIÓN JURÍDICA'!W20</f>
        <v>1</v>
      </c>
      <c r="Q84" s="459">
        <f>+'13-GESTIÓN JURÍDICA'!AD20</f>
        <v>1</v>
      </c>
      <c r="R84" s="459">
        <f>+'13-GESTIÓN JURÍDICA'!AE20</f>
        <v>1</v>
      </c>
      <c r="S84" s="459">
        <f>+'13-GESTIÓN JURÍDICA'!AL20</f>
        <v>1</v>
      </c>
      <c r="T84" s="409">
        <f>+'13-GESTIÓN JURÍDICA'!AM20</f>
        <v>1</v>
      </c>
      <c r="U84" s="409">
        <f>+'13-GESTIÓN JURÍDICA'!AT20</f>
        <v>1</v>
      </c>
      <c r="V84" s="409"/>
      <c r="W84" s="409">
        <f>+'13-GESTIÓN JURÍDICA'!AV20</f>
        <v>1</v>
      </c>
      <c r="X84" s="454">
        <f>IFERROR(IF(OR($W$84="",$W$84=0),0,ROUNDDOWN(AVERAGE($P84,R84,T84,V84),3)),0)</f>
        <v>1</v>
      </c>
      <c r="Y84" s="765">
        <f t="shared" si="43"/>
        <v>0.75</v>
      </c>
      <c r="Z84" s="411">
        <f t="shared" si="44"/>
        <v>0.1875</v>
      </c>
      <c r="AA84" s="1426"/>
      <c r="AB84" s="1168"/>
      <c r="AD84" s="415">
        <f>+'13-GESTIÓN JURÍDICA'!BC20</f>
        <v>0.75</v>
      </c>
      <c r="AE84" s="417">
        <f t="shared" si="36"/>
        <v>0</v>
      </c>
      <c r="AG84" s="415">
        <f>+'13-GESTIÓN JURÍDICA'!BG20</f>
        <v>0.1875</v>
      </c>
      <c r="AH84" s="417">
        <f t="shared" si="37"/>
        <v>0</v>
      </c>
    </row>
    <row r="85" spans="2:34" ht="76.5" customHeight="1">
      <c r="B85" s="1470"/>
      <c r="C85" s="1239"/>
      <c r="D85" s="1487" t="str">
        <f>+'01-FR-03 POA INSTITUCIONAL'!D85</f>
        <v>4.4.15 Elaborar el 95% de los contratos en cada una de las modalidades de selección en los tiempos óptimos</v>
      </c>
      <c r="E85" s="1490">
        <f>+'01-FR-03 POA INSTITUCIONAL'!E85</f>
        <v>0.1</v>
      </c>
      <c r="F85" s="32">
        <f>+'01-FR-03 POA INSTITUCIONAL'!F85</f>
        <v>0.95</v>
      </c>
      <c r="G85" s="176" t="str">
        <f>+'01-FR-03 POA INSTITUCIONAL'!G85</f>
        <v>S.I.</v>
      </c>
      <c r="H85" s="141" t="str">
        <f>+'01-FR-03 POA INSTITUCIONAL'!H85</f>
        <v xml:space="preserve">Porcentaje de contratos en la modalidad de contratacion directa elaborados en los tiempos óptimos </v>
      </c>
      <c r="I85" s="142" t="str">
        <f>+'01-FR-03 POA INSTITUCIONAL'!I85</f>
        <v>Gestión Contractual</v>
      </c>
      <c r="J85" s="143" t="str">
        <f>+'01-FR-03 POA INSTITUCIONAL'!J85</f>
        <v>Subdirección de Gestión Contractual
Dirección Administrativa y Financiera</v>
      </c>
      <c r="K85" s="145">
        <f>+'01-FR-03 POA INSTITUCIONAL'!K85</f>
        <v>0.6</v>
      </c>
      <c r="L85" s="145">
        <f>+'01-FR-03 POA INSTITUCIONAL'!L85</f>
        <v>0.8</v>
      </c>
      <c r="M85" s="145">
        <f>+'01-FR-03 POA INSTITUCIONAL'!M85</f>
        <v>0.9</v>
      </c>
      <c r="N85" s="145">
        <f>+'01-FR-03 POA INSTITUCIONAL'!N85</f>
        <v>0.95</v>
      </c>
      <c r="O85" s="409">
        <f>+'11-GESTIÓN CONTRACTUAL'!V17</f>
        <v>0</v>
      </c>
      <c r="P85" s="409">
        <f>+'11-GESTIÓN CONTRACTUAL'!W17</f>
        <v>0</v>
      </c>
      <c r="Q85" s="409">
        <f>+'11-GESTIÓN CONTRACTUAL'!AD17</f>
        <v>0</v>
      </c>
      <c r="R85" s="409">
        <f>+'11-GESTIÓN CONTRACTUAL'!AE17</f>
        <v>0</v>
      </c>
      <c r="S85" s="409">
        <f>+'11-GESTIÓN CONTRACTUAL'!AF17</f>
        <v>0.6</v>
      </c>
      <c r="T85" s="409">
        <f>+'11-GESTIÓN CONTRACTUAL'!AM17</f>
        <v>0.505</v>
      </c>
      <c r="U85" s="409">
        <f>+'11-GESTIÓN CONTRACTUAL'!AH17</f>
        <v>0.6</v>
      </c>
      <c r="V85" s="409"/>
      <c r="W85" s="409">
        <f>+'11-GESTIÓN CONTRACTUAL'!AJ17</f>
        <v>0.6</v>
      </c>
      <c r="X85" s="454">
        <f>IFERROR(IF(OR($W$85="",$W$85=0),0,ROUNDDOWN(AVERAGE(T85,V85),3)),0)</f>
        <v>0.505</v>
      </c>
      <c r="Y85" s="762">
        <f>IF(AND(X85&gt;0,$W85&gt;0),X85/$W85,0)*0.75</f>
        <v>0.63124999999999998</v>
      </c>
      <c r="Z85" s="411">
        <f>(IF(AND(X85&gt;0,$F85&gt;0),X85/$F85,0)/4)*0.75</f>
        <v>9.9671052631578938E-2</v>
      </c>
      <c r="AA85" s="1425">
        <f>AVERAGE((IF(AND(Z85&gt;0,E85&gt;0),Z85*E85,0)),(IF(AND(Z86&gt;0,E85&gt;0),Z86*E85,0)),(IF(AND(Z87&gt;0,E85&gt;0),Z87*E85,0)))</f>
        <v>1.1105263157894738E-2</v>
      </c>
      <c r="AB85" s="1168"/>
      <c r="AD85" s="415">
        <f>+'11-GESTIÓN CONTRACTUAL'!BC17</f>
        <v>0.63124999999999998</v>
      </c>
      <c r="AE85" s="417">
        <f t="shared" ref="AE85" si="45">Y85-AD85</f>
        <v>0</v>
      </c>
      <c r="AG85" s="415">
        <f>+'11-GESTIÓN CONTRACTUAL'!BG17</f>
        <v>9.9671052631578938E-2</v>
      </c>
      <c r="AH85" s="417">
        <f t="shared" ref="AH85" si="46">+Z85-AG85</f>
        <v>0</v>
      </c>
    </row>
    <row r="86" spans="2:34" ht="76.5" customHeight="1">
      <c r="B86" s="1470"/>
      <c r="C86" s="1239"/>
      <c r="D86" s="1488"/>
      <c r="E86" s="1286"/>
      <c r="F86" s="32">
        <f>+'01-FR-03 POA INSTITUCIONAL'!F86</f>
        <v>0.95</v>
      </c>
      <c r="G86" s="176" t="str">
        <f>+'01-FR-03 POA INSTITUCIONAL'!G86</f>
        <v>S.I.</v>
      </c>
      <c r="H86" s="141" t="str">
        <f>+'01-FR-03 POA INSTITUCIONAL'!H86</f>
        <v xml:space="preserve">Porcentaje de contratos en la modalidad de selección abreviada de menor cuantía elaborados en los tiempos óptimos </v>
      </c>
      <c r="I86" s="142" t="str">
        <f>+'01-FR-03 POA INSTITUCIONAL'!I86</f>
        <v>Gestión Contractual</v>
      </c>
      <c r="J86" s="143" t="str">
        <f>+'01-FR-03 POA INSTITUCIONAL'!J86</f>
        <v>Subdirección de Gestión Contractual
Dirección Administrativa y Financiera</v>
      </c>
      <c r="K86" s="145">
        <f>+'01-FR-03 POA INSTITUCIONAL'!K86</f>
        <v>0.6</v>
      </c>
      <c r="L86" s="145">
        <f>+'01-FR-03 POA INSTITUCIONAL'!L86</f>
        <v>0.8</v>
      </c>
      <c r="M86" s="145">
        <f>+'01-FR-03 POA INSTITUCIONAL'!M86</f>
        <v>0.9</v>
      </c>
      <c r="N86" s="145">
        <f>+'01-FR-03 POA INSTITUCIONAL'!N86</f>
        <v>0.95</v>
      </c>
      <c r="O86" s="409">
        <f>+'11-GESTIÓN CONTRACTUAL'!V18</f>
        <v>0</v>
      </c>
      <c r="P86" s="409">
        <f>+'11-GESTIÓN CONTRACTUAL'!W18</f>
        <v>0</v>
      </c>
      <c r="Q86" s="409">
        <f>+'11-GESTIÓN CONTRACTUAL'!AD18</f>
        <v>0</v>
      </c>
      <c r="R86" s="409">
        <f>+'11-GESTIÓN CONTRACTUAL'!AE18</f>
        <v>0</v>
      </c>
      <c r="S86" s="409">
        <f>+'11-GESTIÓN CONTRACTUAL'!AF18</f>
        <v>0.6</v>
      </c>
      <c r="T86" s="409">
        <f>+'11-GESTIÓN CONTRACTUAL'!AM18</f>
        <v>0.58299999999999996</v>
      </c>
      <c r="U86" s="409">
        <f>+'11-GESTIÓN CONTRACTUAL'!AH18</f>
        <v>0.6</v>
      </c>
      <c r="V86" s="409"/>
      <c r="W86" s="409">
        <f>+'11-GESTIÓN CONTRACTUAL'!AJ18</f>
        <v>0.6</v>
      </c>
      <c r="X86" s="454">
        <f>IFERROR(IF(OR($W$86="",$W$86=0),0,ROUNDDOWN(AVERAGE(T86,V86),3)),0)</f>
        <v>0.58299999999999996</v>
      </c>
      <c r="Y86" s="762">
        <f>IF(AND(X86&gt;0,$W86&gt;0),X86/$W86,0)*0.75</f>
        <v>0.72875000000000001</v>
      </c>
      <c r="Z86" s="411">
        <f>(IF(AND(X86&gt;0,$F86&gt;0),X86/$F86,0)/4)*0.75</f>
        <v>0.11506578947368422</v>
      </c>
      <c r="AA86" s="1432"/>
      <c r="AB86" s="1168"/>
      <c r="AD86" s="415">
        <f>+'11-GESTIÓN CONTRACTUAL'!BC18</f>
        <v>0.72875000000000001</v>
      </c>
      <c r="AE86" s="417">
        <f t="shared" ref="AE86:AE87" si="47">Y86-AD86</f>
        <v>0</v>
      </c>
      <c r="AG86" s="415">
        <f>+'11-GESTIÓN CONTRACTUAL'!BG18</f>
        <v>0.11506578947368422</v>
      </c>
      <c r="AH86" s="417">
        <f t="shared" ref="AH86:AH87" si="48">+Z86-AG86</f>
        <v>0</v>
      </c>
    </row>
    <row r="87" spans="2:34" ht="76.5" customHeight="1">
      <c r="B87" s="1470"/>
      <c r="C87" s="1272"/>
      <c r="D87" s="1489"/>
      <c r="E87" s="1299"/>
      <c r="F87" s="32">
        <f>+'01-FR-03 POA INSTITUCIONAL'!F87</f>
        <v>0.95</v>
      </c>
      <c r="G87" s="176" t="str">
        <f>+'01-FR-03 POA INSTITUCIONAL'!G87</f>
        <v>S.I.</v>
      </c>
      <c r="H87" s="141" t="str">
        <f>+'01-FR-03 POA INSTITUCIONAL'!H87</f>
        <v xml:space="preserve">Porcentaje de contratos en la modalidad de selección abreviada de subasta inversa, licitación pública y concurso de méritos elaborados en los tiempos óptimos </v>
      </c>
      <c r="I87" s="142" t="str">
        <f>+'01-FR-03 POA INSTITUCIONAL'!I87</f>
        <v>Gestión Contractual</v>
      </c>
      <c r="J87" s="143" t="str">
        <f>+'01-FR-03 POA INSTITUCIONAL'!J87</f>
        <v>Subdirección de Gestión Contractual
Dirección Administrativa y Financiera</v>
      </c>
      <c r="K87" s="145">
        <f>+'01-FR-03 POA INSTITUCIONAL'!K87</f>
        <v>0.6</v>
      </c>
      <c r="L87" s="145">
        <f>+'01-FR-03 POA INSTITUCIONAL'!L87</f>
        <v>0.8</v>
      </c>
      <c r="M87" s="145">
        <f>+'01-FR-03 POA INSTITUCIONAL'!M87</f>
        <v>0.9</v>
      </c>
      <c r="N87" s="145">
        <f>+'01-FR-03 POA INSTITUCIONAL'!N87</f>
        <v>0.95</v>
      </c>
      <c r="O87" s="409">
        <f>+'11-GESTIÓN CONTRACTUAL'!V19</f>
        <v>0</v>
      </c>
      <c r="P87" s="409">
        <f>+'11-GESTIÓN CONTRACTUAL'!W19</f>
        <v>0</v>
      </c>
      <c r="Q87" s="409">
        <f>+'11-GESTIÓN CONTRACTUAL'!AD19</f>
        <v>0</v>
      </c>
      <c r="R87" s="409">
        <f>+'11-GESTIÓN CONTRACTUAL'!AE19</f>
        <v>0</v>
      </c>
      <c r="S87" s="409">
        <f>+'11-GESTIÓN CONTRACTUAL'!AF19</f>
        <v>0.6</v>
      </c>
      <c r="T87" s="409">
        <f>+'11-GESTIÓN CONTRACTUAL'!AM19</f>
        <v>0.6</v>
      </c>
      <c r="U87" s="409">
        <f>+'11-GESTIÓN CONTRACTUAL'!AH19</f>
        <v>0.6</v>
      </c>
      <c r="V87" s="409"/>
      <c r="W87" s="409">
        <f>+'11-GESTIÓN CONTRACTUAL'!AJ19</f>
        <v>0.6</v>
      </c>
      <c r="X87" s="454">
        <f>IFERROR(IF(OR($W$87="",$W$87=0),0,ROUNDDOWN(AVERAGE(T87,V87),3)),0)</f>
        <v>0.6</v>
      </c>
      <c r="Y87" s="762">
        <f>IF(AND(X87&gt;0,$W87&gt;0),X87/$W87,0)*0.75</f>
        <v>0.75</v>
      </c>
      <c r="Z87" s="411">
        <f>(IF(AND(X87&gt;0,$F87&gt;0),X87/$F87,0)/4)*0.75</f>
        <v>0.11842105263157894</v>
      </c>
      <c r="AA87" s="1426"/>
      <c r="AB87" s="1271"/>
      <c r="AD87" s="415">
        <f>+'11-GESTIÓN CONTRACTUAL'!BC19</f>
        <v>0.75</v>
      </c>
      <c r="AE87" s="417">
        <f t="shared" si="47"/>
        <v>0</v>
      </c>
      <c r="AG87" s="415">
        <f>+'11-GESTIÓN CONTRACTUAL'!BG19</f>
        <v>0.11842105263157894</v>
      </c>
      <c r="AH87" s="417">
        <f t="shared" si="48"/>
        <v>0</v>
      </c>
    </row>
    <row r="88" spans="2:34" ht="73.5" customHeight="1">
      <c r="B88" s="1470"/>
      <c r="C88" s="1472" t="s">
        <v>146</v>
      </c>
      <c r="D88" s="151" t="str">
        <f>+'01-FR-03 POA INSTITUCIONAL'!D88</f>
        <v xml:space="preserve">4.5.1 Emitir 96 solicitudes de aplicación de medidas de preservación del orden interno, con el fin de prevenir la materialización de conductas con alcance disciplinario. </v>
      </c>
      <c r="E88" s="152">
        <f>+'01-FR-03 POA INSTITUCIONAL'!E88</f>
        <v>0.05</v>
      </c>
      <c r="F88" s="185">
        <f>+'01-FR-03 POA INSTITUCIONAL'!F88</f>
        <v>96</v>
      </c>
      <c r="G88" s="186" t="str">
        <f>+'01-FR-03 POA INSTITUCIONAL'!G88</f>
        <v>S.I.</v>
      </c>
      <c r="H88" s="179" t="str">
        <f>+'01-FR-03 POA INSTITUCIONAL'!H88</f>
        <v>Medidas de preservación del orden interno emitidas</v>
      </c>
      <c r="I88" s="180" t="str">
        <f>+'01-FR-03 POA INSTITUCIONAL'!I88</f>
        <v>Control Disciplinario Interno</v>
      </c>
      <c r="J88" s="181" t="str">
        <f>+'01-FR-03 POA INSTITUCIONAL'!J88</f>
        <v>Oficina Control Interno Disciplinario</v>
      </c>
      <c r="K88" s="187">
        <f>+'01-FR-03 POA INSTITUCIONAL'!K88</f>
        <v>24</v>
      </c>
      <c r="L88" s="187">
        <f>+'01-FR-03 POA INSTITUCIONAL'!L88</f>
        <v>24</v>
      </c>
      <c r="M88" s="187">
        <f>+'01-FR-03 POA INSTITUCIONAL'!M88</f>
        <v>24</v>
      </c>
      <c r="N88" s="187">
        <f>+'01-FR-03 POA INSTITUCIONAL'!N88</f>
        <v>24</v>
      </c>
      <c r="O88" s="153">
        <f>+'15-CTRL DISCIPLINARIO INTERNO'!V16</f>
        <v>6</v>
      </c>
      <c r="P88" s="153">
        <f>+'15-CTRL DISCIPLINARIO INTERNO'!W16</f>
        <v>10</v>
      </c>
      <c r="Q88" s="153">
        <f>+'15-CTRL DISCIPLINARIO INTERNO'!AD16</f>
        <v>6</v>
      </c>
      <c r="R88" s="153">
        <f>+'15-CTRL DISCIPLINARIO INTERNO'!AE16</f>
        <v>9</v>
      </c>
      <c r="S88" s="153">
        <f>+'15-CTRL DISCIPLINARIO INTERNO'!AL16</f>
        <v>6</v>
      </c>
      <c r="T88" s="153">
        <f>+'15-CTRL DISCIPLINARIO INTERNO'!AM16</f>
        <v>9</v>
      </c>
      <c r="U88" s="153">
        <f>+'15-CTRL DISCIPLINARIO INTERNO'!AT16</f>
        <v>6</v>
      </c>
      <c r="V88" s="463">
        <f>+'15-CTRL DISCIPLINARIO INTERNO'!AU16</f>
        <v>0</v>
      </c>
      <c r="W88" s="153">
        <f>+'15-CTRL DISCIPLINARIO INTERNO'!AV16</f>
        <v>24</v>
      </c>
      <c r="X88" s="422">
        <f t="shared" ref="X88:X93" si="49">+P88+R88+T88+V88</f>
        <v>28</v>
      </c>
      <c r="Y88" s="767">
        <f t="shared" ref="Y88:Y93" si="50">IF(AND(X88&gt;0,$W88&gt;0),X88/$W88,0)</f>
        <v>1.1666666666666667</v>
      </c>
      <c r="Z88" s="423">
        <f t="shared" ref="Z88:Z90" si="51">IF(AND(X88&gt;0,$F88&gt;0),X88/$F88,0)</f>
        <v>0.29166666666666669</v>
      </c>
      <c r="AA88" s="423">
        <f t="shared" ref="AA88:AA90" si="52">IF(AND(Z88&gt;0,E88&gt;0),Z88*E88,0)</f>
        <v>1.4583333333333335E-2</v>
      </c>
      <c r="AB88" s="1429">
        <f>SUM(AA88:AA93)</f>
        <v>0.19811904761904764</v>
      </c>
      <c r="AD88" s="415">
        <f>+'15-CTRL DISCIPLINARIO INTERNO'!BC16</f>
        <v>1.1666666666666667</v>
      </c>
      <c r="AE88" s="417">
        <f t="shared" si="36"/>
        <v>0</v>
      </c>
      <c r="AG88" s="415">
        <f>+'15-CTRL DISCIPLINARIO INTERNO'!BG16</f>
        <v>0.29166666666666669</v>
      </c>
      <c r="AH88" s="417">
        <f t="shared" si="37"/>
        <v>0</v>
      </c>
    </row>
    <row r="89" spans="2:34" ht="86.25" customHeight="1">
      <c r="B89" s="1470"/>
      <c r="C89" s="1474"/>
      <c r="D89" s="151" t="str">
        <f>+'01-FR-03 POA INSTITUCIONAL'!D89</f>
        <v>4.5.2 Realizar 8 jornadas de sensibilización a funcionarios de la Personería de Bogotá D.C. sobre la prevención de las faltas disciplinarias más recurrentes en la Entidad.</v>
      </c>
      <c r="E89" s="152">
        <f>+'01-FR-03 POA INSTITUCIONAL'!E89</f>
        <v>0.05</v>
      </c>
      <c r="F89" s="185">
        <f>+'01-FR-03 POA INSTITUCIONAL'!F89</f>
        <v>7</v>
      </c>
      <c r="G89" s="186" t="str">
        <f>+'01-FR-03 POA INSTITUCIONAL'!G89</f>
        <v>S.I.</v>
      </c>
      <c r="H89" s="179" t="str">
        <f>+'01-FR-03 POA INSTITUCIONAL'!H89</f>
        <v>Jornadas de sensibilización realizadas</v>
      </c>
      <c r="I89" s="180" t="str">
        <f>+'01-FR-03 POA INSTITUCIONAL'!I89</f>
        <v>Control Disciplinario Interno</v>
      </c>
      <c r="J89" s="181" t="str">
        <f>+'01-FR-03 POA INSTITUCIONAL'!J89</f>
        <v>Oficina Control Interno Disciplinario</v>
      </c>
      <c r="K89" s="187">
        <f>+'01-FR-03 POA INSTITUCIONAL'!K89</f>
        <v>2</v>
      </c>
      <c r="L89" s="187">
        <f>+'01-FR-03 POA INSTITUCIONAL'!L89</f>
        <v>2</v>
      </c>
      <c r="M89" s="187">
        <f>+'01-FR-03 POA INSTITUCIONAL'!M89</f>
        <v>2</v>
      </c>
      <c r="N89" s="187">
        <f>+'01-FR-03 POA INSTITUCIONAL'!N89</f>
        <v>2</v>
      </c>
      <c r="O89" s="153">
        <f>+'15-CTRL DISCIPLINARIO INTERNO'!V17</f>
        <v>0</v>
      </c>
      <c r="P89" s="153">
        <f>+'15-CTRL DISCIPLINARIO INTERNO'!W17</f>
        <v>0</v>
      </c>
      <c r="Q89" s="153">
        <f>+'15-CTRL DISCIPLINARIO INTERNO'!AD17</f>
        <v>1</v>
      </c>
      <c r="R89" s="153">
        <f>+'15-CTRL DISCIPLINARIO INTERNO'!AE17</f>
        <v>1</v>
      </c>
      <c r="S89" s="153">
        <f>+'15-CTRL DISCIPLINARIO INTERNO'!AL17</f>
        <v>1</v>
      </c>
      <c r="T89" s="153">
        <f>+'15-CTRL DISCIPLINARIO INTERNO'!AM17</f>
        <v>1</v>
      </c>
      <c r="U89" s="153">
        <f>+'15-CTRL DISCIPLINARIO INTERNO'!AT17</f>
        <v>0</v>
      </c>
      <c r="V89" s="463">
        <f>+'15-CTRL DISCIPLINARIO INTERNO'!AU17</f>
        <v>0</v>
      </c>
      <c r="W89" s="153">
        <f>+'15-CTRL DISCIPLINARIO INTERNO'!AV17</f>
        <v>2</v>
      </c>
      <c r="X89" s="422">
        <f t="shared" si="49"/>
        <v>2</v>
      </c>
      <c r="Y89" s="767">
        <f t="shared" si="50"/>
        <v>1</v>
      </c>
      <c r="Z89" s="423">
        <f t="shared" si="51"/>
        <v>0.2857142857142857</v>
      </c>
      <c r="AA89" s="423">
        <f t="shared" si="52"/>
        <v>1.4285714285714285E-2</v>
      </c>
      <c r="AB89" s="1430"/>
      <c r="AD89" s="415">
        <f>+'15-CTRL DISCIPLINARIO INTERNO'!BC17</f>
        <v>1</v>
      </c>
      <c r="AE89" s="417">
        <f t="shared" si="36"/>
        <v>0</v>
      </c>
      <c r="AG89" s="415">
        <f>+'15-CTRL DISCIPLINARIO INTERNO'!BG17</f>
        <v>0.2857142857142857</v>
      </c>
      <c r="AH89" s="417">
        <f t="shared" si="37"/>
        <v>0</v>
      </c>
    </row>
    <row r="90" spans="2:34" ht="96.75" customHeight="1">
      <c r="B90" s="1470"/>
      <c r="C90" s="1474"/>
      <c r="D90" s="151" t="str">
        <f>+'01-FR-03 POA INSTITUCIONAL'!D90</f>
        <v>4.5.3 Decidir de fondo 400 procesos disciplinarios que se encuentren en términos o con periodos vencidos, dando prelación a aquellos con mayor antigüedad o aquellos próximos a prescribir o caducar.</v>
      </c>
      <c r="E90" s="152">
        <f>+'01-FR-03 POA INSTITUCIONAL'!E90</f>
        <v>0.2</v>
      </c>
      <c r="F90" s="185">
        <f>+'01-FR-03 POA INSTITUCIONAL'!F90</f>
        <v>400</v>
      </c>
      <c r="G90" s="186" t="str">
        <f>+'01-FR-03 POA INSTITUCIONAL'!G90</f>
        <v>115 (en el último año)</v>
      </c>
      <c r="H90" s="179" t="str">
        <f>+'01-FR-03 POA INSTITUCIONAL'!H90</f>
        <v>Procesos disciplinarios con decisión de fondo proferida</v>
      </c>
      <c r="I90" s="180" t="str">
        <f>+'01-FR-03 POA INSTITUCIONAL'!I90</f>
        <v>Control Disciplinario Interno</v>
      </c>
      <c r="J90" s="181" t="str">
        <f>+'01-FR-03 POA INSTITUCIONAL'!J90</f>
        <v>Oficina Control Interno Disciplinario</v>
      </c>
      <c r="K90" s="187">
        <f>+'01-FR-03 POA INSTITUCIONAL'!K90</f>
        <v>100</v>
      </c>
      <c r="L90" s="187">
        <f>+'01-FR-03 POA INSTITUCIONAL'!L90</f>
        <v>100</v>
      </c>
      <c r="M90" s="187">
        <f>+'01-FR-03 POA INSTITUCIONAL'!M90</f>
        <v>100</v>
      </c>
      <c r="N90" s="187">
        <f>+'01-FR-03 POA INSTITUCIONAL'!N90</f>
        <v>100</v>
      </c>
      <c r="O90" s="153">
        <f>+'15-CTRL DISCIPLINARIO INTERNO'!V18</f>
        <v>23</v>
      </c>
      <c r="P90" s="153">
        <f>+'15-CTRL DISCIPLINARIO INTERNO'!W18</f>
        <v>38</v>
      </c>
      <c r="Q90" s="153">
        <f>+'15-CTRL DISCIPLINARIO INTERNO'!AD18</f>
        <v>30</v>
      </c>
      <c r="R90" s="153">
        <f>+'15-CTRL DISCIPLINARIO INTERNO'!AE18</f>
        <v>30</v>
      </c>
      <c r="S90" s="153">
        <f>+'15-CTRL DISCIPLINARIO INTERNO'!AL18</f>
        <v>30</v>
      </c>
      <c r="T90" s="153">
        <f>+'15-CTRL DISCIPLINARIO INTERNO'!AM18</f>
        <v>48</v>
      </c>
      <c r="U90" s="153">
        <f>+'15-CTRL DISCIPLINARIO INTERNO'!AT18</f>
        <v>17</v>
      </c>
      <c r="V90" s="463">
        <f>+'15-CTRL DISCIPLINARIO INTERNO'!AU18</f>
        <v>0</v>
      </c>
      <c r="W90" s="153">
        <f>+'15-CTRL DISCIPLINARIO INTERNO'!AV18</f>
        <v>100</v>
      </c>
      <c r="X90" s="422">
        <f t="shared" si="49"/>
        <v>116</v>
      </c>
      <c r="Y90" s="767">
        <f t="shared" si="50"/>
        <v>1.1599999999999999</v>
      </c>
      <c r="Z90" s="423">
        <f t="shared" si="51"/>
        <v>0.28999999999999998</v>
      </c>
      <c r="AA90" s="423">
        <f t="shared" si="52"/>
        <v>5.7999999999999996E-2</v>
      </c>
      <c r="AB90" s="1430"/>
      <c r="AD90" s="415">
        <f>+'15-CTRL DISCIPLINARIO INTERNO'!BC18</f>
        <v>1.1599999999999999</v>
      </c>
      <c r="AE90" s="417">
        <f t="shared" si="36"/>
        <v>0</v>
      </c>
      <c r="AG90" s="415">
        <f>+'15-CTRL DISCIPLINARIO INTERNO'!BG18</f>
        <v>0.28999999999999998</v>
      </c>
      <c r="AH90" s="417">
        <f t="shared" si="37"/>
        <v>0</v>
      </c>
    </row>
    <row r="91" spans="2:34" ht="69.75" customHeight="1">
      <c r="B91" s="1470"/>
      <c r="C91" s="1474"/>
      <c r="D91" s="151" t="str">
        <f>+'01-FR-03 POA INSTITUCIONAL'!D91</f>
        <v>4.5.4 Ejecutar  4 programas anuales de auditorias, aprobados por el Comité Institucional de Coordinación del Sistema de Control Interno.</v>
      </c>
      <c r="E91" s="152">
        <f>+'01-FR-03 POA INSTITUCIONAL'!E91</f>
        <v>0.5</v>
      </c>
      <c r="F91" s="185">
        <f>+'01-FR-03 POA INSTITUCIONAL'!F91</f>
        <v>4</v>
      </c>
      <c r="G91" s="186">
        <f>+'01-FR-03 POA INSTITUCIONAL'!G91</f>
        <v>4</v>
      </c>
      <c r="H91" s="179" t="str">
        <f>+'01-FR-03 POA INSTITUCIONAL'!H91</f>
        <v>Programa anual de auditorías ejecutado.</v>
      </c>
      <c r="I91" s="180" t="str">
        <f>+'01-FR-03 POA INSTITUCIONAL'!I91</f>
        <v>Evaluación y Seguimiento</v>
      </c>
      <c r="J91" s="181" t="str">
        <f>+'01-FR-03 POA INSTITUCIONAL'!J91</f>
        <v>Oficina de Control Interno</v>
      </c>
      <c r="K91" s="187">
        <f>+'01-FR-03 POA INSTITUCIONAL'!K91</f>
        <v>1</v>
      </c>
      <c r="L91" s="187">
        <f>+'01-FR-03 POA INSTITUCIONAL'!L91</f>
        <v>1</v>
      </c>
      <c r="M91" s="187">
        <f>+'01-FR-03 POA INSTITUCIONAL'!M91</f>
        <v>1</v>
      </c>
      <c r="N91" s="187">
        <f>+'01-FR-03 POA INSTITUCIONAL'!N91</f>
        <v>1</v>
      </c>
      <c r="O91" s="460">
        <f>+'16-EVALUACIÓN Y SEGUIMIENTO'!V16</f>
        <v>0.51</v>
      </c>
      <c r="P91" s="460">
        <f>+'16-EVALUACIÓN Y SEGUIMIENTO'!W16</f>
        <v>0.51</v>
      </c>
      <c r="Q91" s="460">
        <f>+'16-EVALUACIÓN Y SEGUIMIENTO'!AD16</f>
        <v>0.12</v>
      </c>
      <c r="R91" s="692">
        <f>+'16-EVALUACIÓN Y SEGUIMIENTO'!AE16</f>
        <v>0.12</v>
      </c>
      <c r="S91" s="460">
        <f>+'16-EVALUACIÓN Y SEGUIMIENTO'!AL16</f>
        <v>0.26</v>
      </c>
      <c r="T91" s="692">
        <f>+'16-EVALUACIÓN Y SEGUIMIENTO'!AM16</f>
        <v>0.26</v>
      </c>
      <c r="U91" s="460">
        <f>+'16-EVALUACIÓN Y SEGUIMIENTO'!AT16</f>
        <v>0.11</v>
      </c>
      <c r="V91" s="464">
        <f>+'16-EVALUACIÓN Y SEGUIMIENTO'!AU16</f>
        <v>0</v>
      </c>
      <c r="W91" s="461">
        <f>+'16-EVALUACIÓN Y SEGUIMIENTO'!AV16</f>
        <v>1</v>
      </c>
      <c r="X91" s="422">
        <f t="shared" si="49"/>
        <v>0.89</v>
      </c>
      <c r="Y91" s="767">
        <f t="shared" si="50"/>
        <v>0.89</v>
      </c>
      <c r="Z91" s="423">
        <f t="shared" ref="Z91:Z93" si="53">IF(AND(X91&gt;0,$F91&gt;0),X91/$F91,0)</f>
        <v>0.2225</v>
      </c>
      <c r="AA91" s="423">
        <f t="shared" ref="AA91:AA94" si="54">IF(AND(Z91&gt;0,E91&gt;0),Z91*E91,0)</f>
        <v>0.11125</v>
      </c>
      <c r="AB91" s="1430"/>
      <c r="AD91" s="415">
        <f>+'16-EVALUACIÓN Y SEGUIMIENTO'!BC16</f>
        <v>0.89</v>
      </c>
      <c r="AE91" s="417">
        <f t="shared" si="36"/>
        <v>0</v>
      </c>
      <c r="AG91" s="449">
        <f>+'16-EVALUACIÓN Y SEGUIMIENTO'!BG16</f>
        <v>0.2225</v>
      </c>
      <c r="AH91" s="417">
        <f t="shared" si="37"/>
        <v>0</v>
      </c>
    </row>
    <row r="92" spans="2:34" ht="56.25" customHeight="1">
      <c r="B92" s="1470"/>
      <c r="C92" s="1474"/>
      <c r="D92" s="151" t="str">
        <f>+'01-FR-03 POA INSTITUCIONAL'!D92</f>
        <v>4.5.5 Desarrollar 4 estrategias de sensibilización acerca de la cultura del control.</v>
      </c>
      <c r="E92" s="152">
        <f>+'01-FR-03 POA INSTITUCIONAL'!E92</f>
        <v>0.1</v>
      </c>
      <c r="F92" s="185">
        <f>+'01-FR-03 POA INSTITUCIONAL'!F92</f>
        <v>4</v>
      </c>
      <c r="G92" s="186">
        <f>+'01-FR-03 POA INSTITUCIONAL'!G92</f>
        <v>4</v>
      </c>
      <c r="H92" s="179" t="str">
        <f>+'01-FR-03 POA INSTITUCIONAL'!H92</f>
        <v>Estrategia de Sensibilización acerca de la Cultura del Control realizada</v>
      </c>
      <c r="I92" s="180" t="str">
        <f>+'01-FR-03 POA INSTITUCIONAL'!I92</f>
        <v>Evaluación y Seguimiento</v>
      </c>
      <c r="J92" s="181" t="str">
        <f>+'01-FR-03 POA INSTITUCIONAL'!J92</f>
        <v>Oficina de Control Interno</v>
      </c>
      <c r="K92" s="187">
        <f>+'01-FR-03 POA INSTITUCIONAL'!K92</f>
        <v>1</v>
      </c>
      <c r="L92" s="187">
        <f>+'01-FR-03 POA INSTITUCIONAL'!L92</f>
        <v>1</v>
      </c>
      <c r="M92" s="187">
        <f>+'01-FR-03 POA INSTITUCIONAL'!M92</f>
        <v>1</v>
      </c>
      <c r="N92" s="187">
        <f>+'01-FR-03 POA INSTITUCIONAL'!N92</f>
        <v>1</v>
      </c>
      <c r="O92" s="462">
        <f>+'16-EVALUACIÓN Y SEGUIMIENTO'!V17</f>
        <v>0</v>
      </c>
      <c r="P92" s="462">
        <f>+'16-EVALUACIÓN Y SEGUIMIENTO'!W17</f>
        <v>0</v>
      </c>
      <c r="Q92" s="462">
        <f>+'16-EVALUACIÓN Y SEGUIMIENTO'!AD17</f>
        <v>0</v>
      </c>
      <c r="R92" s="693">
        <f>+'16-EVALUACIÓN Y SEGUIMIENTO'!AE17</f>
        <v>0</v>
      </c>
      <c r="S92" s="462">
        <f>+'16-EVALUACIÓN Y SEGUIMIENTO'!AL17</f>
        <v>0</v>
      </c>
      <c r="T92" s="693">
        <f>+'16-EVALUACIÓN Y SEGUIMIENTO'!AM17</f>
        <v>0</v>
      </c>
      <c r="U92" s="462">
        <f>+'16-EVALUACIÓN Y SEGUIMIENTO'!AT17</f>
        <v>1</v>
      </c>
      <c r="V92" s="465">
        <f>+'16-EVALUACIÓN Y SEGUIMIENTO'!AU17</f>
        <v>0</v>
      </c>
      <c r="W92" s="461">
        <f>+'16-EVALUACIÓN Y SEGUIMIENTO'!AV17</f>
        <v>1</v>
      </c>
      <c r="X92" s="422">
        <f t="shared" si="49"/>
        <v>0</v>
      </c>
      <c r="Y92" s="767">
        <f t="shared" si="50"/>
        <v>0</v>
      </c>
      <c r="Z92" s="423">
        <f t="shared" si="53"/>
        <v>0</v>
      </c>
      <c r="AA92" s="423">
        <f t="shared" si="54"/>
        <v>0</v>
      </c>
      <c r="AB92" s="1430"/>
      <c r="AD92" s="415">
        <f>+'16-EVALUACIÓN Y SEGUIMIENTO'!BC17</f>
        <v>0</v>
      </c>
      <c r="AE92" s="417">
        <f t="shared" si="36"/>
        <v>0</v>
      </c>
      <c r="AG92" s="449">
        <f>+'16-EVALUACIÓN Y SEGUIMIENTO'!BG17</f>
        <v>0</v>
      </c>
      <c r="AH92" s="417">
        <f t="shared" si="37"/>
        <v>0</v>
      </c>
    </row>
    <row r="93" spans="2:34" ht="61.5" customHeight="1">
      <c r="B93" s="1470"/>
      <c r="C93" s="1473"/>
      <c r="D93" s="151" t="str">
        <f>+'01-FR-03 POA INSTITUCIONAL'!D93</f>
        <v>4.5.6 Realizar 4 jornadas de sensibilización a Directivos y Referentes de proceso sobre la Séptima Dimensión.</v>
      </c>
      <c r="E93" s="152">
        <f>+'01-FR-03 POA INSTITUCIONAL'!E93</f>
        <v>0.1</v>
      </c>
      <c r="F93" s="185">
        <f>+'01-FR-03 POA INSTITUCIONAL'!F93</f>
        <v>4</v>
      </c>
      <c r="G93" s="186">
        <f>+'01-FR-03 POA INSTITUCIONAL'!G93</f>
        <v>4</v>
      </c>
      <c r="H93" s="179" t="str">
        <f>+'01-FR-03 POA INSTITUCIONAL'!H93</f>
        <v>Sensibilización a Directivos y Referentes de Gestión sobre la Séptima Dimensión del MIPG realizada</v>
      </c>
      <c r="I93" s="180" t="str">
        <f>+'01-FR-03 POA INSTITUCIONAL'!I93</f>
        <v>Evaluación y Seguimiento</v>
      </c>
      <c r="J93" s="181" t="str">
        <f>+'01-FR-03 POA INSTITUCIONAL'!J93</f>
        <v>Oficina de Control Interno</v>
      </c>
      <c r="K93" s="187">
        <f>+'01-FR-03 POA INSTITUCIONAL'!K93</f>
        <v>1</v>
      </c>
      <c r="L93" s="187">
        <f>+'01-FR-03 POA INSTITUCIONAL'!L93</f>
        <v>1</v>
      </c>
      <c r="M93" s="187">
        <f>+'01-FR-03 POA INSTITUCIONAL'!M93</f>
        <v>1</v>
      </c>
      <c r="N93" s="187">
        <f>+'01-FR-03 POA INSTITUCIONAL'!N93</f>
        <v>1</v>
      </c>
      <c r="O93" s="462">
        <f>+'16-EVALUACIÓN Y SEGUIMIENTO'!V18</f>
        <v>0</v>
      </c>
      <c r="P93" s="462">
        <f>+'16-EVALUACIÓN Y SEGUIMIENTO'!W18</f>
        <v>0</v>
      </c>
      <c r="Q93" s="462">
        <f>+'16-EVALUACIÓN Y SEGUIMIENTO'!AD18</f>
        <v>0</v>
      </c>
      <c r="R93" s="693">
        <f>+'16-EVALUACIÓN Y SEGUIMIENTO'!AE18</f>
        <v>0</v>
      </c>
      <c r="S93" s="462">
        <f>+'16-EVALUACIÓN Y SEGUIMIENTO'!AL18</f>
        <v>0</v>
      </c>
      <c r="T93" s="693">
        <f>+'16-EVALUACIÓN Y SEGUIMIENTO'!AM18</f>
        <v>0</v>
      </c>
      <c r="U93" s="462">
        <f>+'16-EVALUACIÓN Y SEGUIMIENTO'!AT18</f>
        <v>1</v>
      </c>
      <c r="V93" s="465">
        <f>+'16-EVALUACIÓN Y SEGUIMIENTO'!AU18</f>
        <v>0</v>
      </c>
      <c r="W93" s="461">
        <f>+'16-EVALUACIÓN Y SEGUIMIENTO'!AV18</f>
        <v>1</v>
      </c>
      <c r="X93" s="422">
        <f t="shared" si="49"/>
        <v>0</v>
      </c>
      <c r="Y93" s="767">
        <f t="shared" si="50"/>
        <v>0</v>
      </c>
      <c r="Z93" s="423">
        <f t="shared" si="53"/>
        <v>0</v>
      </c>
      <c r="AA93" s="423">
        <f t="shared" si="54"/>
        <v>0</v>
      </c>
      <c r="AB93" s="1431"/>
      <c r="AD93" s="415">
        <f>+'16-EVALUACIÓN Y SEGUIMIENTO'!BC18</f>
        <v>0</v>
      </c>
      <c r="AE93" s="417">
        <f t="shared" si="36"/>
        <v>0</v>
      </c>
      <c r="AG93" s="449">
        <f>+'16-EVALUACIÓN Y SEGUIMIENTO'!BG18</f>
        <v>0</v>
      </c>
      <c r="AH93" s="417">
        <f t="shared" si="37"/>
        <v>0</v>
      </c>
    </row>
    <row r="94" spans="2:34" ht="60" customHeight="1">
      <c r="B94" s="1470"/>
      <c r="C94" s="1481" t="s">
        <v>147</v>
      </c>
      <c r="D94" s="31" t="str">
        <f>+'01-FR-03 POA INSTITUCIONAL'!D94</f>
        <v>4.6.1  Desarrollar el 100% de los productos para comunicación y divulgación externa que promuevan y difundan la gestión institucional</v>
      </c>
      <c r="E94" s="52">
        <f>+'01-FR-03 POA INSTITUCIONAL'!E94</f>
        <v>0.5</v>
      </c>
      <c r="F94" s="32">
        <f>+'01-FR-03 POA INSTITUCIONAL'!F94</f>
        <v>1</v>
      </c>
      <c r="G94" s="176">
        <f>+'01-FR-03 POA INSTITUCIONAL'!G94</f>
        <v>1</v>
      </c>
      <c r="H94" s="141" t="str">
        <f>+'01-FR-03 POA INSTITUCIONAL'!H94</f>
        <v>Productos de comunicación externa desarrollados</v>
      </c>
      <c r="I94" s="142" t="str">
        <f>+'01-FR-03 POA INSTITUCIONAL'!I94</f>
        <v>Comunicación Estratégica</v>
      </c>
      <c r="J94" s="143" t="str">
        <f>+'01-FR-03 POA INSTITUCIONAL'!J94</f>
        <v>Oficina Asesora de Comunicaciones</v>
      </c>
      <c r="K94" s="145">
        <f>+'01-FR-03 POA INSTITUCIONAL'!K94</f>
        <v>1</v>
      </c>
      <c r="L94" s="145">
        <f>+'01-FR-03 POA INSTITUCIONAL'!L94</f>
        <v>1</v>
      </c>
      <c r="M94" s="145">
        <f>+'01-FR-03 POA INSTITUCIONAL'!M94</f>
        <v>1</v>
      </c>
      <c r="N94" s="145">
        <f>+'01-FR-03 POA INSTITUCIONAL'!N94</f>
        <v>1</v>
      </c>
      <c r="O94" s="459">
        <f>+'04-COMUNICACIÓN ESTRATÉGICA'!V16</f>
        <v>1</v>
      </c>
      <c r="P94" s="459">
        <f>+'04-COMUNICACIÓN ESTRATÉGICA'!W16</f>
        <v>1</v>
      </c>
      <c r="Q94" s="459">
        <f>+'04-COMUNICACIÓN ESTRATÉGICA'!AD16</f>
        <v>1</v>
      </c>
      <c r="R94" s="459">
        <f>+'04-COMUNICACIÓN ESTRATÉGICA'!AE16</f>
        <v>1</v>
      </c>
      <c r="S94" s="459">
        <f>+'04-COMUNICACIÓN ESTRATÉGICA'!AL16</f>
        <v>1</v>
      </c>
      <c r="T94" s="459">
        <f>+'04-COMUNICACIÓN ESTRATÉGICA'!AM16</f>
        <v>1</v>
      </c>
      <c r="U94" s="459">
        <f>+'04-COMUNICACIÓN ESTRATÉGICA'!AT16</f>
        <v>1</v>
      </c>
      <c r="V94" s="459"/>
      <c r="W94" s="459">
        <f>+'04-COMUNICACIÓN ESTRATÉGICA'!AV16</f>
        <v>1</v>
      </c>
      <c r="X94" s="454">
        <f>IFERROR(IF(OR($W$94="",$W$94=0),0,ROUNDDOWN(AVERAGE($P94,R94,T94,V94),3)),0)</f>
        <v>1</v>
      </c>
      <c r="Y94" s="765">
        <f>IF(AND(X94&gt;0,$W94&gt;0),X94/$W94,0)*0.75</f>
        <v>0.75</v>
      </c>
      <c r="Z94" s="411">
        <f>(IF(AND(X94&gt;0,$F94&gt;0),X94/$F94,0)/4)*0.75</f>
        <v>0.1875</v>
      </c>
      <c r="AA94" s="418">
        <f t="shared" si="54"/>
        <v>9.375E-2</v>
      </c>
      <c r="AB94" s="1433">
        <f>SUM(AA94:AA95)</f>
        <v>0.1875</v>
      </c>
      <c r="AD94" s="415">
        <f>+'04-COMUNICACIÓN ESTRATÉGICA'!BC16</f>
        <v>0.75</v>
      </c>
      <c r="AE94" s="417">
        <f t="shared" si="36"/>
        <v>0</v>
      </c>
      <c r="AG94" s="415">
        <f>+'04-COMUNICACIÓN ESTRATÉGICA'!BG16</f>
        <v>0.1875</v>
      </c>
      <c r="AH94" s="417">
        <f t="shared" si="37"/>
        <v>0</v>
      </c>
    </row>
    <row r="95" spans="2:34" ht="69.75" customHeight="1">
      <c r="B95" s="1470"/>
      <c r="C95" s="1482"/>
      <c r="D95" s="31" t="str">
        <f>+'01-FR-03 POA INSTITUCIONAL'!D95</f>
        <v>4.6.2 Desarrollar el 100% de los productos para comunicación y divulgación interna que contribuyan a la consecución de objetivos institucionales</v>
      </c>
      <c r="E95" s="52">
        <f>+'01-FR-03 POA INSTITUCIONAL'!E95</f>
        <v>0.5</v>
      </c>
      <c r="F95" s="32">
        <f>+'01-FR-03 POA INSTITUCIONAL'!F95</f>
        <v>1</v>
      </c>
      <c r="G95" s="176">
        <f>+'01-FR-03 POA INSTITUCIONAL'!G95</f>
        <v>1</v>
      </c>
      <c r="H95" s="141" t="str">
        <f>+'01-FR-03 POA INSTITUCIONAL'!H95</f>
        <v>Productos  de comunicación interna
desarrollados</v>
      </c>
      <c r="I95" s="142" t="str">
        <f>+'01-FR-03 POA INSTITUCIONAL'!I95</f>
        <v>Comunicación Estratégica</v>
      </c>
      <c r="J95" s="143" t="str">
        <f>+'01-FR-03 POA INSTITUCIONAL'!J95</f>
        <v>Oficina Asesora de Comunicaciones</v>
      </c>
      <c r="K95" s="145">
        <f>+'01-FR-03 POA INSTITUCIONAL'!K95</f>
        <v>1</v>
      </c>
      <c r="L95" s="145">
        <f>+'01-FR-03 POA INSTITUCIONAL'!L95</f>
        <v>1</v>
      </c>
      <c r="M95" s="145">
        <f>+'01-FR-03 POA INSTITUCIONAL'!M95</f>
        <v>1</v>
      </c>
      <c r="N95" s="145">
        <f>+'01-FR-03 POA INSTITUCIONAL'!N95</f>
        <v>1</v>
      </c>
      <c r="O95" s="459">
        <f>+'04-COMUNICACIÓN ESTRATÉGICA'!V17</f>
        <v>1</v>
      </c>
      <c r="P95" s="459">
        <f>+'04-COMUNICACIÓN ESTRATÉGICA'!W17</f>
        <v>1</v>
      </c>
      <c r="Q95" s="459">
        <f>+'04-COMUNICACIÓN ESTRATÉGICA'!AD17</f>
        <v>1</v>
      </c>
      <c r="R95" s="459">
        <f>+'04-COMUNICACIÓN ESTRATÉGICA'!AE17</f>
        <v>1</v>
      </c>
      <c r="S95" s="459">
        <f>+'04-COMUNICACIÓN ESTRATÉGICA'!AL17</f>
        <v>1</v>
      </c>
      <c r="T95" s="459">
        <f>+'04-COMUNICACIÓN ESTRATÉGICA'!AM17</f>
        <v>1</v>
      </c>
      <c r="U95" s="459">
        <f>+'04-COMUNICACIÓN ESTRATÉGICA'!AT17</f>
        <v>1</v>
      </c>
      <c r="V95" s="459"/>
      <c r="W95" s="459">
        <f>+'04-COMUNICACIÓN ESTRATÉGICA'!AV17</f>
        <v>1</v>
      </c>
      <c r="X95" s="454">
        <f>IFERROR(IF(OR($W$95="",$W$95=0),0,ROUNDDOWN(AVERAGE($P95,R95,T95,V95),3)),0)</f>
        <v>1</v>
      </c>
      <c r="Y95" s="765">
        <f>IF(AND(X95&gt;0,$W95&gt;0),X95/$W95,0)*0.75</f>
        <v>0.75</v>
      </c>
      <c r="Z95" s="411">
        <f>(IF(AND(X95&gt;0,$F95&gt;0),X95/$F95,0)/4)*0.75</f>
        <v>0.1875</v>
      </c>
      <c r="AA95" s="418">
        <f t="shared" ref="AA95:AA96" si="55">IF(AND(Z95&gt;0,E95&gt;0),Z95*E95,0)</f>
        <v>9.375E-2</v>
      </c>
      <c r="AB95" s="1434"/>
      <c r="AD95" s="415">
        <f>+'04-COMUNICACIÓN ESTRATÉGICA'!BC17</f>
        <v>0.75</v>
      </c>
      <c r="AE95" s="417">
        <f t="shared" si="36"/>
        <v>0</v>
      </c>
      <c r="AG95" s="415">
        <f>+'04-COMUNICACIÓN ESTRATÉGICA'!BG17</f>
        <v>0.1875</v>
      </c>
      <c r="AH95" s="417">
        <f t="shared" si="37"/>
        <v>0</v>
      </c>
    </row>
    <row r="96" spans="2:34" ht="114" customHeight="1">
      <c r="B96" s="1471"/>
      <c r="C96" s="200" t="s">
        <v>148</v>
      </c>
      <c r="D96" s="151" t="str">
        <f>+'01-FR-03 POA INSTITUCIONAL'!D96</f>
        <v>4.7.1 Gestionar 3 acuerdos interinstitucionales o de cooperación nacional y/o internacional para garantizar el enfoque social, en el marco de un estado pluralista, para el fortalecimiento de la prestación del servicio al usuario</v>
      </c>
      <c r="E96" s="152">
        <f>+'01-FR-03 POA INSTITUCIONAL'!E96</f>
        <v>1</v>
      </c>
      <c r="F96" s="185">
        <f>+'01-FR-03 POA INSTITUCIONAL'!F96</f>
        <v>3</v>
      </c>
      <c r="G96" s="186" t="str">
        <f>+'01-FR-03 POA INSTITUCIONAL'!G96</f>
        <v>S.I.</v>
      </c>
      <c r="H96" s="179" t="str">
        <f>+'01-FR-03 POA INSTITUCIONAL'!H96</f>
        <v>Acuerdos interinstitucionales gestionados</v>
      </c>
      <c r="I96" s="180" t="str">
        <f>+'01-FR-03 POA INSTITUCIONAL'!I96</f>
        <v>Servicio al Usuario</v>
      </c>
      <c r="J96" s="181" t="str">
        <f>+'01-FR-03 POA INSTITUCIONAL'!J96</f>
        <v>Secretaría General</v>
      </c>
      <c r="K96" s="187">
        <f>+'01-FR-03 POA INSTITUCIONAL'!K96</f>
        <v>1</v>
      </c>
      <c r="L96" s="187">
        <f>+'01-FR-03 POA INSTITUCIONAL'!L96</f>
        <v>1</v>
      </c>
      <c r="M96" s="187">
        <f>+'01-FR-03 POA INSTITUCIONAL'!M96</f>
        <v>1</v>
      </c>
      <c r="N96" s="187">
        <f>+'01-FR-03 POA INSTITUCIONAL'!N96</f>
        <v>0</v>
      </c>
      <c r="O96" s="466">
        <f>+'14-SERVICIO AL USUARIO'!V18</f>
        <v>0</v>
      </c>
      <c r="P96" s="466">
        <f>+'14-SERVICIO AL USUARIO'!W18</f>
        <v>0</v>
      </c>
      <c r="Q96" s="466">
        <f>+'14-SERVICIO AL USUARIO'!AD18</f>
        <v>0</v>
      </c>
      <c r="R96" s="466">
        <f>+'14-SERVICIO AL USUARIO'!AE18</f>
        <v>0</v>
      </c>
      <c r="S96" s="466">
        <f>+'14-SERVICIO AL USUARIO'!AL18</f>
        <v>0</v>
      </c>
      <c r="T96" s="466">
        <f>+'14-SERVICIO AL USUARIO'!AM18</f>
        <v>0</v>
      </c>
      <c r="U96" s="466">
        <f>+'14-SERVICIO AL USUARIO'!AT18</f>
        <v>1</v>
      </c>
      <c r="V96" s="476">
        <f>+'14-SERVICIO AL USUARIO'!AU18</f>
        <v>0</v>
      </c>
      <c r="W96" s="466">
        <f>+'14-SERVICIO AL USUARIO'!AV18</f>
        <v>1</v>
      </c>
      <c r="X96" s="422">
        <f t="shared" ref="X96:X99" si="56">+P96+R96+T96+V96</f>
        <v>0</v>
      </c>
      <c r="Y96" s="767">
        <f t="shared" ref="Y96:Y99" si="57">IF(AND(X96&gt;0,$W96&gt;0),X96/$W96,0)</f>
        <v>0</v>
      </c>
      <c r="Z96" s="423">
        <f t="shared" ref="Z96" si="58">IF(AND(X96&gt;0,$F96&gt;0),X96/$F96,0)</f>
        <v>0</v>
      </c>
      <c r="AA96" s="423">
        <f t="shared" si="55"/>
        <v>0</v>
      </c>
      <c r="AB96" s="467">
        <f>+AA96</f>
        <v>0</v>
      </c>
      <c r="AD96" s="415">
        <f>+'14-SERVICIO AL USUARIO'!BC18</f>
        <v>0</v>
      </c>
      <c r="AE96" s="417">
        <f t="shared" si="36"/>
        <v>0</v>
      </c>
      <c r="AG96" s="415">
        <f>+'14-SERVICIO AL USUARIO'!BG18</f>
        <v>0</v>
      </c>
      <c r="AH96" s="417">
        <f t="shared" si="37"/>
        <v>0</v>
      </c>
    </row>
    <row r="97" spans="2:34" ht="93.75" customHeight="1">
      <c r="B97" s="1466" t="s">
        <v>149</v>
      </c>
      <c r="C97" s="203" t="s">
        <v>150</v>
      </c>
      <c r="D97" s="31" t="str">
        <f>+'01-FR-03 POA INSTITUCIONAL'!D97</f>
        <v xml:space="preserve">5.1.1 Elaborar cuatro (4) proyectos de investigación, desarrollo e innovación I+D+I para la Entidad </v>
      </c>
      <c r="E97" s="52">
        <f>+'01-FR-03 POA INSTITUCIONAL'!E97</f>
        <v>1</v>
      </c>
      <c r="F97" s="139">
        <f>+'01-FR-03 POA INSTITUCIONAL'!F97</f>
        <v>4</v>
      </c>
      <c r="G97" s="1041" t="str">
        <f>+'01-FR-03 POA INSTITUCIONAL'!G97</f>
        <v>S.I.</v>
      </c>
      <c r="H97" s="141" t="str">
        <f>+'01-FR-03 POA INSTITUCIONAL'!H97</f>
        <v>Proyectos de Investigación, Desarrollo e Innovación (I+D+I) elaborados</v>
      </c>
      <c r="I97" s="142" t="str">
        <f>+'01-FR-03 POA INSTITUCIONAL'!I97</f>
        <v xml:space="preserve">Gestión del Conocimiento e Innovación </v>
      </c>
      <c r="J97" s="143" t="str">
        <f>+'01-FR-03 POA INSTITUCIONAL'!J97</f>
        <v xml:space="preserve">Dirección de Gestión del Conocimiento e Innovación </v>
      </c>
      <c r="K97" s="144">
        <f>+'01-FR-03 POA INSTITUCIONAL'!K97</f>
        <v>1</v>
      </c>
      <c r="L97" s="144">
        <f>+'01-FR-03 POA INSTITUCIONAL'!L97</f>
        <v>1</v>
      </c>
      <c r="M97" s="144">
        <f>+'01-FR-03 POA INSTITUCIONAL'!M97</f>
        <v>1</v>
      </c>
      <c r="N97" s="144">
        <f>+'01-FR-03 POA INSTITUCIONAL'!N97</f>
        <v>1</v>
      </c>
      <c r="O97" s="471">
        <f>+'02-G. CONOCIMIENTO INNOVACIÓN'!V16</f>
        <v>0</v>
      </c>
      <c r="P97" s="471">
        <f>+'02-G. CONOCIMIENTO INNOVACIÓN'!W16</f>
        <v>0</v>
      </c>
      <c r="Q97" s="471">
        <f>+'02-G. CONOCIMIENTO INNOVACIÓN'!AD16</f>
        <v>0</v>
      </c>
      <c r="R97" s="471">
        <f>+'02-G. CONOCIMIENTO INNOVACIÓN'!AE16</f>
        <v>0</v>
      </c>
      <c r="S97" s="471">
        <f>+'02-G. CONOCIMIENTO INNOVACIÓN'!AL16</f>
        <v>0</v>
      </c>
      <c r="T97" s="471">
        <f>+'02-G. CONOCIMIENTO INNOVACIÓN'!AM16</f>
        <v>0</v>
      </c>
      <c r="U97" s="471">
        <f>+'02-G. CONOCIMIENTO INNOVACIÓN'!AT16</f>
        <v>1</v>
      </c>
      <c r="V97" s="475">
        <f>+'02-G. CONOCIMIENTO INNOVACIÓN'!AU16</f>
        <v>0</v>
      </c>
      <c r="W97" s="471">
        <f>+'02-G. CONOCIMIENTO INNOVACIÓN'!AV16</f>
        <v>1</v>
      </c>
      <c r="X97" s="421">
        <f t="shared" si="56"/>
        <v>0</v>
      </c>
      <c r="Y97" s="763">
        <f t="shared" si="57"/>
        <v>0</v>
      </c>
      <c r="Z97" s="472">
        <f t="shared" ref="Z97:Z99" si="59">IF(AND(X97&gt;0,$F97&gt;0),X97/$F97,0)</f>
        <v>0</v>
      </c>
      <c r="AA97" s="472">
        <f t="shared" ref="AA97:AA99" si="60">IF(AND(Z97&gt;0,E97&gt;0),Z97*E97,0)</f>
        <v>0</v>
      </c>
      <c r="AB97" s="473">
        <f>+AA97</f>
        <v>0</v>
      </c>
      <c r="AD97" s="415">
        <f>+'02-G. CONOCIMIENTO INNOVACIÓN'!BC16</f>
        <v>0</v>
      </c>
      <c r="AE97" s="417">
        <f t="shared" si="36"/>
        <v>0</v>
      </c>
      <c r="AG97" s="415">
        <f>+'02-G. CONOCIMIENTO INNOVACIÓN'!BG16</f>
        <v>0</v>
      </c>
      <c r="AH97" s="417">
        <f t="shared" si="37"/>
        <v>0</v>
      </c>
    </row>
    <row r="98" spans="2:34" ht="102" customHeight="1">
      <c r="B98" s="1467"/>
      <c r="C98" s="205" t="s">
        <v>151</v>
      </c>
      <c r="D98" s="31" t="str">
        <f>+'01-FR-03 POA INSTITUCIONAL'!D98</f>
        <v xml:space="preserve">5.2.1 Construir ocho (8) informes de investigación e innovación que reflejen la analítica institucional </v>
      </c>
      <c r="E98" s="52">
        <f>+'01-FR-03 POA INSTITUCIONAL'!E98</f>
        <v>1</v>
      </c>
      <c r="F98" s="139">
        <f>+'01-FR-03 POA INSTITUCIONAL'!F98</f>
        <v>8</v>
      </c>
      <c r="G98" s="1041" t="str">
        <f>+'01-FR-03 POA INSTITUCIONAL'!G98</f>
        <v>S.I.</v>
      </c>
      <c r="H98" s="141" t="str">
        <f>+'01-FR-03 POA INSTITUCIONAL'!H98</f>
        <v>Informes de investigación e innovación construidos</v>
      </c>
      <c r="I98" s="142" t="str">
        <f>+'01-FR-03 POA INSTITUCIONAL'!I98</f>
        <v xml:space="preserve">Gestión del Conocimiento e Innovación </v>
      </c>
      <c r="J98" s="143" t="str">
        <f>+'01-FR-03 POA INSTITUCIONAL'!J98</f>
        <v xml:space="preserve">Dirección de Gestión del Conocimiento e Innovación </v>
      </c>
      <c r="K98" s="144">
        <f>+'01-FR-03 POA INSTITUCIONAL'!K98</f>
        <v>2</v>
      </c>
      <c r="L98" s="144">
        <f>+'01-FR-03 POA INSTITUCIONAL'!L98</f>
        <v>2</v>
      </c>
      <c r="M98" s="144">
        <f>+'01-FR-03 POA INSTITUCIONAL'!M98</f>
        <v>3</v>
      </c>
      <c r="N98" s="144">
        <f>+'01-FR-03 POA INSTITUCIONAL'!N98</f>
        <v>1</v>
      </c>
      <c r="O98" s="471">
        <f>+'02-G. CONOCIMIENTO INNOVACIÓN'!V17</f>
        <v>0</v>
      </c>
      <c r="P98" s="471">
        <f>+'02-G. CONOCIMIENTO INNOVACIÓN'!W17</f>
        <v>0</v>
      </c>
      <c r="Q98" s="471">
        <f>+'02-G. CONOCIMIENTO INNOVACIÓN'!AD17</f>
        <v>1</v>
      </c>
      <c r="R98" s="471">
        <f>+'02-G. CONOCIMIENTO INNOVACIÓN'!AE17</f>
        <v>1</v>
      </c>
      <c r="S98" s="471">
        <f>+'02-G. CONOCIMIENTO INNOVACIÓN'!AL17</f>
        <v>0</v>
      </c>
      <c r="T98" s="471">
        <f>+'02-G. CONOCIMIENTO INNOVACIÓN'!AM17</f>
        <v>0</v>
      </c>
      <c r="U98" s="471">
        <f>+'02-G. CONOCIMIENTO INNOVACIÓN'!AT17</f>
        <v>1</v>
      </c>
      <c r="V98" s="475">
        <f>+'02-G. CONOCIMIENTO INNOVACIÓN'!AU17</f>
        <v>0</v>
      </c>
      <c r="W98" s="471">
        <f>+'02-G. CONOCIMIENTO INNOVACIÓN'!AV17</f>
        <v>2</v>
      </c>
      <c r="X98" s="474">
        <f t="shared" si="56"/>
        <v>1</v>
      </c>
      <c r="Y98" s="763">
        <f t="shared" si="57"/>
        <v>0.5</v>
      </c>
      <c r="Z98" s="472">
        <f t="shared" si="59"/>
        <v>0.125</v>
      </c>
      <c r="AA98" s="472">
        <f t="shared" si="60"/>
        <v>0.125</v>
      </c>
      <c r="AB98" s="473">
        <f>+AA98</f>
        <v>0.125</v>
      </c>
      <c r="AD98" s="415">
        <f>+'02-G. CONOCIMIENTO INNOVACIÓN'!BC17</f>
        <v>0.5</v>
      </c>
      <c r="AE98" s="417">
        <f t="shared" si="36"/>
        <v>0</v>
      </c>
      <c r="AG98" s="415">
        <f>+'02-G. CONOCIMIENTO INNOVACIÓN'!BG17</f>
        <v>0.125</v>
      </c>
      <c r="AH98" s="417">
        <f t="shared" si="37"/>
        <v>0</v>
      </c>
    </row>
    <row r="99" spans="2:34" ht="124.5" customHeight="1">
      <c r="B99" s="1468"/>
      <c r="C99" s="206" t="s">
        <v>152</v>
      </c>
      <c r="D99" s="31" t="str">
        <f>+'01-FR-03 POA INSTITUCIONAL'!D99</f>
        <v>5.3.1 Desarrollar diez (10) actividades de apropiación social del conocimiento para la creación de la cultura de la investigación e innovación.</v>
      </c>
      <c r="E99" s="52">
        <f>+'01-FR-03 POA INSTITUCIONAL'!E99</f>
        <v>1</v>
      </c>
      <c r="F99" s="139">
        <f>+'01-FR-03 POA INSTITUCIONAL'!F99</f>
        <v>10</v>
      </c>
      <c r="G99" s="1041" t="str">
        <f>+'01-FR-03 POA INSTITUCIONAL'!G99</f>
        <v>S.I.</v>
      </c>
      <c r="H99" s="141" t="str">
        <f>+'01-FR-03 POA INSTITUCIONAL'!H99</f>
        <v>Actividades de apropiación social del conocimiento desarrolladas</v>
      </c>
      <c r="I99" s="142" t="str">
        <f>+'01-FR-03 POA INSTITUCIONAL'!I99</f>
        <v xml:space="preserve">Gestión del Conocimiento e Innovación </v>
      </c>
      <c r="J99" s="143" t="str">
        <f>+'01-FR-03 POA INSTITUCIONAL'!J99</f>
        <v xml:space="preserve">Dirección de Gestión del Conocimiento e Innovación </v>
      </c>
      <c r="K99" s="144">
        <f>+'01-FR-03 POA INSTITUCIONAL'!K99</f>
        <v>3</v>
      </c>
      <c r="L99" s="144">
        <f>+'01-FR-03 POA INSTITUCIONAL'!L99</f>
        <v>3</v>
      </c>
      <c r="M99" s="144">
        <f>+'01-FR-03 POA INSTITUCIONAL'!M99</f>
        <v>3</v>
      </c>
      <c r="N99" s="144">
        <f>+'01-FR-03 POA INSTITUCIONAL'!N99</f>
        <v>1</v>
      </c>
      <c r="O99" s="471">
        <f>+'02-G. CONOCIMIENTO INNOVACIÓN'!V18</f>
        <v>0</v>
      </c>
      <c r="P99" s="471">
        <f>+'02-G. CONOCIMIENTO INNOVACIÓN'!W18</f>
        <v>1</v>
      </c>
      <c r="Q99" s="471">
        <f>+'02-G. CONOCIMIENTO INNOVACIÓN'!AD18</f>
        <v>1</v>
      </c>
      <c r="R99" s="471">
        <f>+'02-G. CONOCIMIENTO INNOVACIÓN'!AE18</f>
        <v>2</v>
      </c>
      <c r="S99" s="471">
        <f>+'02-G. CONOCIMIENTO INNOVACIÓN'!AL18</f>
        <v>1</v>
      </c>
      <c r="T99" s="471">
        <f>+'02-G. CONOCIMIENTO INNOVACIÓN'!AM18</f>
        <v>0</v>
      </c>
      <c r="U99" s="471">
        <f>+'02-G. CONOCIMIENTO INNOVACIÓN'!AT18</f>
        <v>1</v>
      </c>
      <c r="V99" s="475">
        <f>+'02-G. CONOCIMIENTO INNOVACIÓN'!AU18</f>
        <v>0</v>
      </c>
      <c r="W99" s="471">
        <f>+'02-G. CONOCIMIENTO INNOVACIÓN'!AV18</f>
        <v>3</v>
      </c>
      <c r="X99" s="474">
        <f t="shared" si="56"/>
        <v>3</v>
      </c>
      <c r="Y99" s="763">
        <f t="shared" si="57"/>
        <v>1</v>
      </c>
      <c r="Z99" s="472">
        <f t="shared" si="59"/>
        <v>0.3</v>
      </c>
      <c r="AA99" s="472">
        <f t="shared" si="60"/>
        <v>0.3</v>
      </c>
      <c r="AB99" s="473">
        <f>+AA99</f>
        <v>0.3</v>
      </c>
      <c r="AD99" s="415">
        <f>+'02-G. CONOCIMIENTO INNOVACIÓN'!BC18</f>
        <v>1</v>
      </c>
      <c r="AE99" s="417">
        <f t="shared" si="36"/>
        <v>0</v>
      </c>
      <c r="AG99" s="415">
        <f>+'02-G. CONOCIMIENTO INNOVACIÓN'!BG18</f>
        <v>0.3</v>
      </c>
      <c r="AH99" s="417">
        <f t="shared" si="37"/>
        <v>0</v>
      </c>
    </row>
    <row r="100" spans="2:34">
      <c r="B100" s="370"/>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908"/>
      <c r="Y100" s="909">
        <f>IFERROR(AVERAGE(Y13:Y99),0)</f>
        <v>0.76812844195451835</v>
      </c>
      <c r="Z100" s="909">
        <f>AVERAGE(Z13:Z99)</f>
        <v>0.19098014534637478</v>
      </c>
      <c r="AA100" s="371"/>
      <c r="AB100" s="909">
        <f>AVERAGE(AB13:AB99)</f>
        <v>0.17539054867921877</v>
      </c>
      <c r="AH100" s="417"/>
    </row>
    <row r="101" spans="2:34" ht="13.5" customHeight="1">
      <c r="B101" s="208"/>
      <c r="C101" s="208"/>
      <c r="D101" s="208"/>
      <c r="E101" s="207"/>
      <c r="F101" s="207"/>
      <c r="G101" s="207"/>
      <c r="H101" s="208"/>
      <c r="I101" s="208"/>
      <c r="J101" s="208"/>
      <c r="K101" s="208"/>
      <c r="L101" s="208"/>
      <c r="M101" s="208"/>
      <c r="N101" s="208"/>
      <c r="O101" s="208"/>
      <c r="P101" s="208"/>
      <c r="Q101" s="208"/>
      <c r="R101" s="208"/>
      <c r="S101" s="208"/>
      <c r="T101" s="208"/>
      <c r="U101" s="208"/>
      <c r="V101" s="208"/>
      <c r="W101" s="208"/>
    </row>
    <row r="102" spans="2:34" ht="15" customHeight="1">
      <c r="B102" s="208"/>
      <c r="C102" s="208"/>
      <c r="D102" s="208"/>
      <c r="E102" s="207"/>
      <c r="F102" s="207"/>
      <c r="G102" s="207"/>
      <c r="H102" s="208"/>
      <c r="I102" s="208"/>
      <c r="J102" s="208"/>
      <c r="K102" s="208"/>
      <c r="L102" s="208"/>
      <c r="M102" s="208"/>
      <c r="N102" s="208"/>
      <c r="O102" s="208"/>
      <c r="P102" s="208"/>
      <c r="Q102" s="208"/>
      <c r="R102" s="208"/>
      <c r="S102" s="208"/>
      <c r="T102" s="208"/>
      <c r="U102" s="208"/>
      <c r="V102" s="208"/>
      <c r="W102" s="208"/>
    </row>
    <row r="103" spans="2:34" ht="15" customHeight="1">
      <c r="B103" s="208"/>
      <c r="C103" s="208"/>
      <c r="D103" s="208"/>
      <c r="E103" s="207"/>
      <c r="F103" s="207"/>
      <c r="G103" s="207"/>
      <c r="H103" s="1040"/>
      <c r="I103" s="1040"/>
      <c r="J103" s="1040"/>
      <c r="K103" s="1040"/>
      <c r="L103" s="1040"/>
      <c r="M103" s="1040"/>
      <c r="N103" s="1040"/>
      <c r="O103" s="1040"/>
      <c r="P103" s="1040"/>
      <c r="Q103" s="1040"/>
      <c r="R103" s="1040"/>
      <c r="S103" s="1040"/>
      <c r="T103" s="1040"/>
      <c r="U103" s="1040"/>
      <c r="V103" s="1040"/>
      <c r="W103" s="1040"/>
    </row>
    <row r="104" spans="2:34" ht="15" customHeight="1">
      <c r="B104" s="208"/>
      <c r="C104" s="208"/>
      <c r="D104" s="208"/>
      <c r="E104" s="207"/>
      <c r="F104" s="207"/>
      <c r="G104" s="207"/>
      <c r="H104" s="208"/>
      <c r="I104" s="208"/>
      <c r="J104" s="208"/>
      <c r="K104" s="208"/>
      <c r="L104" s="208"/>
      <c r="M104" s="208"/>
      <c r="N104" s="208"/>
      <c r="O104" s="208"/>
      <c r="P104" s="208"/>
      <c r="Q104" s="208"/>
      <c r="R104" s="208"/>
      <c r="S104" s="208"/>
      <c r="T104" s="208"/>
      <c r="U104" s="208"/>
      <c r="V104" s="208"/>
      <c r="W104" s="208"/>
    </row>
    <row r="105" spans="2:34" ht="15" customHeight="1">
      <c r="B105" s="208"/>
      <c r="C105" s="208"/>
      <c r="D105" s="208"/>
      <c r="E105" s="207"/>
      <c r="F105" s="207"/>
      <c r="G105" s="207"/>
      <c r="H105" s="1040"/>
      <c r="I105" s="1040"/>
      <c r="J105" s="1040"/>
      <c r="K105" s="1040"/>
      <c r="L105" s="1040"/>
      <c r="M105" s="1040"/>
      <c r="N105" s="1040"/>
      <c r="O105" s="1040"/>
      <c r="P105" s="1040"/>
      <c r="Q105" s="1040"/>
      <c r="R105" s="1040"/>
      <c r="S105" s="1040"/>
      <c r="T105" s="1040"/>
      <c r="U105" s="1040"/>
      <c r="V105" s="1040"/>
      <c r="W105" s="1040"/>
    </row>
  </sheetData>
  <sheetProtection algorithmName="SHA-512" hashValue="X7sWKY2GB14UiaM3nbWDqF2YqxosKAHiJFDWLwzKt6FQYweuZvP/W4CuUjKqLvzbvYzk5WHkeYt3iYpGpJKcow==" saltValue="MWtukCCnMeS75HPJ063uog==" spinCount="100000" sheet="1" objects="1" scenarios="1"/>
  <mergeCells count="65">
    <mergeCell ref="B10:B12"/>
    <mergeCell ref="E83:E84"/>
    <mergeCell ref="C88:C93"/>
    <mergeCell ref="C94:C95"/>
    <mergeCell ref="B13:B33"/>
    <mergeCell ref="C13:C23"/>
    <mergeCell ref="C24:C29"/>
    <mergeCell ref="C30:C33"/>
    <mergeCell ref="C49:C55"/>
    <mergeCell ref="C56:C61"/>
    <mergeCell ref="C62:C69"/>
    <mergeCell ref="D83:D84"/>
    <mergeCell ref="C70:C87"/>
    <mergeCell ref="D85:D87"/>
    <mergeCell ref="E85:E87"/>
    <mergeCell ref="F10:F12"/>
    <mergeCell ref="G10:G12"/>
    <mergeCell ref="B2:B6"/>
    <mergeCell ref="H10:H12"/>
    <mergeCell ref="B97:B99"/>
    <mergeCell ref="B34:B40"/>
    <mergeCell ref="C34:C35"/>
    <mergeCell ref="C36:C37"/>
    <mergeCell ref="C38:C40"/>
    <mergeCell ref="B41:B48"/>
    <mergeCell ref="C41:C42"/>
    <mergeCell ref="C43:C44"/>
    <mergeCell ref="C46:C48"/>
    <mergeCell ref="D10:D12"/>
    <mergeCell ref="E10:E12"/>
    <mergeCell ref="B49:B96"/>
    <mergeCell ref="I10:I12"/>
    <mergeCell ref="C2:AB6"/>
    <mergeCell ref="Z10:AB10"/>
    <mergeCell ref="O11:P11"/>
    <mergeCell ref="Q11:R11"/>
    <mergeCell ref="S11:T11"/>
    <mergeCell ref="U11:V11"/>
    <mergeCell ref="O10:Y10"/>
    <mergeCell ref="X11:X12"/>
    <mergeCell ref="Y11:Y12"/>
    <mergeCell ref="AA11:AA12"/>
    <mergeCell ref="AB11:AB12"/>
    <mergeCell ref="J10:J12"/>
    <mergeCell ref="K10:N10"/>
    <mergeCell ref="Z11:Z12"/>
    <mergeCell ref="C10:C12"/>
    <mergeCell ref="AB94:AB95"/>
    <mergeCell ref="AB24:AB29"/>
    <mergeCell ref="AB30:AB33"/>
    <mergeCell ref="AB49:AB55"/>
    <mergeCell ref="AB56:AB61"/>
    <mergeCell ref="AB62:AB69"/>
    <mergeCell ref="AB70:AB87"/>
    <mergeCell ref="AB41:AB42"/>
    <mergeCell ref="AB43:AB44"/>
    <mergeCell ref="AB46:AB48"/>
    <mergeCell ref="AA83:AA84"/>
    <mergeCell ref="AB13:AB23"/>
    <mergeCell ref="W11:W12"/>
    <mergeCell ref="AB88:AB93"/>
    <mergeCell ref="AA85:AA87"/>
    <mergeCell ref="AB34:AB35"/>
    <mergeCell ref="AB36:AB37"/>
    <mergeCell ref="AB38:AB4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F0"/>
  </sheetPr>
  <dimension ref="B1:O109"/>
  <sheetViews>
    <sheetView showGridLines="0" zoomScale="55" zoomScaleNormal="55" workbookViewId="0">
      <selection activeCell="K16" sqref="K16"/>
    </sheetView>
  </sheetViews>
  <sheetFormatPr baseColWidth="10" defaultColWidth="17.33203125" defaultRowHeight="15" customHeight="1"/>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4" width="14.33203125" style="135" customWidth="1"/>
    <col min="15" max="15" width="18.5546875" style="135" customWidth="1"/>
    <col min="16" max="16384" width="17.33203125" style="135"/>
  </cols>
  <sheetData>
    <row r="1" spans="2:15" ht="15" customHeight="1" thickBot="1"/>
    <row r="2" spans="2:15" ht="16.5" customHeight="1">
      <c r="B2" s="1509" t="s">
        <v>752</v>
      </c>
      <c r="C2" s="1503" t="s">
        <v>44</v>
      </c>
      <c r="D2" s="1444"/>
      <c r="E2" s="1444"/>
      <c r="F2" s="1444"/>
      <c r="G2" s="1444"/>
      <c r="H2" s="1444"/>
      <c r="I2" s="1444"/>
      <c r="J2" s="1444"/>
      <c r="K2" s="1444"/>
      <c r="L2" s="1444"/>
      <c r="M2" s="1504"/>
      <c r="N2" s="1496" t="s">
        <v>31</v>
      </c>
      <c r="O2" s="1497"/>
    </row>
    <row r="3" spans="2:15" ht="16.5" customHeight="1">
      <c r="B3" s="1510"/>
      <c r="C3" s="1505"/>
      <c r="D3" s="1447"/>
      <c r="E3" s="1447"/>
      <c r="F3" s="1447"/>
      <c r="G3" s="1447"/>
      <c r="H3" s="1447"/>
      <c r="I3" s="1447"/>
      <c r="J3" s="1447"/>
      <c r="K3" s="1447"/>
      <c r="L3" s="1447"/>
      <c r="M3" s="1506"/>
      <c r="N3" s="27" t="s">
        <v>28</v>
      </c>
      <c r="O3" s="28" t="s">
        <v>29</v>
      </c>
    </row>
    <row r="4" spans="2:15" ht="16.5" customHeight="1">
      <c r="B4" s="1510"/>
      <c r="C4" s="1505"/>
      <c r="D4" s="1447"/>
      <c r="E4" s="1447"/>
      <c r="F4" s="1447"/>
      <c r="G4" s="1447"/>
      <c r="H4" s="1447"/>
      <c r="I4" s="1447"/>
      <c r="J4" s="1447"/>
      <c r="K4" s="1447"/>
      <c r="L4" s="1447"/>
      <c r="M4" s="1506"/>
      <c r="N4" s="29">
        <v>5</v>
      </c>
      <c r="O4" s="30" t="s">
        <v>701</v>
      </c>
    </row>
    <row r="5" spans="2:15" ht="16.5" customHeight="1">
      <c r="B5" s="1510"/>
      <c r="C5" s="1505"/>
      <c r="D5" s="1447"/>
      <c r="E5" s="1447"/>
      <c r="F5" s="1447"/>
      <c r="G5" s="1447"/>
      <c r="H5" s="1447"/>
      <c r="I5" s="1447"/>
      <c r="J5" s="1447"/>
      <c r="K5" s="1447"/>
      <c r="L5" s="1447"/>
      <c r="M5" s="1506"/>
      <c r="N5" s="1498" t="s">
        <v>30</v>
      </c>
      <c r="O5" s="1499"/>
    </row>
    <row r="6" spans="2:15" ht="16.5" customHeight="1" thickBot="1">
      <c r="B6" s="1511"/>
      <c r="C6" s="1507"/>
      <c r="D6" s="1450"/>
      <c r="E6" s="1450"/>
      <c r="F6" s="1450"/>
      <c r="G6" s="1450"/>
      <c r="H6" s="1450"/>
      <c r="I6" s="1450"/>
      <c r="J6" s="1450"/>
      <c r="K6" s="1450"/>
      <c r="L6" s="1450"/>
      <c r="M6" s="1508"/>
      <c r="N6" s="1500">
        <v>44306</v>
      </c>
      <c r="O6" s="1501"/>
    </row>
    <row r="7" spans="2:15" ht="14.25" customHeight="1">
      <c r="B7" s="136"/>
      <c r="C7" s="136"/>
      <c r="D7" s="136"/>
      <c r="E7" s="137"/>
      <c r="F7" s="137"/>
      <c r="G7" s="137"/>
      <c r="H7" s="136"/>
      <c r="I7" s="136"/>
      <c r="J7" s="136"/>
    </row>
    <row r="8" spans="2:15" ht="18" customHeight="1">
      <c r="B8" s="1502" t="s">
        <v>48</v>
      </c>
      <c r="C8" s="1502"/>
      <c r="D8" s="1502"/>
      <c r="E8" s="1502"/>
      <c r="F8" s="1502"/>
      <c r="G8" s="1502"/>
      <c r="H8" s="1502"/>
      <c r="I8" s="1502"/>
      <c r="J8" s="1502"/>
      <c r="K8" s="1502"/>
      <c r="L8" s="1502"/>
      <c r="M8" s="1502"/>
      <c r="N8" s="1502"/>
      <c r="O8" s="1502"/>
    </row>
    <row r="9" spans="2:15" ht="14.25" customHeight="1">
      <c r="B9" s="136"/>
      <c r="C9" s="136"/>
      <c r="D9" s="136"/>
      <c r="E9" s="137"/>
      <c r="F9" s="137"/>
      <c r="G9" s="137"/>
      <c r="H9" s="136"/>
      <c r="I9" s="136"/>
      <c r="J9" s="136"/>
      <c r="K9" s="138"/>
      <c r="L9" s="138"/>
      <c r="M9" s="138"/>
      <c r="N9" s="138"/>
      <c r="O9" s="138"/>
    </row>
    <row r="10" spans="2:15" ht="24.75" customHeight="1">
      <c r="B10" s="1442" t="s">
        <v>0</v>
      </c>
      <c r="C10" s="1442" t="s">
        <v>52</v>
      </c>
      <c r="D10" s="1442" t="s">
        <v>54</v>
      </c>
      <c r="E10" s="1427" t="s">
        <v>55</v>
      </c>
      <c r="F10" s="1442" t="s">
        <v>56</v>
      </c>
      <c r="G10" s="1442" t="s">
        <v>70</v>
      </c>
      <c r="H10" s="1442" t="s">
        <v>57</v>
      </c>
      <c r="I10" s="1442" t="s">
        <v>41</v>
      </c>
      <c r="J10" s="1442" t="s">
        <v>42</v>
      </c>
      <c r="K10" s="1462" t="s">
        <v>75</v>
      </c>
      <c r="L10" s="1462"/>
      <c r="M10" s="1462"/>
      <c r="N10" s="1462"/>
      <c r="O10" s="1493" t="s">
        <v>43</v>
      </c>
    </row>
    <row r="11" spans="2:15" ht="24.75" customHeight="1">
      <c r="B11" s="1442"/>
      <c r="C11" s="1442"/>
      <c r="D11" s="1442"/>
      <c r="E11" s="1478"/>
      <c r="F11" s="1442"/>
      <c r="G11" s="1442"/>
      <c r="H11" s="1442"/>
      <c r="I11" s="1442"/>
      <c r="J11" s="1442"/>
      <c r="K11" s="78" t="s">
        <v>59</v>
      </c>
      <c r="L11" s="78" t="s">
        <v>59</v>
      </c>
      <c r="M11" s="78" t="s">
        <v>59</v>
      </c>
      <c r="N11" s="78" t="s">
        <v>59</v>
      </c>
      <c r="O11" s="1493"/>
    </row>
    <row r="12" spans="2:15" ht="22.5" customHeight="1">
      <c r="B12" s="1442"/>
      <c r="C12" s="1442"/>
      <c r="D12" s="1442"/>
      <c r="E12" s="1428"/>
      <c r="F12" s="1442"/>
      <c r="G12" s="1442"/>
      <c r="H12" s="1442"/>
      <c r="I12" s="1442"/>
      <c r="J12" s="1442"/>
      <c r="K12" s="84">
        <v>2021</v>
      </c>
      <c r="L12" s="84">
        <v>2022</v>
      </c>
      <c r="M12" s="84">
        <v>2023</v>
      </c>
      <c r="N12" s="84">
        <v>2024</v>
      </c>
      <c r="O12" s="1493"/>
    </row>
    <row r="13" spans="2:15" ht="103.5" customHeight="1">
      <c r="B13" s="1466" t="s">
        <v>130</v>
      </c>
      <c r="C13" s="1494" t="s">
        <v>1131</v>
      </c>
      <c r="D13" s="31" t="s">
        <v>1120</v>
      </c>
      <c r="E13" s="52">
        <v>0.38</v>
      </c>
      <c r="F13" s="139">
        <v>347900</v>
      </c>
      <c r="G13" s="326" t="s">
        <v>156</v>
      </c>
      <c r="H13" s="141" t="s">
        <v>168</v>
      </c>
      <c r="I13" s="142" t="s">
        <v>206</v>
      </c>
      <c r="J13" s="143" t="s">
        <v>686</v>
      </c>
      <c r="K13" s="1001">
        <v>102150</v>
      </c>
      <c r="L13" s="144">
        <v>98250</v>
      </c>
      <c r="M13" s="144">
        <v>98250</v>
      </c>
      <c r="N13" s="144">
        <v>49250</v>
      </c>
      <c r="O13" s="35">
        <f>K13+L13+M13+N13</f>
        <v>347900</v>
      </c>
    </row>
    <row r="14" spans="2:15" ht="142.5" customHeight="1">
      <c r="B14" s="1467"/>
      <c r="C14" s="1477"/>
      <c r="D14" s="31" t="s">
        <v>1121</v>
      </c>
      <c r="E14" s="52">
        <v>0.3</v>
      </c>
      <c r="F14" s="139">
        <v>269700</v>
      </c>
      <c r="G14" s="326" t="s">
        <v>156</v>
      </c>
      <c r="H14" s="141" t="s">
        <v>169</v>
      </c>
      <c r="I14" s="142" t="s">
        <v>206</v>
      </c>
      <c r="J14" s="143" t="s">
        <v>687</v>
      </c>
      <c r="K14" s="1001">
        <v>76200</v>
      </c>
      <c r="L14" s="144">
        <v>76600</v>
      </c>
      <c r="M14" s="144">
        <v>76600</v>
      </c>
      <c r="N14" s="144">
        <v>40300</v>
      </c>
      <c r="O14" s="35">
        <f t="shared" ref="O14:O48" si="0">K14+L14+M14+N14</f>
        <v>269700</v>
      </c>
    </row>
    <row r="15" spans="2:15" ht="185.25" customHeight="1">
      <c r="B15" s="1467"/>
      <c r="C15" s="1477"/>
      <c r="D15" s="31" t="s">
        <v>1122</v>
      </c>
      <c r="E15" s="52">
        <v>0.15</v>
      </c>
      <c r="F15" s="139">
        <v>130545</v>
      </c>
      <c r="G15" s="326" t="s">
        <v>156</v>
      </c>
      <c r="H15" s="141" t="s">
        <v>170</v>
      </c>
      <c r="I15" s="142" t="s">
        <v>206</v>
      </c>
      <c r="J15" s="143" t="s">
        <v>688</v>
      </c>
      <c r="K15" s="1001">
        <v>28545</v>
      </c>
      <c r="L15" s="144">
        <v>39200</v>
      </c>
      <c r="M15" s="144">
        <v>39200</v>
      </c>
      <c r="N15" s="144">
        <v>23600</v>
      </c>
      <c r="O15" s="35">
        <f t="shared" si="0"/>
        <v>130545</v>
      </c>
    </row>
    <row r="16" spans="2:15" ht="45" customHeight="1">
      <c r="B16" s="1467"/>
      <c r="C16" s="1477"/>
      <c r="D16" s="31" t="s">
        <v>1123</v>
      </c>
      <c r="E16" s="52">
        <v>0.04</v>
      </c>
      <c r="F16" s="139">
        <v>32186</v>
      </c>
      <c r="G16" s="326" t="s">
        <v>156</v>
      </c>
      <c r="H16" s="141" t="s">
        <v>172</v>
      </c>
      <c r="I16" s="142" t="s">
        <v>206</v>
      </c>
      <c r="J16" s="143" t="s">
        <v>657</v>
      </c>
      <c r="K16" s="1001">
        <v>6810</v>
      </c>
      <c r="L16" s="144">
        <v>10500</v>
      </c>
      <c r="M16" s="144">
        <v>10500</v>
      </c>
      <c r="N16" s="144">
        <v>4376</v>
      </c>
      <c r="O16" s="35">
        <f t="shared" si="0"/>
        <v>32186</v>
      </c>
    </row>
    <row r="17" spans="2:15" ht="136.5" customHeight="1">
      <c r="B17" s="1467"/>
      <c r="C17" s="1477"/>
      <c r="D17" s="31" t="s">
        <v>1124</v>
      </c>
      <c r="E17" s="52">
        <v>0.06</v>
      </c>
      <c r="F17" s="139">
        <v>64307</v>
      </c>
      <c r="G17" s="326" t="s">
        <v>156</v>
      </c>
      <c r="H17" s="141" t="s">
        <v>173</v>
      </c>
      <c r="I17" s="142" t="s">
        <v>206</v>
      </c>
      <c r="J17" s="143" t="s">
        <v>689</v>
      </c>
      <c r="K17" s="1001">
        <v>17807</v>
      </c>
      <c r="L17" s="144">
        <v>21200</v>
      </c>
      <c r="M17" s="144">
        <v>21200</v>
      </c>
      <c r="N17" s="144">
        <v>4100</v>
      </c>
      <c r="O17" s="35">
        <f t="shared" si="0"/>
        <v>64307</v>
      </c>
    </row>
    <row r="18" spans="2:15" ht="75">
      <c r="B18" s="1467"/>
      <c r="C18" s="1477"/>
      <c r="D18" s="31" t="s">
        <v>171</v>
      </c>
      <c r="E18" s="52">
        <v>0.01</v>
      </c>
      <c r="F18" s="139">
        <v>80</v>
      </c>
      <c r="G18" s="326" t="s">
        <v>156</v>
      </c>
      <c r="H18" s="141" t="s">
        <v>174</v>
      </c>
      <c r="I18" s="142" t="s">
        <v>206</v>
      </c>
      <c r="J18" s="143" t="s">
        <v>690</v>
      </c>
      <c r="K18" s="144">
        <v>20</v>
      </c>
      <c r="L18" s="144">
        <v>20</v>
      </c>
      <c r="M18" s="144">
        <v>20</v>
      </c>
      <c r="N18" s="144">
        <v>20</v>
      </c>
      <c r="O18" s="35">
        <f t="shared" si="0"/>
        <v>80</v>
      </c>
    </row>
    <row r="19" spans="2:15" ht="88.5" customHeight="1">
      <c r="B19" s="1467"/>
      <c r="C19" s="1477"/>
      <c r="D19" s="31" t="s">
        <v>175</v>
      </c>
      <c r="E19" s="52">
        <v>0.01</v>
      </c>
      <c r="F19" s="139" t="s">
        <v>177</v>
      </c>
      <c r="G19" s="326" t="s">
        <v>156</v>
      </c>
      <c r="H19" s="141" t="s">
        <v>203</v>
      </c>
      <c r="I19" s="142" t="s">
        <v>206</v>
      </c>
      <c r="J19" s="143" t="s">
        <v>691</v>
      </c>
      <c r="K19" s="145" t="s">
        <v>177</v>
      </c>
      <c r="L19" s="145" t="s">
        <v>177</v>
      </c>
      <c r="M19" s="145" t="s">
        <v>177</v>
      </c>
      <c r="N19" s="145" t="s">
        <v>177</v>
      </c>
      <c r="O19" s="36" t="s">
        <v>177</v>
      </c>
    </row>
    <row r="20" spans="2:15" ht="121.5" customHeight="1">
      <c r="B20" s="1467"/>
      <c r="C20" s="1477"/>
      <c r="D20" s="31" t="s">
        <v>176</v>
      </c>
      <c r="E20" s="52">
        <v>0.02</v>
      </c>
      <c r="F20" s="139">
        <v>20000</v>
      </c>
      <c r="G20" s="326" t="s">
        <v>156</v>
      </c>
      <c r="H20" s="141" t="s">
        <v>204</v>
      </c>
      <c r="I20" s="142" t="s">
        <v>206</v>
      </c>
      <c r="J20" s="143" t="s">
        <v>692</v>
      </c>
      <c r="K20" s="144">
        <v>5000</v>
      </c>
      <c r="L20" s="144">
        <v>6500</v>
      </c>
      <c r="M20" s="144">
        <v>6500</v>
      </c>
      <c r="N20" s="144">
        <v>2000</v>
      </c>
      <c r="O20" s="35">
        <f t="shared" si="0"/>
        <v>20000</v>
      </c>
    </row>
    <row r="21" spans="2:15" ht="84.75" customHeight="1">
      <c r="B21" s="1467"/>
      <c r="C21" s="1477"/>
      <c r="D21" s="31" t="s">
        <v>178</v>
      </c>
      <c r="E21" s="52">
        <v>0.01</v>
      </c>
      <c r="F21" s="139">
        <v>12000</v>
      </c>
      <c r="G21" s="326" t="s">
        <v>156</v>
      </c>
      <c r="H21" s="141" t="s">
        <v>262</v>
      </c>
      <c r="I21" s="142" t="s">
        <v>206</v>
      </c>
      <c r="J21" s="143" t="s">
        <v>692</v>
      </c>
      <c r="K21" s="144">
        <v>3000</v>
      </c>
      <c r="L21" s="144">
        <v>4000</v>
      </c>
      <c r="M21" s="144">
        <v>4000</v>
      </c>
      <c r="N21" s="144">
        <v>1000</v>
      </c>
      <c r="O21" s="35">
        <f t="shared" si="0"/>
        <v>12000</v>
      </c>
    </row>
    <row r="22" spans="2:15" ht="83.25" customHeight="1">
      <c r="B22" s="1467"/>
      <c r="C22" s="1477"/>
      <c r="D22" s="31" t="s">
        <v>179</v>
      </c>
      <c r="E22" s="52">
        <v>0.01</v>
      </c>
      <c r="F22" s="139">
        <v>2800</v>
      </c>
      <c r="G22" s="326" t="s">
        <v>156</v>
      </c>
      <c r="H22" s="141" t="s">
        <v>205</v>
      </c>
      <c r="I22" s="142" t="s">
        <v>206</v>
      </c>
      <c r="J22" s="143" t="s">
        <v>692</v>
      </c>
      <c r="K22" s="144">
        <v>700</v>
      </c>
      <c r="L22" s="144">
        <v>1000</v>
      </c>
      <c r="M22" s="144">
        <v>800</v>
      </c>
      <c r="N22" s="144">
        <v>300</v>
      </c>
      <c r="O22" s="35">
        <f t="shared" si="0"/>
        <v>2800</v>
      </c>
    </row>
    <row r="23" spans="2:15" ht="93.75" customHeight="1">
      <c r="B23" s="1467"/>
      <c r="C23" s="1495"/>
      <c r="D23" s="31" t="s">
        <v>705</v>
      </c>
      <c r="E23" s="52">
        <v>0.01</v>
      </c>
      <c r="F23" s="139">
        <v>60</v>
      </c>
      <c r="G23" s="326" t="s">
        <v>156</v>
      </c>
      <c r="H23" s="141" t="s">
        <v>180</v>
      </c>
      <c r="I23" s="142" t="s">
        <v>206</v>
      </c>
      <c r="J23" s="143" t="s">
        <v>692</v>
      </c>
      <c r="K23" s="144">
        <v>0</v>
      </c>
      <c r="L23" s="144">
        <v>20</v>
      </c>
      <c r="M23" s="144">
        <v>20</v>
      </c>
      <c r="N23" s="144">
        <v>20</v>
      </c>
      <c r="O23" s="35">
        <f t="shared" si="0"/>
        <v>60</v>
      </c>
    </row>
    <row r="24" spans="2:15" ht="135.75" customHeight="1">
      <c r="B24" s="1467"/>
      <c r="C24" s="1494" t="s">
        <v>1132</v>
      </c>
      <c r="D24" s="31" t="s">
        <v>1125</v>
      </c>
      <c r="E24" s="52">
        <v>0.75</v>
      </c>
      <c r="F24" s="139">
        <v>187360</v>
      </c>
      <c r="G24" s="326" t="s">
        <v>156</v>
      </c>
      <c r="H24" s="141" t="s">
        <v>181</v>
      </c>
      <c r="I24" s="142" t="s">
        <v>206</v>
      </c>
      <c r="J24" s="143" t="s">
        <v>693</v>
      </c>
      <c r="K24" s="1001">
        <v>62360</v>
      </c>
      <c r="L24" s="144">
        <v>53000</v>
      </c>
      <c r="M24" s="144">
        <v>53000</v>
      </c>
      <c r="N24" s="144">
        <v>19000</v>
      </c>
      <c r="O24" s="35">
        <f t="shared" si="0"/>
        <v>187360</v>
      </c>
    </row>
    <row r="25" spans="2:15" ht="102" customHeight="1">
      <c r="B25" s="1467"/>
      <c r="C25" s="1477"/>
      <c r="D25" s="31" t="s">
        <v>1126</v>
      </c>
      <c r="E25" s="52">
        <v>0.12</v>
      </c>
      <c r="F25" s="139">
        <v>25680</v>
      </c>
      <c r="G25" s="326" t="s">
        <v>156</v>
      </c>
      <c r="H25" s="141" t="s">
        <v>182</v>
      </c>
      <c r="I25" s="142" t="s">
        <v>206</v>
      </c>
      <c r="J25" s="143" t="s">
        <v>694</v>
      </c>
      <c r="K25" s="1001">
        <v>4080</v>
      </c>
      <c r="L25" s="144">
        <v>8650</v>
      </c>
      <c r="M25" s="144">
        <v>8650</v>
      </c>
      <c r="N25" s="144">
        <v>4300</v>
      </c>
      <c r="O25" s="35">
        <f t="shared" si="0"/>
        <v>25680</v>
      </c>
    </row>
    <row r="26" spans="2:15" ht="75">
      <c r="B26" s="1467"/>
      <c r="C26" s="1477"/>
      <c r="D26" s="31" t="s">
        <v>1127</v>
      </c>
      <c r="E26" s="52">
        <v>0.09</v>
      </c>
      <c r="F26" s="139">
        <v>20390</v>
      </c>
      <c r="G26" s="326" t="s">
        <v>156</v>
      </c>
      <c r="H26" s="141" t="s">
        <v>183</v>
      </c>
      <c r="I26" s="142" t="s">
        <v>206</v>
      </c>
      <c r="J26" s="143" t="s">
        <v>695</v>
      </c>
      <c r="K26" s="1001">
        <v>4790</v>
      </c>
      <c r="L26" s="144">
        <v>6300</v>
      </c>
      <c r="M26" s="144">
        <v>6300</v>
      </c>
      <c r="N26" s="144">
        <v>3000</v>
      </c>
      <c r="O26" s="35">
        <f t="shared" si="0"/>
        <v>20390</v>
      </c>
    </row>
    <row r="27" spans="2:15" ht="73.2" customHeight="1">
      <c r="B27" s="1467"/>
      <c r="C27" s="1477"/>
      <c r="D27" s="31" t="s">
        <v>1128</v>
      </c>
      <c r="E27" s="323">
        <v>0.02</v>
      </c>
      <c r="F27" s="139">
        <v>3940</v>
      </c>
      <c r="G27" s="326" t="s">
        <v>156</v>
      </c>
      <c r="H27" s="141" t="s">
        <v>184</v>
      </c>
      <c r="I27" s="142" t="s">
        <v>206</v>
      </c>
      <c r="J27" s="146" t="s">
        <v>696</v>
      </c>
      <c r="K27" s="1001">
        <v>940</v>
      </c>
      <c r="L27" s="144">
        <v>1200</v>
      </c>
      <c r="M27" s="144">
        <v>1200</v>
      </c>
      <c r="N27" s="144">
        <v>600</v>
      </c>
      <c r="O27" s="35">
        <f t="shared" si="0"/>
        <v>3940</v>
      </c>
    </row>
    <row r="28" spans="2:15" ht="120" customHeight="1">
      <c r="B28" s="1467"/>
      <c r="C28" s="1477"/>
      <c r="D28" s="31" t="s">
        <v>1129</v>
      </c>
      <c r="E28" s="147">
        <v>0.01</v>
      </c>
      <c r="F28" s="139">
        <v>4632</v>
      </c>
      <c r="G28" s="326" t="s">
        <v>156</v>
      </c>
      <c r="H28" s="141" t="s">
        <v>185</v>
      </c>
      <c r="I28" s="31" t="s">
        <v>206</v>
      </c>
      <c r="J28" s="148" t="s">
        <v>697</v>
      </c>
      <c r="K28" s="1001">
        <v>1402</v>
      </c>
      <c r="L28" s="144">
        <v>1092</v>
      </c>
      <c r="M28" s="144">
        <v>1092</v>
      </c>
      <c r="N28" s="144">
        <v>1046</v>
      </c>
      <c r="O28" s="35">
        <f t="shared" si="0"/>
        <v>4632</v>
      </c>
    </row>
    <row r="29" spans="2:15" ht="105">
      <c r="B29" s="1467"/>
      <c r="C29" s="1495"/>
      <c r="D29" s="31" t="s">
        <v>1130</v>
      </c>
      <c r="E29" s="147">
        <v>0.01</v>
      </c>
      <c r="F29" s="139">
        <v>712</v>
      </c>
      <c r="G29" s="326" t="s">
        <v>156</v>
      </c>
      <c r="H29" s="141" t="s">
        <v>186</v>
      </c>
      <c r="I29" s="31" t="s">
        <v>206</v>
      </c>
      <c r="J29" s="148" t="s">
        <v>698</v>
      </c>
      <c r="K29" s="1001">
        <v>228</v>
      </c>
      <c r="L29" s="144">
        <v>182</v>
      </c>
      <c r="M29" s="144">
        <v>182</v>
      </c>
      <c r="N29" s="144">
        <v>120</v>
      </c>
      <c r="O29" s="35">
        <f t="shared" si="0"/>
        <v>712</v>
      </c>
    </row>
    <row r="30" spans="2:15" ht="90" customHeight="1">
      <c r="B30" s="1467"/>
      <c r="C30" s="1475" t="s">
        <v>133</v>
      </c>
      <c r="D30" s="31" t="s">
        <v>187</v>
      </c>
      <c r="E30" s="324">
        <v>0.56000000000000005</v>
      </c>
      <c r="F30" s="139">
        <v>20</v>
      </c>
      <c r="G30" s="326" t="s">
        <v>156</v>
      </c>
      <c r="H30" s="141" t="s">
        <v>188</v>
      </c>
      <c r="I30" s="149" t="s">
        <v>206</v>
      </c>
      <c r="J30" s="150" t="s">
        <v>699</v>
      </c>
      <c r="K30" s="144">
        <v>2</v>
      </c>
      <c r="L30" s="144">
        <v>8</v>
      </c>
      <c r="M30" s="144">
        <v>8</v>
      </c>
      <c r="N30" s="144">
        <v>2</v>
      </c>
      <c r="O30" s="35">
        <f t="shared" si="0"/>
        <v>20</v>
      </c>
    </row>
    <row r="31" spans="2:15" ht="92.25" customHeight="1">
      <c r="B31" s="1467"/>
      <c r="C31" s="1477"/>
      <c r="D31" s="31" t="s">
        <v>189</v>
      </c>
      <c r="E31" s="52">
        <v>0.31</v>
      </c>
      <c r="F31" s="139">
        <v>11</v>
      </c>
      <c r="G31" s="326" t="s">
        <v>156</v>
      </c>
      <c r="H31" s="141" t="s">
        <v>190</v>
      </c>
      <c r="I31" s="142" t="s">
        <v>206</v>
      </c>
      <c r="J31" s="143" t="s">
        <v>699</v>
      </c>
      <c r="K31" s="144">
        <v>3</v>
      </c>
      <c r="L31" s="144">
        <v>3</v>
      </c>
      <c r="M31" s="144">
        <v>3</v>
      </c>
      <c r="N31" s="144">
        <v>2</v>
      </c>
      <c r="O31" s="35">
        <f t="shared" si="0"/>
        <v>11</v>
      </c>
    </row>
    <row r="32" spans="2:15" ht="83.25" customHeight="1">
      <c r="B32" s="1467"/>
      <c r="C32" s="1477"/>
      <c r="D32" s="31" t="s">
        <v>191</v>
      </c>
      <c r="E32" s="52">
        <v>0.11</v>
      </c>
      <c r="F32" s="139">
        <v>4</v>
      </c>
      <c r="G32" s="326" t="s">
        <v>156</v>
      </c>
      <c r="H32" s="141" t="s">
        <v>193</v>
      </c>
      <c r="I32" s="142" t="s">
        <v>206</v>
      </c>
      <c r="J32" s="143" t="s">
        <v>699</v>
      </c>
      <c r="K32" s="144">
        <v>1</v>
      </c>
      <c r="L32" s="144">
        <v>1</v>
      </c>
      <c r="M32" s="144">
        <v>1</v>
      </c>
      <c r="N32" s="144">
        <v>1</v>
      </c>
      <c r="O32" s="35">
        <f t="shared" si="0"/>
        <v>4</v>
      </c>
    </row>
    <row r="33" spans="2:15" ht="90">
      <c r="B33" s="1468"/>
      <c r="C33" s="1476"/>
      <c r="D33" s="31" t="s">
        <v>192</v>
      </c>
      <c r="E33" s="52">
        <v>0.02</v>
      </c>
      <c r="F33" s="139">
        <v>1</v>
      </c>
      <c r="G33" s="326" t="s">
        <v>156</v>
      </c>
      <c r="H33" s="141" t="s">
        <v>268</v>
      </c>
      <c r="I33" s="142" t="s">
        <v>206</v>
      </c>
      <c r="J33" s="143" t="s">
        <v>693</v>
      </c>
      <c r="K33" s="144">
        <v>0</v>
      </c>
      <c r="L33" s="144">
        <v>1</v>
      </c>
      <c r="M33" s="144">
        <v>0</v>
      </c>
      <c r="N33" s="144">
        <v>0</v>
      </c>
      <c r="O33" s="35">
        <f t="shared" si="0"/>
        <v>1</v>
      </c>
    </row>
    <row r="34" spans="2:15" ht="102" customHeight="1">
      <c r="B34" s="1469" t="s">
        <v>134</v>
      </c>
      <c r="C34" s="1472" t="s">
        <v>135</v>
      </c>
      <c r="D34" s="151" t="s">
        <v>194</v>
      </c>
      <c r="E34" s="152">
        <f>0.727272727272727*100%</f>
        <v>0.72727272727272696</v>
      </c>
      <c r="F34" s="153">
        <v>16</v>
      </c>
      <c r="G34" s="154" t="s">
        <v>156</v>
      </c>
      <c r="H34" s="155" t="s">
        <v>196</v>
      </c>
      <c r="I34" s="156" t="s">
        <v>276</v>
      </c>
      <c r="J34" s="157" t="s">
        <v>277</v>
      </c>
      <c r="K34" s="158">
        <v>3</v>
      </c>
      <c r="L34" s="158">
        <v>6</v>
      </c>
      <c r="M34" s="158">
        <v>6</v>
      </c>
      <c r="N34" s="158">
        <v>1</v>
      </c>
      <c r="O34" s="35">
        <f t="shared" si="0"/>
        <v>16</v>
      </c>
    </row>
    <row r="35" spans="2:15" ht="120" customHeight="1">
      <c r="B35" s="1470"/>
      <c r="C35" s="1473"/>
      <c r="D35" s="151" t="s">
        <v>195</v>
      </c>
      <c r="E35" s="152">
        <f>0.272727272727273*100%</f>
        <v>0.27272727272727298</v>
      </c>
      <c r="F35" s="153">
        <v>6</v>
      </c>
      <c r="G35" s="154" t="s">
        <v>156</v>
      </c>
      <c r="H35" s="155" t="s">
        <v>273</v>
      </c>
      <c r="I35" s="156" t="s">
        <v>276</v>
      </c>
      <c r="J35" s="157" t="s">
        <v>277</v>
      </c>
      <c r="K35" s="158">
        <v>1</v>
      </c>
      <c r="L35" s="158">
        <v>1</v>
      </c>
      <c r="M35" s="158">
        <v>3</v>
      </c>
      <c r="N35" s="158">
        <v>1</v>
      </c>
      <c r="O35" s="35">
        <f t="shared" si="0"/>
        <v>6</v>
      </c>
    </row>
    <row r="36" spans="2:15" ht="100.5" customHeight="1">
      <c r="B36" s="1470"/>
      <c r="C36" s="1472" t="s">
        <v>136</v>
      </c>
      <c r="D36" s="151" t="s">
        <v>198</v>
      </c>
      <c r="E36" s="152">
        <f>+F36/880</f>
        <v>0.89772727272727271</v>
      </c>
      <c r="F36" s="153">
        <v>790</v>
      </c>
      <c r="G36" s="154" t="s">
        <v>156</v>
      </c>
      <c r="H36" s="155" t="s">
        <v>305</v>
      </c>
      <c r="I36" s="156" t="s">
        <v>276</v>
      </c>
      <c r="J36" s="157" t="s">
        <v>277</v>
      </c>
      <c r="K36" s="158">
        <v>200</v>
      </c>
      <c r="L36" s="158">
        <v>259</v>
      </c>
      <c r="M36" s="158">
        <v>259</v>
      </c>
      <c r="N36" s="158">
        <v>72</v>
      </c>
      <c r="O36" s="35">
        <f t="shared" si="0"/>
        <v>790</v>
      </c>
    </row>
    <row r="37" spans="2:15" ht="100.5" customHeight="1">
      <c r="B37" s="1470"/>
      <c r="C37" s="1473"/>
      <c r="D37" s="151" t="s">
        <v>197</v>
      </c>
      <c r="E37" s="152">
        <f>+F37/880</f>
        <v>0.10227272727272728</v>
      </c>
      <c r="F37" s="153">
        <v>90</v>
      </c>
      <c r="G37" s="154" t="s">
        <v>156</v>
      </c>
      <c r="H37" s="155" t="s">
        <v>306</v>
      </c>
      <c r="I37" s="156" t="s">
        <v>276</v>
      </c>
      <c r="J37" s="157" t="s">
        <v>277</v>
      </c>
      <c r="K37" s="158">
        <v>20</v>
      </c>
      <c r="L37" s="158">
        <v>30</v>
      </c>
      <c r="M37" s="158">
        <v>30</v>
      </c>
      <c r="N37" s="158">
        <v>10</v>
      </c>
      <c r="O37" s="35">
        <f t="shared" si="0"/>
        <v>90</v>
      </c>
    </row>
    <row r="38" spans="2:15" ht="65.25" customHeight="1">
      <c r="B38" s="1470"/>
      <c r="C38" s="1472" t="s">
        <v>137</v>
      </c>
      <c r="D38" s="151" t="s">
        <v>199</v>
      </c>
      <c r="E38" s="152">
        <f>+F38/295</f>
        <v>0.1864406779661017</v>
      </c>
      <c r="F38" s="153">
        <v>55</v>
      </c>
      <c r="G38" s="154">
        <v>75</v>
      </c>
      <c r="H38" s="155" t="s">
        <v>274</v>
      </c>
      <c r="I38" s="156" t="s">
        <v>276</v>
      </c>
      <c r="J38" s="157" t="s">
        <v>278</v>
      </c>
      <c r="K38" s="158">
        <v>7</v>
      </c>
      <c r="L38" s="158">
        <v>21</v>
      </c>
      <c r="M38" s="158">
        <v>23</v>
      </c>
      <c r="N38" s="158">
        <v>4</v>
      </c>
      <c r="O38" s="35">
        <f t="shared" si="0"/>
        <v>55</v>
      </c>
    </row>
    <row r="39" spans="2:15" ht="63.75" customHeight="1">
      <c r="B39" s="1470"/>
      <c r="C39" s="1474"/>
      <c r="D39" s="151" t="s">
        <v>200</v>
      </c>
      <c r="E39" s="152">
        <f>+F39/295</f>
        <v>0.47457627118644069</v>
      </c>
      <c r="F39" s="153">
        <v>140</v>
      </c>
      <c r="G39" s="154" t="s">
        <v>156</v>
      </c>
      <c r="H39" s="155" t="s">
        <v>275</v>
      </c>
      <c r="I39" s="156" t="s">
        <v>276</v>
      </c>
      <c r="J39" s="157" t="s">
        <v>279</v>
      </c>
      <c r="K39" s="158">
        <v>40</v>
      </c>
      <c r="L39" s="158">
        <v>40</v>
      </c>
      <c r="M39" s="158">
        <v>40</v>
      </c>
      <c r="N39" s="158">
        <v>20</v>
      </c>
      <c r="O39" s="35">
        <f t="shared" si="0"/>
        <v>140</v>
      </c>
    </row>
    <row r="40" spans="2:15" ht="102" customHeight="1">
      <c r="B40" s="1471"/>
      <c r="C40" s="1473"/>
      <c r="D40" s="151" t="s">
        <v>201</v>
      </c>
      <c r="E40" s="152">
        <f>+F40/295</f>
        <v>0.33898305084745761</v>
      </c>
      <c r="F40" s="153">
        <v>100</v>
      </c>
      <c r="G40" s="154" t="s">
        <v>156</v>
      </c>
      <c r="H40" s="155" t="s">
        <v>202</v>
      </c>
      <c r="I40" s="156" t="s">
        <v>276</v>
      </c>
      <c r="J40" s="157" t="s">
        <v>280</v>
      </c>
      <c r="K40" s="158">
        <v>20</v>
      </c>
      <c r="L40" s="158">
        <v>30</v>
      </c>
      <c r="M40" s="158">
        <v>30</v>
      </c>
      <c r="N40" s="158">
        <v>20</v>
      </c>
      <c r="O40" s="35">
        <f t="shared" si="0"/>
        <v>100</v>
      </c>
    </row>
    <row r="41" spans="2:15" ht="93.75" customHeight="1">
      <c r="B41" s="1466" t="s">
        <v>138</v>
      </c>
      <c r="C41" s="1475" t="s">
        <v>313</v>
      </c>
      <c r="D41" s="31" t="s">
        <v>314</v>
      </c>
      <c r="E41" s="52">
        <v>0.8</v>
      </c>
      <c r="F41" s="139">
        <v>4500</v>
      </c>
      <c r="G41" s="139">
        <v>6287</v>
      </c>
      <c r="H41" s="31" t="s">
        <v>320</v>
      </c>
      <c r="I41" s="142" t="s">
        <v>326</v>
      </c>
      <c r="J41" s="159" t="s">
        <v>327</v>
      </c>
      <c r="K41" s="160">
        <v>900</v>
      </c>
      <c r="L41" s="160">
        <v>1200</v>
      </c>
      <c r="M41" s="160">
        <v>1200</v>
      </c>
      <c r="N41" s="160">
        <v>1200</v>
      </c>
      <c r="O41" s="58">
        <f t="shared" si="0"/>
        <v>4500</v>
      </c>
    </row>
    <row r="42" spans="2:15" ht="67.5" customHeight="1">
      <c r="B42" s="1467"/>
      <c r="C42" s="1476"/>
      <c r="D42" s="31" t="s">
        <v>315</v>
      </c>
      <c r="E42" s="52">
        <v>0.2</v>
      </c>
      <c r="F42" s="161">
        <v>1</v>
      </c>
      <c r="G42" s="161">
        <v>0.98</v>
      </c>
      <c r="H42" s="31" t="s">
        <v>321</v>
      </c>
      <c r="I42" s="142" t="s">
        <v>326</v>
      </c>
      <c r="J42" s="159" t="s">
        <v>327</v>
      </c>
      <c r="K42" s="162">
        <v>1</v>
      </c>
      <c r="L42" s="162">
        <v>1</v>
      </c>
      <c r="M42" s="162">
        <v>1</v>
      </c>
      <c r="N42" s="162">
        <v>1</v>
      </c>
      <c r="O42" s="60">
        <f>AVERAGE(K42:N42)</f>
        <v>1</v>
      </c>
    </row>
    <row r="43" spans="2:15" ht="95.25" customHeight="1">
      <c r="B43" s="1467"/>
      <c r="C43" s="1475" t="s">
        <v>139</v>
      </c>
      <c r="D43" s="31" t="s">
        <v>328</v>
      </c>
      <c r="E43" s="52">
        <v>0.5</v>
      </c>
      <c r="F43" s="68">
        <v>204</v>
      </c>
      <c r="G43" s="68">
        <v>204</v>
      </c>
      <c r="H43" s="31" t="s">
        <v>338</v>
      </c>
      <c r="I43" s="142" t="s">
        <v>326</v>
      </c>
      <c r="J43" s="159" t="s">
        <v>327</v>
      </c>
      <c r="K43" s="163">
        <v>51</v>
      </c>
      <c r="L43" s="163">
        <v>51</v>
      </c>
      <c r="M43" s="163">
        <v>51</v>
      </c>
      <c r="N43" s="163">
        <v>51</v>
      </c>
      <c r="O43" s="58">
        <f t="shared" si="0"/>
        <v>204</v>
      </c>
    </row>
    <row r="44" spans="2:15" ht="95.25" customHeight="1">
      <c r="B44" s="1467"/>
      <c r="C44" s="1476"/>
      <c r="D44" s="31" t="s">
        <v>316</v>
      </c>
      <c r="E44" s="52">
        <v>0.5</v>
      </c>
      <c r="F44" s="161">
        <v>1</v>
      </c>
      <c r="G44" s="161">
        <v>1</v>
      </c>
      <c r="H44" s="31" t="s">
        <v>322</v>
      </c>
      <c r="I44" s="142" t="s">
        <v>326</v>
      </c>
      <c r="J44" s="159" t="s">
        <v>327</v>
      </c>
      <c r="K44" s="162">
        <v>1</v>
      </c>
      <c r="L44" s="162">
        <v>1</v>
      </c>
      <c r="M44" s="162">
        <v>1</v>
      </c>
      <c r="N44" s="162">
        <v>1</v>
      </c>
      <c r="O44" s="60">
        <f>AVERAGE(K44:N44)</f>
        <v>1</v>
      </c>
    </row>
    <row r="45" spans="2:15" ht="126.75" customHeight="1">
      <c r="B45" s="1467"/>
      <c r="C45" s="164" t="s">
        <v>140</v>
      </c>
      <c r="D45" s="31" t="s">
        <v>317</v>
      </c>
      <c r="E45" s="52">
        <v>1</v>
      </c>
      <c r="F45" s="68">
        <v>8</v>
      </c>
      <c r="G45" s="68">
        <v>8</v>
      </c>
      <c r="H45" s="31" t="s">
        <v>323</v>
      </c>
      <c r="I45" s="142" t="s">
        <v>326</v>
      </c>
      <c r="J45" s="159" t="s">
        <v>327</v>
      </c>
      <c r="K45" s="163">
        <v>2</v>
      </c>
      <c r="L45" s="163">
        <v>2</v>
      </c>
      <c r="M45" s="163">
        <v>2</v>
      </c>
      <c r="N45" s="163">
        <v>2</v>
      </c>
      <c r="O45" s="58">
        <f t="shared" si="0"/>
        <v>8</v>
      </c>
    </row>
    <row r="46" spans="2:15" ht="61.5" customHeight="1">
      <c r="B46" s="1467"/>
      <c r="C46" s="1475" t="s">
        <v>312</v>
      </c>
      <c r="D46" s="31" t="s">
        <v>318</v>
      </c>
      <c r="E46" s="52">
        <v>0.2</v>
      </c>
      <c r="F46" s="68">
        <v>1</v>
      </c>
      <c r="G46" s="326" t="s">
        <v>156</v>
      </c>
      <c r="H46" s="31" t="s">
        <v>339</v>
      </c>
      <c r="I46" s="142" t="s">
        <v>326</v>
      </c>
      <c r="J46" s="159" t="s">
        <v>327</v>
      </c>
      <c r="K46" s="163">
        <v>0.5</v>
      </c>
      <c r="L46" s="163">
        <v>0.5</v>
      </c>
      <c r="M46" s="163">
        <v>0</v>
      </c>
      <c r="N46" s="163">
        <v>0</v>
      </c>
      <c r="O46" s="58">
        <f t="shared" si="0"/>
        <v>1</v>
      </c>
    </row>
    <row r="47" spans="2:15" ht="61.5" customHeight="1">
      <c r="B47" s="1467"/>
      <c r="C47" s="1477"/>
      <c r="D47" s="31" t="s">
        <v>708</v>
      </c>
      <c r="E47" s="52">
        <v>0.7</v>
      </c>
      <c r="F47" s="68">
        <v>1</v>
      </c>
      <c r="G47" s="326" t="s">
        <v>156</v>
      </c>
      <c r="H47" s="31" t="s">
        <v>324</v>
      </c>
      <c r="I47" s="142" t="s">
        <v>326</v>
      </c>
      <c r="J47" s="159" t="s">
        <v>327</v>
      </c>
      <c r="K47" s="163">
        <v>0.2</v>
      </c>
      <c r="L47" s="163">
        <v>0.4</v>
      </c>
      <c r="M47" s="163">
        <v>0.3</v>
      </c>
      <c r="N47" s="163">
        <v>0.1</v>
      </c>
      <c r="O47" s="58">
        <f t="shared" si="0"/>
        <v>1.0000000000000002</v>
      </c>
    </row>
    <row r="48" spans="2:15" ht="61.5" customHeight="1">
      <c r="B48" s="1468"/>
      <c r="C48" s="1476"/>
      <c r="D48" s="31" t="s">
        <v>319</v>
      </c>
      <c r="E48" s="52">
        <v>0.1</v>
      </c>
      <c r="F48" s="68">
        <v>1</v>
      </c>
      <c r="G48" s="326" t="s">
        <v>156</v>
      </c>
      <c r="H48" s="31" t="s">
        <v>325</v>
      </c>
      <c r="I48" s="142" t="s">
        <v>326</v>
      </c>
      <c r="J48" s="159" t="s">
        <v>327</v>
      </c>
      <c r="K48" s="163">
        <v>0.1</v>
      </c>
      <c r="L48" s="163">
        <v>0.3</v>
      </c>
      <c r="M48" s="163">
        <v>0.4</v>
      </c>
      <c r="N48" s="163">
        <v>0.2</v>
      </c>
      <c r="O48" s="58">
        <f t="shared" si="0"/>
        <v>1</v>
      </c>
    </row>
    <row r="49" spans="2:15" ht="75" customHeight="1">
      <c r="B49" s="1470" t="s">
        <v>141</v>
      </c>
      <c r="C49" s="1472" t="s">
        <v>142</v>
      </c>
      <c r="D49" s="151" t="s">
        <v>703</v>
      </c>
      <c r="E49" s="165">
        <v>0.14000000000000001</v>
      </c>
      <c r="F49" s="166">
        <v>1</v>
      </c>
      <c r="G49" s="154" t="s">
        <v>156</v>
      </c>
      <c r="H49" s="167" t="s">
        <v>677</v>
      </c>
      <c r="I49" s="151" t="s">
        <v>361</v>
      </c>
      <c r="J49" s="168" t="s">
        <v>362</v>
      </c>
      <c r="K49" s="169">
        <v>0.3</v>
      </c>
      <c r="L49" s="169">
        <v>0.4</v>
      </c>
      <c r="M49" s="169">
        <v>0.25</v>
      </c>
      <c r="N49" s="169">
        <v>0.05</v>
      </c>
      <c r="O49" s="63">
        <v>1</v>
      </c>
    </row>
    <row r="50" spans="2:15" ht="80.25" customHeight="1">
      <c r="B50" s="1470"/>
      <c r="C50" s="1474"/>
      <c r="D50" s="151" t="s">
        <v>367</v>
      </c>
      <c r="E50" s="165">
        <v>0.14000000000000001</v>
      </c>
      <c r="F50" s="166">
        <v>1</v>
      </c>
      <c r="G50" s="154" t="s">
        <v>156</v>
      </c>
      <c r="H50" s="167" t="s">
        <v>366</v>
      </c>
      <c r="I50" s="151" t="s">
        <v>361</v>
      </c>
      <c r="J50" s="168" t="s">
        <v>362</v>
      </c>
      <c r="K50" s="169">
        <v>0.3</v>
      </c>
      <c r="L50" s="169">
        <v>0.4</v>
      </c>
      <c r="M50" s="169">
        <v>0.25</v>
      </c>
      <c r="N50" s="169">
        <v>0.05</v>
      </c>
      <c r="O50" s="63">
        <v>1</v>
      </c>
    </row>
    <row r="51" spans="2:15" ht="111" customHeight="1">
      <c r="B51" s="1470"/>
      <c r="C51" s="1474"/>
      <c r="D51" s="151" t="s">
        <v>706</v>
      </c>
      <c r="E51" s="165">
        <v>0.14000000000000001</v>
      </c>
      <c r="F51" s="166">
        <v>1</v>
      </c>
      <c r="G51" s="154" t="s">
        <v>156</v>
      </c>
      <c r="H51" s="167" t="s">
        <v>363</v>
      </c>
      <c r="I51" s="151" t="s">
        <v>361</v>
      </c>
      <c r="J51" s="168" t="s">
        <v>362</v>
      </c>
      <c r="K51" s="169">
        <v>0.3</v>
      </c>
      <c r="L51" s="169">
        <v>0.4</v>
      </c>
      <c r="M51" s="169">
        <v>0.25</v>
      </c>
      <c r="N51" s="169">
        <v>0.05</v>
      </c>
      <c r="O51" s="63">
        <v>1</v>
      </c>
    </row>
    <row r="52" spans="2:15" ht="82.5" customHeight="1">
      <c r="B52" s="1470"/>
      <c r="C52" s="1474"/>
      <c r="D52" s="151" t="s">
        <v>704</v>
      </c>
      <c r="E52" s="165">
        <v>0.14000000000000001</v>
      </c>
      <c r="F52" s="166">
        <v>1</v>
      </c>
      <c r="G52" s="154" t="s">
        <v>156</v>
      </c>
      <c r="H52" s="167" t="s">
        <v>678</v>
      </c>
      <c r="I52" s="151" t="s">
        <v>361</v>
      </c>
      <c r="J52" s="168" t="s">
        <v>362</v>
      </c>
      <c r="K52" s="169">
        <v>0.3</v>
      </c>
      <c r="L52" s="169">
        <v>0.4</v>
      </c>
      <c r="M52" s="169">
        <v>0.25</v>
      </c>
      <c r="N52" s="169">
        <v>0.05</v>
      </c>
      <c r="O52" s="63">
        <v>1</v>
      </c>
    </row>
    <row r="53" spans="2:15" ht="94.5" customHeight="1">
      <c r="B53" s="1470"/>
      <c r="C53" s="1474"/>
      <c r="D53" s="151" t="s">
        <v>391</v>
      </c>
      <c r="E53" s="165">
        <v>0.14000000000000001</v>
      </c>
      <c r="F53" s="166">
        <v>1</v>
      </c>
      <c r="G53" s="154" t="s">
        <v>156</v>
      </c>
      <c r="H53" s="167" t="s">
        <v>364</v>
      </c>
      <c r="I53" s="151" t="s">
        <v>361</v>
      </c>
      <c r="J53" s="168" t="s">
        <v>362</v>
      </c>
      <c r="K53" s="169">
        <v>0.3</v>
      </c>
      <c r="L53" s="169">
        <v>0.4</v>
      </c>
      <c r="M53" s="169">
        <v>0.25</v>
      </c>
      <c r="N53" s="169">
        <v>0.05</v>
      </c>
      <c r="O53" s="63">
        <v>1</v>
      </c>
    </row>
    <row r="54" spans="2:15" ht="71.25" customHeight="1">
      <c r="B54" s="1470"/>
      <c r="C54" s="1474"/>
      <c r="D54" s="151" t="s">
        <v>358</v>
      </c>
      <c r="E54" s="165">
        <v>0.15</v>
      </c>
      <c r="F54" s="166">
        <v>1</v>
      </c>
      <c r="G54" s="154" t="s">
        <v>156</v>
      </c>
      <c r="H54" s="167" t="s">
        <v>365</v>
      </c>
      <c r="I54" s="151" t="s">
        <v>361</v>
      </c>
      <c r="J54" s="168" t="s">
        <v>362</v>
      </c>
      <c r="K54" s="169">
        <v>0.3</v>
      </c>
      <c r="L54" s="169">
        <v>0.4</v>
      </c>
      <c r="M54" s="169">
        <v>0.25</v>
      </c>
      <c r="N54" s="169">
        <v>0.05</v>
      </c>
      <c r="O54" s="63">
        <v>1</v>
      </c>
    </row>
    <row r="55" spans="2:15" ht="87.75" customHeight="1">
      <c r="B55" s="1470"/>
      <c r="C55" s="1473"/>
      <c r="D55" s="151" t="s">
        <v>359</v>
      </c>
      <c r="E55" s="165">
        <v>0.15</v>
      </c>
      <c r="F55" s="166">
        <v>1</v>
      </c>
      <c r="G55" s="170" t="s">
        <v>360</v>
      </c>
      <c r="H55" s="167" t="s">
        <v>387</v>
      </c>
      <c r="I55" s="151" t="s">
        <v>361</v>
      </c>
      <c r="J55" s="168" t="s">
        <v>362</v>
      </c>
      <c r="K55" s="169">
        <v>0.3</v>
      </c>
      <c r="L55" s="169">
        <v>0.4</v>
      </c>
      <c r="M55" s="169">
        <v>0.25</v>
      </c>
      <c r="N55" s="169">
        <v>0.05</v>
      </c>
      <c r="O55" s="63">
        <v>1</v>
      </c>
    </row>
    <row r="56" spans="2:15" ht="105" customHeight="1">
      <c r="B56" s="1470"/>
      <c r="C56" s="1481" t="s">
        <v>143</v>
      </c>
      <c r="D56" s="31" t="s">
        <v>159</v>
      </c>
      <c r="E56" s="32">
        <v>0.2</v>
      </c>
      <c r="F56" s="161">
        <v>1</v>
      </c>
      <c r="G56" s="33">
        <v>1</v>
      </c>
      <c r="H56" s="171" t="s">
        <v>153</v>
      </c>
      <c r="I56" s="142" t="s">
        <v>395</v>
      </c>
      <c r="J56" s="143" t="s">
        <v>700</v>
      </c>
      <c r="K56" s="172">
        <v>1</v>
      </c>
      <c r="L56" s="172">
        <v>1</v>
      </c>
      <c r="M56" s="172">
        <v>1</v>
      </c>
      <c r="N56" s="172">
        <v>1</v>
      </c>
      <c r="O56" s="36">
        <f>AVERAGE(K56:N56)</f>
        <v>1</v>
      </c>
    </row>
    <row r="57" spans="2:15" ht="96" customHeight="1">
      <c r="B57" s="1470"/>
      <c r="C57" s="1483"/>
      <c r="D57" s="31" t="s">
        <v>160</v>
      </c>
      <c r="E57" s="32">
        <v>0.2</v>
      </c>
      <c r="F57" s="161">
        <v>0.4</v>
      </c>
      <c r="G57" s="33">
        <v>0.6</v>
      </c>
      <c r="H57" s="171" t="s">
        <v>154</v>
      </c>
      <c r="I57" s="142" t="s">
        <v>395</v>
      </c>
      <c r="J57" s="143" t="s">
        <v>700</v>
      </c>
      <c r="K57" s="172">
        <v>0.22</v>
      </c>
      <c r="L57" s="172">
        <v>0.14000000000000001</v>
      </c>
      <c r="M57" s="172">
        <v>0.02</v>
      </c>
      <c r="N57" s="172">
        <v>0.02</v>
      </c>
      <c r="O57" s="36">
        <f>K57+L57+M57+N57</f>
        <v>0.4</v>
      </c>
    </row>
    <row r="58" spans="2:15" ht="74.25" customHeight="1">
      <c r="B58" s="1470"/>
      <c r="C58" s="1483"/>
      <c r="D58" s="31" t="s">
        <v>161</v>
      </c>
      <c r="E58" s="32">
        <v>0.15</v>
      </c>
      <c r="F58" s="161">
        <v>1</v>
      </c>
      <c r="G58" s="173" t="s">
        <v>156</v>
      </c>
      <c r="H58" s="171" t="s">
        <v>155</v>
      </c>
      <c r="I58" s="142" t="s">
        <v>395</v>
      </c>
      <c r="J58" s="143" t="s">
        <v>158</v>
      </c>
      <c r="K58" s="172">
        <v>0.38</v>
      </c>
      <c r="L58" s="172">
        <v>0.33</v>
      </c>
      <c r="M58" s="172">
        <v>0.28999999999999998</v>
      </c>
      <c r="N58" s="172">
        <v>0</v>
      </c>
      <c r="O58" s="36">
        <f>K58+L58+M58+N58</f>
        <v>1</v>
      </c>
    </row>
    <row r="59" spans="2:15" ht="63" customHeight="1">
      <c r="B59" s="1470"/>
      <c r="C59" s="1483"/>
      <c r="D59" s="31" t="s">
        <v>162</v>
      </c>
      <c r="E59" s="32">
        <v>0.1</v>
      </c>
      <c r="F59" s="174">
        <v>12</v>
      </c>
      <c r="G59" s="173" t="s">
        <v>157</v>
      </c>
      <c r="H59" s="171" t="s">
        <v>166</v>
      </c>
      <c r="I59" s="142" t="s">
        <v>395</v>
      </c>
      <c r="J59" s="143" t="s">
        <v>158</v>
      </c>
      <c r="K59" s="175">
        <v>3</v>
      </c>
      <c r="L59" s="175">
        <v>3</v>
      </c>
      <c r="M59" s="175">
        <v>3</v>
      </c>
      <c r="N59" s="175">
        <v>3</v>
      </c>
      <c r="O59" s="64">
        <f>K59+L59+M59+N59</f>
        <v>12</v>
      </c>
    </row>
    <row r="60" spans="2:15" ht="63" customHeight="1">
      <c r="B60" s="1470"/>
      <c r="C60" s="1483"/>
      <c r="D60" s="31" t="s">
        <v>163</v>
      </c>
      <c r="E60" s="32">
        <v>0.2</v>
      </c>
      <c r="F60" s="32">
        <v>0.9</v>
      </c>
      <c r="G60" s="176">
        <v>0.86</v>
      </c>
      <c r="H60" s="177" t="s">
        <v>407</v>
      </c>
      <c r="I60" s="142" t="s">
        <v>396</v>
      </c>
      <c r="J60" s="143" t="s">
        <v>1</v>
      </c>
      <c r="K60" s="172">
        <v>0.9</v>
      </c>
      <c r="L60" s="172">
        <v>0.9</v>
      </c>
      <c r="M60" s="172">
        <v>0.9</v>
      </c>
      <c r="N60" s="172">
        <v>0.9</v>
      </c>
      <c r="O60" s="36">
        <f>AVERAGE(K60:N60)</f>
        <v>0.9</v>
      </c>
    </row>
    <row r="61" spans="2:15" ht="70.5" customHeight="1">
      <c r="B61" s="1470"/>
      <c r="C61" s="1482"/>
      <c r="D61" s="31" t="s">
        <v>164</v>
      </c>
      <c r="E61" s="32">
        <v>0.15</v>
      </c>
      <c r="F61" s="174">
        <v>7</v>
      </c>
      <c r="G61" s="173">
        <v>3</v>
      </c>
      <c r="H61" s="141" t="s">
        <v>408</v>
      </c>
      <c r="I61" s="142" t="s">
        <v>396</v>
      </c>
      <c r="J61" s="143" t="s">
        <v>1</v>
      </c>
      <c r="K61" s="175">
        <v>2</v>
      </c>
      <c r="L61" s="175">
        <v>3</v>
      </c>
      <c r="M61" s="175">
        <v>1</v>
      </c>
      <c r="N61" s="175">
        <v>1</v>
      </c>
      <c r="O61" s="64">
        <v>7</v>
      </c>
    </row>
    <row r="62" spans="2:15" ht="60" customHeight="1">
      <c r="B62" s="1470"/>
      <c r="C62" s="1472" t="s">
        <v>144</v>
      </c>
      <c r="D62" s="151" t="s">
        <v>438</v>
      </c>
      <c r="E62" s="152">
        <v>0.1</v>
      </c>
      <c r="F62" s="166">
        <v>1</v>
      </c>
      <c r="G62" s="178">
        <v>1</v>
      </c>
      <c r="H62" s="179" t="s">
        <v>425</v>
      </c>
      <c r="I62" s="180" t="s">
        <v>426</v>
      </c>
      <c r="J62" s="181" t="s">
        <v>427</v>
      </c>
      <c r="K62" s="182">
        <v>1</v>
      </c>
      <c r="L62" s="182">
        <v>1</v>
      </c>
      <c r="M62" s="182">
        <v>1</v>
      </c>
      <c r="N62" s="182">
        <v>1</v>
      </c>
      <c r="O62" s="86">
        <f>AVERAGE(K62:N62)</f>
        <v>1</v>
      </c>
    </row>
    <row r="63" spans="2:15" ht="88.5" customHeight="1">
      <c r="B63" s="1470"/>
      <c r="C63" s="1474"/>
      <c r="D63" s="151" t="s">
        <v>439</v>
      </c>
      <c r="E63" s="152">
        <v>0.1</v>
      </c>
      <c r="F63" s="166">
        <v>0.97</v>
      </c>
      <c r="G63" s="178">
        <v>0.97</v>
      </c>
      <c r="H63" s="151" t="s">
        <v>428</v>
      </c>
      <c r="I63" s="180" t="s">
        <v>426</v>
      </c>
      <c r="J63" s="181" t="s">
        <v>429</v>
      </c>
      <c r="K63" s="182">
        <v>0.97</v>
      </c>
      <c r="L63" s="182">
        <v>0.97</v>
      </c>
      <c r="M63" s="182">
        <v>0.97</v>
      </c>
      <c r="N63" s="182">
        <v>0.97</v>
      </c>
      <c r="O63" s="86">
        <f t="shared" ref="O63:O68" si="1">AVERAGE(K63:N63)</f>
        <v>0.97</v>
      </c>
    </row>
    <row r="64" spans="2:15" ht="99.75" customHeight="1">
      <c r="B64" s="1470"/>
      <c r="C64" s="1474"/>
      <c r="D64" s="151" t="s">
        <v>440</v>
      </c>
      <c r="E64" s="152">
        <v>0.1</v>
      </c>
      <c r="F64" s="166">
        <v>0.9</v>
      </c>
      <c r="G64" s="154" t="s">
        <v>156</v>
      </c>
      <c r="H64" s="155" t="s">
        <v>430</v>
      </c>
      <c r="I64" s="180" t="s">
        <v>426</v>
      </c>
      <c r="J64" s="181" t="s">
        <v>429</v>
      </c>
      <c r="K64" s="182">
        <v>0.9</v>
      </c>
      <c r="L64" s="182">
        <v>0.9</v>
      </c>
      <c r="M64" s="182">
        <v>0.9</v>
      </c>
      <c r="N64" s="182">
        <v>0.9</v>
      </c>
      <c r="O64" s="86">
        <f t="shared" si="1"/>
        <v>0.9</v>
      </c>
    </row>
    <row r="65" spans="2:15" ht="75">
      <c r="B65" s="1470"/>
      <c r="C65" s="1474"/>
      <c r="D65" s="151" t="s">
        <v>441</v>
      </c>
      <c r="E65" s="152">
        <v>0.15</v>
      </c>
      <c r="F65" s="183">
        <v>1</v>
      </c>
      <c r="G65" s="183">
        <v>1</v>
      </c>
      <c r="H65" s="184" t="s">
        <v>431</v>
      </c>
      <c r="I65" s="180" t="s">
        <v>426</v>
      </c>
      <c r="J65" s="181" t="s">
        <v>432</v>
      </c>
      <c r="K65" s="182">
        <v>1</v>
      </c>
      <c r="L65" s="182">
        <v>1</v>
      </c>
      <c r="M65" s="182">
        <v>1</v>
      </c>
      <c r="N65" s="182">
        <v>1</v>
      </c>
      <c r="O65" s="86">
        <f t="shared" si="1"/>
        <v>1</v>
      </c>
    </row>
    <row r="66" spans="2:15" ht="75">
      <c r="B66" s="1470"/>
      <c r="C66" s="1474"/>
      <c r="D66" s="151" t="s">
        <v>442</v>
      </c>
      <c r="E66" s="152">
        <v>0.15</v>
      </c>
      <c r="F66" s="183">
        <v>1</v>
      </c>
      <c r="G66" s="183">
        <v>1</v>
      </c>
      <c r="H66" s="184" t="s">
        <v>433</v>
      </c>
      <c r="I66" s="180" t="s">
        <v>426</v>
      </c>
      <c r="J66" s="181" t="s">
        <v>432</v>
      </c>
      <c r="K66" s="182">
        <v>1</v>
      </c>
      <c r="L66" s="182">
        <v>1</v>
      </c>
      <c r="M66" s="182">
        <v>1</v>
      </c>
      <c r="N66" s="182">
        <v>1</v>
      </c>
      <c r="O66" s="86">
        <f t="shared" si="1"/>
        <v>1</v>
      </c>
    </row>
    <row r="67" spans="2:15" ht="75">
      <c r="B67" s="1470"/>
      <c r="C67" s="1474"/>
      <c r="D67" s="151" t="s">
        <v>443</v>
      </c>
      <c r="E67" s="152">
        <v>0.15</v>
      </c>
      <c r="F67" s="183">
        <v>1</v>
      </c>
      <c r="G67" s="183">
        <v>1</v>
      </c>
      <c r="H67" s="184" t="s">
        <v>434</v>
      </c>
      <c r="I67" s="180" t="s">
        <v>426</v>
      </c>
      <c r="J67" s="181" t="s">
        <v>432</v>
      </c>
      <c r="K67" s="182">
        <v>1</v>
      </c>
      <c r="L67" s="182">
        <v>1</v>
      </c>
      <c r="M67" s="182">
        <v>1</v>
      </c>
      <c r="N67" s="182">
        <v>1</v>
      </c>
      <c r="O67" s="86">
        <f t="shared" si="1"/>
        <v>1</v>
      </c>
    </row>
    <row r="68" spans="2:15" ht="75">
      <c r="B68" s="1470"/>
      <c r="C68" s="1474"/>
      <c r="D68" s="151" t="s">
        <v>444</v>
      </c>
      <c r="E68" s="152">
        <v>0.15</v>
      </c>
      <c r="F68" s="183">
        <v>1</v>
      </c>
      <c r="G68" s="183">
        <v>0.99</v>
      </c>
      <c r="H68" s="184" t="s">
        <v>435</v>
      </c>
      <c r="I68" s="180" t="s">
        <v>426</v>
      </c>
      <c r="J68" s="181" t="s">
        <v>432</v>
      </c>
      <c r="K68" s="182">
        <v>1</v>
      </c>
      <c r="L68" s="182">
        <v>1</v>
      </c>
      <c r="M68" s="182">
        <v>1</v>
      </c>
      <c r="N68" s="182">
        <v>1</v>
      </c>
      <c r="O68" s="86">
        <f t="shared" si="1"/>
        <v>1</v>
      </c>
    </row>
    <row r="69" spans="2:15" ht="84.75" customHeight="1">
      <c r="B69" s="1470"/>
      <c r="C69" s="1473"/>
      <c r="D69" s="151" t="s">
        <v>445</v>
      </c>
      <c r="E69" s="152">
        <v>0.1</v>
      </c>
      <c r="F69" s="185">
        <v>36</v>
      </c>
      <c r="G69" s="186" t="s">
        <v>156</v>
      </c>
      <c r="H69" s="179" t="s">
        <v>436</v>
      </c>
      <c r="I69" s="180" t="s">
        <v>426</v>
      </c>
      <c r="J69" s="181" t="s">
        <v>437</v>
      </c>
      <c r="K69" s="187">
        <v>9</v>
      </c>
      <c r="L69" s="187">
        <v>9</v>
      </c>
      <c r="M69" s="187">
        <v>9</v>
      </c>
      <c r="N69" s="187">
        <v>9</v>
      </c>
      <c r="O69" s="85">
        <f t="shared" ref="O69" si="2">K69+L69+M69+N69</f>
        <v>36</v>
      </c>
    </row>
    <row r="70" spans="2:15" ht="76.5" customHeight="1">
      <c r="B70" s="1470"/>
      <c r="C70" s="1486" t="s">
        <v>145</v>
      </c>
      <c r="D70" s="31" t="s">
        <v>508</v>
      </c>
      <c r="E70" s="147">
        <v>0.1</v>
      </c>
      <c r="F70" s="161">
        <v>1</v>
      </c>
      <c r="G70" s="188">
        <v>0.99199999999999999</v>
      </c>
      <c r="H70" s="325" t="s">
        <v>478</v>
      </c>
      <c r="I70" s="142" t="s">
        <v>480</v>
      </c>
      <c r="J70" s="143" t="s">
        <v>481</v>
      </c>
      <c r="K70" s="172">
        <v>1</v>
      </c>
      <c r="L70" s="172">
        <v>1</v>
      </c>
      <c r="M70" s="172">
        <v>1</v>
      </c>
      <c r="N70" s="172">
        <v>1</v>
      </c>
      <c r="O70" s="36">
        <f>AVERAGE(K70:N70)</f>
        <v>1</v>
      </c>
    </row>
    <row r="71" spans="2:15" ht="62.25" customHeight="1">
      <c r="B71" s="1470"/>
      <c r="C71" s="1239"/>
      <c r="D71" s="31" t="s">
        <v>679</v>
      </c>
      <c r="E71" s="147">
        <v>0.1</v>
      </c>
      <c r="F71" s="161">
        <v>0.97</v>
      </c>
      <c r="G71" s="188">
        <v>0.96599999999999997</v>
      </c>
      <c r="H71" s="325" t="s">
        <v>479</v>
      </c>
      <c r="I71" s="142" t="s">
        <v>480</v>
      </c>
      <c r="J71" s="143" t="s">
        <v>481</v>
      </c>
      <c r="K71" s="172">
        <v>0.97</v>
      </c>
      <c r="L71" s="172">
        <v>0.97</v>
      </c>
      <c r="M71" s="172">
        <v>0.97</v>
      </c>
      <c r="N71" s="172">
        <v>0.97</v>
      </c>
      <c r="O71" s="36">
        <f>AVERAGE(K71:N71)</f>
        <v>0.97</v>
      </c>
    </row>
    <row r="72" spans="2:15" ht="64.5" customHeight="1">
      <c r="B72" s="1470"/>
      <c r="C72" s="1239"/>
      <c r="D72" s="31" t="s">
        <v>509</v>
      </c>
      <c r="E72" s="161">
        <v>7.0000000000000007E-2</v>
      </c>
      <c r="F72" s="161">
        <v>0.95</v>
      </c>
      <c r="G72" s="326" t="s">
        <v>156</v>
      </c>
      <c r="H72" s="325" t="s">
        <v>503</v>
      </c>
      <c r="I72" s="142" t="s">
        <v>507</v>
      </c>
      <c r="J72" s="143" t="s">
        <v>506</v>
      </c>
      <c r="K72" s="172">
        <v>0.95</v>
      </c>
      <c r="L72" s="172">
        <v>0.95</v>
      </c>
      <c r="M72" s="172">
        <v>0.95</v>
      </c>
      <c r="N72" s="172">
        <v>0.95</v>
      </c>
      <c r="O72" s="36">
        <f>AVERAGE(K72:N72)</f>
        <v>0.95</v>
      </c>
    </row>
    <row r="73" spans="2:15" ht="64.5" customHeight="1">
      <c r="B73" s="1470"/>
      <c r="C73" s="1239"/>
      <c r="D73" s="31" t="s">
        <v>510</v>
      </c>
      <c r="E73" s="161">
        <v>7.0000000000000007E-2</v>
      </c>
      <c r="F73" s="161">
        <v>0.95</v>
      </c>
      <c r="G73" s="326" t="s">
        <v>156</v>
      </c>
      <c r="H73" s="325" t="s">
        <v>504</v>
      </c>
      <c r="I73" s="142" t="s">
        <v>507</v>
      </c>
      <c r="J73" s="143" t="s">
        <v>506</v>
      </c>
      <c r="K73" s="172">
        <v>0.95</v>
      </c>
      <c r="L73" s="172">
        <v>0.95</v>
      </c>
      <c r="M73" s="172">
        <v>0.95</v>
      </c>
      <c r="N73" s="172">
        <v>0.95</v>
      </c>
      <c r="O73" s="36">
        <f t="shared" ref="O73:O74" si="3">AVERAGE(K73:N73)</f>
        <v>0.95</v>
      </c>
    </row>
    <row r="74" spans="2:15" ht="64.5" customHeight="1">
      <c r="B74" s="1470"/>
      <c r="C74" s="1239"/>
      <c r="D74" s="31" t="s">
        <v>511</v>
      </c>
      <c r="E74" s="161">
        <v>0.06</v>
      </c>
      <c r="F74" s="161">
        <v>1</v>
      </c>
      <c r="G74" s="326" t="s">
        <v>156</v>
      </c>
      <c r="H74" s="325" t="s">
        <v>505</v>
      </c>
      <c r="I74" s="142" t="s">
        <v>507</v>
      </c>
      <c r="J74" s="143" t="s">
        <v>506</v>
      </c>
      <c r="K74" s="172">
        <v>1</v>
      </c>
      <c r="L74" s="172">
        <v>1</v>
      </c>
      <c r="M74" s="172">
        <v>1</v>
      </c>
      <c r="N74" s="172">
        <v>1</v>
      </c>
      <c r="O74" s="36">
        <f t="shared" si="3"/>
        <v>1</v>
      </c>
    </row>
    <row r="75" spans="2:15" ht="78" customHeight="1">
      <c r="B75" s="1470"/>
      <c r="C75" s="1239"/>
      <c r="D75" s="31" t="s">
        <v>512</v>
      </c>
      <c r="E75" s="52">
        <v>0.1</v>
      </c>
      <c r="F75" s="161">
        <v>0.95</v>
      </c>
      <c r="G75" s="326" t="s">
        <v>156</v>
      </c>
      <c r="H75" s="325" t="s">
        <v>494</v>
      </c>
      <c r="I75" s="142" t="s">
        <v>495</v>
      </c>
      <c r="J75" s="143" t="s">
        <v>496</v>
      </c>
      <c r="K75" s="172">
        <v>0.95</v>
      </c>
      <c r="L75" s="172">
        <v>0.95</v>
      </c>
      <c r="M75" s="172">
        <v>0.95</v>
      </c>
      <c r="N75" s="172">
        <v>0.95</v>
      </c>
      <c r="O75" s="36">
        <f>AVERAGE(K75:N75)</f>
        <v>0.95</v>
      </c>
    </row>
    <row r="76" spans="2:15" ht="96.75" customHeight="1">
      <c r="B76" s="1470"/>
      <c r="C76" s="1239"/>
      <c r="D76" s="31" t="s">
        <v>537</v>
      </c>
      <c r="E76" s="52">
        <v>0.05</v>
      </c>
      <c r="F76" s="161">
        <v>0.95</v>
      </c>
      <c r="G76" s="326" t="s">
        <v>156</v>
      </c>
      <c r="H76" s="325" t="s">
        <v>530</v>
      </c>
      <c r="I76" s="142" t="s">
        <v>531</v>
      </c>
      <c r="J76" s="143" t="s">
        <v>532</v>
      </c>
      <c r="K76" s="172">
        <v>0.95</v>
      </c>
      <c r="L76" s="172">
        <v>0.95</v>
      </c>
      <c r="M76" s="172">
        <v>0.95</v>
      </c>
      <c r="N76" s="172">
        <v>0.95</v>
      </c>
      <c r="O76" s="36">
        <f t="shared" ref="O76:O77" si="4">AVERAGE(K76:N76)</f>
        <v>0.95</v>
      </c>
    </row>
    <row r="77" spans="2:15" ht="76.5" customHeight="1">
      <c r="B77" s="1470"/>
      <c r="C77" s="1239"/>
      <c r="D77" s="31" t="s">
        <v>538</v>
      </c>
      <c r="E77" s="52">
        <v>0.05</v>
      </c>
      <c r="F77" s="161">
        <v>0.8</v>
      </c>
      <c r="G77" s="326">
        <v>264</v>
      </c>
      <c r="H77" s="325" t="s">
        <v>557</v>
      </c>
      <c r="I77" s="142" t="s">
        <v>531</v>
      </c>
      <c r="J77" s="143" t="s">
        <v>533</v>
      </c>
      <c r="K77" s="172">
        <v>0.8</v>
      </c>
      <c r="L77" s="172">
        <v>0.8</v>
      </c>
      <c r="M77" s="172">
        <v>0.8</v>
      </c>
      <c r="N77" s="172">
        <v>0.8</v>
      </c>
      <c r="O77" s="36">
        <f t="shared" si="4"/>
        <v>0.8</v>
      </c>
    </row>
    <row r="78" spans="2:15" ht="120" customHeight="1">
      <c r="B78" s="1470"/>
      <c r="C78" s="1239"/>
      <c r="D78" s="31" t="s">
        <v>539</v>
      </c>
      <c r="E78" s="52">
        <v>0.05</v>
      </c>
      <c r="F78" s="174">
        <v>100</v>
      </c>
      <c r="G78" s="326">
        <v>32</v>
      </c>
      <c r="H78" s="190" t="s">
        <v>684</v>
      </c>
      <c r="I78" s="142" t="s">
        <v>531</v>
      </c>
      <c r="J78" s="143" t="s">
        <v>534</v>
      </c>
      <c r="K78" s="191">
        <v>25</v>
      </c>
      <c r="L78" s="191">
        <v>25</v>
      </c>
      <c r="M78" s="191">
        <v>25</v>
      </c>
      <c r="N78" s="191">
        <v>25</v>
      </c>
      <c r="O78" s="64">
        <f t="shared" ref="O78:O79" si="5">K78+L78+M78+N78</f>
        <v>100</v>
      </c>
    </row>
    <row r="79" spans="2:15" ht="87" customHeight="1">
      <c r="B79" s="1470"/>
      <c r="C79" s="1239"/>
      <c r="D79" s="31" t="s">
        <v>540</v>
      </c>
      <c r="E79" s="52">
        <v>0.05</v>
      </c>
      <c r="F79" s="174">
        <v>100</v>
      </c>
      <c r="G79" s="326">
        <v>26</v>
      </c>
      <c r="H79" s="190" t="s">
        <v>685</v>
      </c>
      <c r="I79" s="142" t="s">
        <v>535</v>
      </c>
      <c r="J79" s="143" t="s">
        <v>536</v>
      </c>
      <c r="K79" s="191">
        <v>25</v>
      </c>
      <c r="L79" s="191">
        <v>25</v>
      </c>
      <c r="M79" s="191">
        <v>25</v>
      </c>
      <c r="N79" s="191">
        <v>25</v>
      </c>
      <c r="O79" s="64">
        <f t="shared" si="5"/>
        <v>100</v>
      </c>
    </row>
    <row r="80" spans="2:15" ht="63" customHeight="1">
      <c r="B80" s="1470"/>
      <c r="C80" s="1239"/>
      <c r="D80" s="31" t="s">
        <v>563</v>
      </c>
      <c r="E80" s="52">
        <v>0.05</v>
      </c>
      <c r="F80" s="161">
        <v>1</v>
      </c>
      <c r="G80" s="33">
        <v>1</v>
      </c>
      <c r="H80" s="325" t="s">
        <v>559</v>
      </c>
      <c r="I80" s="142" t="s">
        <v>560</v>
      </c>
      <c r="J80" s="192" t="s">
        <v>3</v>
      </c>
      <c r="K80" s="193">
        <v>1</v>
      </c>
      <c r="L80" s="193">
        <v>1</v>
      </c>
      <c r="M80" s="193">
        <v>1</v>
      </c>
      <c r="N80" s="193">
        <v>1</v>
      </c>
      <c r="O80" s="36">
        <f t="shared" ref="O80:O84" si="6">AVERAGE(K80:N80)</f>
        <v>1</v>
      </c>
    </row>
    <row r="81" spans="2:15" ht="54.75" customHeight="1">
      <c r="B81" s="1470"/>
      <c r="C81" s="1239"/>
      <c r="D81" s="31" t="s">
        <v>564</v>
      </c>
      <c r="E81" s="52">
        <v>0.05</v>
      </c>
      <c r="F81" s="33">
        <v>1</v>
      </c>
      <c r="G81" s="33">
        <v>1</v>
      </c>
      <c r="H81" s="325" t="s">
        <v>561</v>
      </c>
      <c r="I81" s="142" t="s">
        <v>560</v>
      </c>
      <c r="J81" s="192" t="s">
        <v>3</v>
      </c>
      <c r="K81" s="193">
        <v>1</v>
      </c>
      <c r="L81" s="193">
        <v>1</v>
      </c>
      <c r="M81" s="193">
        <v>1</v>
      </c>
      <c r="N81" s="193">
        <v>1</v>
      </c>
      <c r="O81" s="36">
        <f t="shared" si="6"/>
        <v>1</v>
      </c>
    </row>
    <row r="82" spans="2:15" ht="78.75" customHeight="1">
      <c r="B82" s="1470"/>
      <c r="C82" s="1239"/>
      <c r="D82" s="31" t="s">
        <v>565</v>
      </c>
      <c r="E82" s="52">
        <v>0.05</v>
      </c>
      <c r="F82" s="33">
        <v>1</v>
      </c>
      <c r="G82" s="33">
        <v>1</v>
      </c>
      <c r="H82" s="325" t="s">
        <v>562</v>
      </c>
      <c r="I82" s="142" t="s">
        <v>560</v>
      </c>
      <c r="J82" s="192" t="s">
        <v>3</v>
      </c>
      <c r="K82" s="193">
        <v>1</v>
      </c>
      <c r="L82" s="193">
        <v>1</v>
      </c>
      <c r="M82" s="193">
        <v>1</v>
      </c>
      <c r="N82" s="193">
        <v>1</v>
      </c>
      <c r="O82" s="36">
        <f t="shared" si="6"/>
        <v>1</v>
      </c>
    </row>
    <row r="83" spans="2:15" ht="76.5" customHeight="1">
      <c r="B83" s="1470"/>
      <c r="C83" s="1239"/>
      <c r="D83" s="1487" t="s">
        <v>566</v>
      </c>
      <c r="E83" s="1490">
        <v>0.05</v>
      </c>
      <c r="F83" s="33">
        <v>1</v>
      </c>
      <c r="G83" s="33">
        <v>1</v>
      </c>
      <c r="H83" s="325" t="s">
        <v>568</v>
      </c>
      <c r="I83" s="142" t="s">
        <v>560</v>
      </c>
      <c r="J83" s="192" t="s">
        <v>3</v>
      </c>
      <c r="K83" s="193">
        <v>1</v>
      </c>
      <c r="L83" s="193">
        <v>1</v>
      </c>
      <c r="M83" s="193">
        <v>1</v>
      </c>
      <c r="N83" s="193">
        <v>1</v>
      </c>
      <c r="O83" s="36">
        <f t="shared" si="6"/>
        <v>1</v>
      </c>
    </row>
    <row r="84" spans="2:15" ht="76.5" customHeight="1">
      <c r="B84" s="1470"/>
      <c r="C84" s="1239"/>
      <c r="D84" s="1489"/>
      <c r="E84" s="1299"/>
      <c r="F84" s="33">
        <v>1</v>
      </c>
      <c r="G84" s="33">
        <v>1</v>
      </c>
      <c r="H84" s="325" t="s">
        <v>567</v>
      </c>
      <c r="I84" s="142" t="s">
        <v>560</v>
      </c>
      <c r="J84" s="192" t="s">
        <v>3</v>
      </c>
      <c r="K84" s="193">
        <v>1</v>
      </c>
      <c r="L84" s="193">
        <v>1</v>
      </c>
      <c r="M84" s="193">
        <v>1</v>
      </c>
      <c r="N84" s="193">
        <v>1</v>
      </c>
      <c r="O84" s="36">
        <f t="shared" si="6"/>
        <v>1</v>
      </c>
    </row>
    <row r="85" spans="2:15" ht="76.5" customHeight="1">
      <c r="B85" s="1470"/>
      <c r="C85" s="1239"/>
      <c r="D85" s="1513" t="s">
        <v>969</v>
      </c>
      <c r="E85" s="1490">
        <v>0.1</v>
      </c>
      <c r="F85" s="665">
        <v>0.95</v>
      </c>
      <c r="G85" s="665" t="s">
        <v>156</v>
      </c>
      <c r="H85" s="656" t="s">
        <v>970</v>
      </c>
      <c r="I85" s="666" t="s">
        <v>495</v>
      </c>
      <c r="J85" s="667" t="s">
        <v>496</v>
      </c>
      <c r="K85" s="193">
        <v>0.6</v>
      </c>
      <c r="L85" s="193">
        <v>0.8</v>
      </c>
      <c r="M85" s="193">
        <v>0.9</v>
      </c>
      <c r="N85" s="193">
        <v>0.95</v>
      </c>
      <c r="O85" s="668">
        <f>+N85</f>
        <v>0.95</v>
      </c>
    </row>
    <row r="86" spans="2:15" ht="76.5" customHeight="1">
      <c r="B86" s="1470"/>
      <c r="C86" s="1239"/>
      <c r="D86" s="1280"/>
      <c r="E86" s="1286"/>
      <c r="F86" s="665">
        <v>0.95</v>
      </c>
      <c r="G86" s="665" t="s">
        <v>156</v>
      </c>
      <c r="H86" s="656" t="s">
        <v>971</v>
      </c>
      <c r="I86" s="666" t="s">
        <v>495</v>
      </c>
      <c r="J86" s="667" t="s">
        <v>496</v>
      </c>
      <c r="K86" s="193">
        <v>0.6</v>
      </c>
      <c r="L86" s="193">
        <v>0.8</v>
      </c>
      <c r="M86" s="193">
        <v>0.9</v>
      </c>
      <c r="N86" s="193">
        <v>0.95</v>
      </c>
      <c r="O86" s="668">
        <f>+N86</f>
        <v>0.95</v>
      </c>
    </row>
    <row r="87" spans="2:15" ht="76.5" customHeight="1">
      <c r="B87" s="1470"/>
      <c r="C87" s="1272"/>
      <c r="D87" s="1281"/>
      <c r="E87" s="1299"/>
      <c r="F87" s="665">
        <v>0.95</v>
      </c>
      <c r="G87" s="665" t="s">
        <v>156</v>
      </c>
      <c r="H87" s="656" t="s">
        <v>972</v>
      </c>
      <c r="I87" s="666" t="s">
        <v>495</v>
      </c>
      <c r="J87" s="667" t="s">
        <v>496</v>
      </c>
      <c r="K87" s="193">
        <v>0.6</v>
      </c>
      <c r="L87" s="193">
        <v>0.8</v>
      </c>
      <c r="M87" s="193">
        <v>0.9</v>
      </c>
      <c r="N87" s="193">
        <v>0.95</v>
      </c>
      <c r="O87" s="668">
        <f>+N87</f>
        <v>0.95</v>
      </c>
    </row>
    <row r="88" spans="2:15" ht="73.5" customHeight="1">
      <c r="B88" s="1470"/>
      <c r="C88" s="1472" t="s">
        <v>146</v>
      </c>
      <c r="D88" s="151" t="s">
        <v>591</v>
      </c>
      <c r="E88" s="152">
        <v>0.05</v>
      </c>
      <c r="F88" s="194">
        <v>96</v>
      </c>
      <c r="G88" s="154" t="s">
        <v>156</v>
      </c>
      <c r="H88" s="155" t="s">
        <v>587</v>
      </c>
      <c r="I88" s="156" t="s">
        <v>607</v>
      </c>
      <c r="J88" s="156" t="s">
        <v>588</v>
      </c>
      <c r="K88" s="195">
        <v>24</v>
      </c>
      <c r="L88" s="195">
        <v>24</v>
      </c>
      <c r="M88" s="195">
        <v>24</v>
      </c>
      <c r="N88" s="195">
        <v>24</v>
      </c>
      <c r="O88" s="85">
        <f t="shared" ref="O88:O93" si="7">K88+L88+M88+N88</f>
        <v>96</v>
      </c>
    </row>
    <row r="89" spans="2:15" ht="86.25" customHeight="1">
      <c r="B89" s="1470"/>
      <c r="C89" s="1474"/>
      <c r="D89" s="151" t="s">
        <v>707</v>
      </c>
      <c r="E89" s="152">
        <v>0.05</v>
      </c>
      <c r="F89" s="196">
        <v>7</v>
      </c>
      <c r="G89" s="154" t="s">
        <v>156</v>
      </c>
      <c r="H89" s="155" t="s">
        <v>589</v>
      </c>
      <c r="I89" s="156" t="s">
        <v>607</v>
      </c>
      <c r="J89" s="156" t="s">
        <v>588</v>
      </c>
      <c r="K89" s="197">
        <v>2</v>
      </c>
      <c r="L89" s="197">
        <v>2</v>
      </c>
      <c r="M89" s="197">
        <v>2</v>
      </c>
      <c r="N89" s="197">
        <v>2</v>
      </c>
      <c r="O89" s="85">
        <f t="shared" si="7"/>
        <v>8</v>
      </c>
    </row>
    <row r="90" spans="2:15" ht="96.75" customHeight="1">
      <c r="B90" s="1470"/>
      <c r="C90" s="1474"/>
      <c r="D90" s="151" t="s">
        <v>592</v>
      </c>
      <c r="E90" s="152">
        <v>0.2</v>
      </c>
      <c r="F90" s="196">
        <v>400</v>
      </c>
      <c r="G90" s="154" t="s">
        <v>601</v>
      </c>
      <c r="H90" s="155" t="s">
        <v>590</v>
      </c>
      <c r="I90" s="156" t="s">
        <v>607</v>
      </c>
      <c r="J90" s="156" t="s">
        <v>588</v>
      </c>
      <c r="K90" s="197">
        <v>100</v>
      </c>
      <c r="L90" s="197">
        <v>100</v>
      </c>
      <c r="M90" s="197">
        <v>100</v>
      </c>
      <c r="N90" s="197">
        <v>100</v>
      </c>
      <c r="O90" s="85">
        <f t="shared" si="7"/>
        <v>400</v>
      </c>
    </row>
    <row r="91" spans="2:15" ht="69.75" customHeight="1">
      <c r="B91" s="1470"/>
      <c r="C91" s="1474"/>
      <c r="D91" s="151" t="s">
        <v>610</v>
      </c>
      <c r="E91" s="166">
        <v>0.5</v>
      </c>
      <c r="F91" s="154">
        <v>4</v>
      </c>
      <c r="G91" s="154">
        <v>4</v>
      </c>
      <c r="H91" s="155" t="s">
        <v>608</v>
      </c>
      <c r="I91" s="198" t="s">
        <v>609</v>
      </c>
      <c r="J91" s="198" t="s">
        <v>2</v>
      </c>
      <c r="K91" s="154">
        <v>1</v>
      </c>
      <c r="L91" s="154">
        <v>1</v>
      </c>
      <c r="M91" s="154">
        <v>1</v>
      </c>
      <c r="N91" s="154">
        <v>1</v>
      </c>
      <c r="O91" s="85">
        <f t="shared" si="7"/>
        <v>4</v>
      </c>
    </row>
    <row r="92" spans="2:15" ht="56.25" customHeight="1">
      <c r="B92" s="1470"/>
      <c r="C92" s="1474"/>
      <c r="D92" s="151" t="s">
        <v>680</v>
      </c>
      <c r="E92" s="166">
        <v>0.1</v>
      </c>
      <c r="F92" s="196">
        <v>4</v>
      </c>
      <c r="G92" s="154">
        <v>4</v>
      </c>
      <c r="H92" s="155" t="s">
        <v>681</v>
      </c>
      <c r="I92" s="198" t="s">
        <v>609</v>
      </c>
      <c r="J92" s="198" t="s">
        <v>2</v>
      </c>
      <c r="K92" s="154">
        <v>1</v>
      </c>
      <c r="L92" s="154">
        <v>1</v>
      </c>
      <c r="M92" s="154">
        <v>1</v>
      </c>
      <c r="N92" s="154">
        <v>1</v>
      </c>
      <c r="O92" s="85">
        <f t="shared" si="7"/>
        <v>4</v>
      </c>
    </row>
    <row r="93" spans="2:15" ht="61.5" customHeight="1">
      <c r="B93" s="1470"/>
      <c r="C93" s="1473"/>
      <c r="D93" s="151" t="s">
        <v>682</v>
      </c>
      <c r="E93" s="166">
        <v>0.1</v>
      </c>
      <c r="F93" s="196">
        <v>4</v>
      </c>
      <c r="G93" s="154">
        <v>4</v>
      </c>
      <c r="H93" s="155" t="s">
        <v>683</v>
      </c>
      <c r="I93" s="198" t="s">
        <v>609</v>
      </c>
      <c r="J93" s="198" t="s">
        <v>2</v>
      </c>
      <c r="K93" s="154">
        <v>1</v>
      </c>
      <c r="L93" s="154">
        <v>1</v>
      </c>
      <c r="M93" s="154">
        <v>1</v>
      </c>
      <c r="N93" s="154">
        <v>1</v>
      </c>
      <c r="O93" s="85">
        <f t="shared" si="7"/>
        <v>4</v>
      </c>
    </row>
    <row r="94" spans="2:15" ht="60" customHeight="1">
      <c r="B94" s="1470"/>
      <c r="C94" s="1481" t="s">
        <v>147</v>
      </c>
      <c r="D94" s="325" t="s">
        <v>627</v>
      </c>
      <c r="E94" s="323">
        <v>0.5</v>
      </c>
      <c r="F94" s="33">
        <v>1</v>
      </c>
      <c r="G94" s="33">
        <v>1</v>
      </c>
      <c r="H94" s="325" t="s">
        <v>623</v>
      </c>
      <c r="I94" s="189" t="s">
        <v>624</v>
      </c>
      <c r="J94" s="199" t="s">
        <v>625</v>
      </c>
      <c r="K94" s="193">
        <v>1</v>
      </c>
      <c r="L94" s="193">
        <v>1</v>
      </c>
      <c r="M94" s="193">
        <v>1</v>
      </c>
      <c r="N94" s="193">
        <v>1</v>
      </c>
      <c r="O94" s="36">
        <f t="shared" ref="O94:O95" si="8">AVERAGE(K94:N94)</f>
        <v>1</v>
      </c>
    </row>
    <row r="95" spans="2:15" ht="69.75" customHeight="1">
      <c r="B95" s="1470"/>
      <c r="C95" s="1482"/>
      <c r="D95" s="325" t="s">
        <v>628</v>
      </c>
      <c r="E95" s="323">
        <v>0.5</v>
      </c>
      <c r="F95" s="33">
        <v>1</v>
      </c>
      <c r="G95" s="33">
        <v>1</v>
      </c>
      <c r="H95" s="325" t="s">
        <v>626</v>
      </c>
      <c r="I95" s="189" t="s">
        <v>624</v>
      </c>
      <c r="J95" s="199" t="s">
        <v>625</v>
      </c>
      <c r="K95" s="193">
        <v>1</v>
      </c>
      <c r="L95" s="193">
        <v>1</v>
      </c>
      <c r="M95" s="193">
        <v>1</v>
      </c>
      <c r="N95" s="193">
        <v>1</v>
      </c>
      <c r="O95" s="36">
        <f t="shared" si="8"/>
        <v>1</v>
      </c>
    </row>
    <row r="96" spans="2:15" ht="114" customHeight="1">
      <c r="B96" s="1471"/>
      <c r="C96" s="200" t="s">
        <v>148</v>
      </c>
      <c r="D96" s="151" t="s">
        <v>424</v>
      </c>
      <c r="E96" s="152">
        <v>1</v>
      </c>
      <c r="F96" s="194">
        <v>3</v>
      </c>
      <c r="G96" s="154" t="s">
        <v>156</v>
      </c>
      <c r="H96" s="151" t="s">
        <v>418</v>
      </c>
      <c r="I96" s="156" t="s">
        <v>396</v>
      </c>
      <c r="J96" s="201" t="s">
        <v>1</v>
      </c>
      <c r="K96" s="202">
        <v>1</v>
      </c>
      <c r="L96" s="202">
        <v>1</v>
      </c>
      <c r="M96" s="202">
        <v>1</v>
      </c>
      <c r="N96" s="202">
        <v>0</v>
      </c>
      <c r="O96" s="85">
        <f t="shared" ref="O96" si="9">K96+L96+M96+N96</f>
        <v>3</v>
      </c>
    </row>
    <row r="97" spans="2:15" ht="93.75" customHeight="1">
      <c r="B97" s="1466" t="s">
        <v>149</v>
      </c>
      <c r="C97" s="203" t="s">
        <v>150</v>
      </c>
      <c r="D97" s="31" t="s">
        <v>641</v>
      </c>
      <c r="E97" s="52">
        <v>1</v>
      </c>
      <c r="F97" s="68">
        <v>4</v>
      </c>
      <c r="G97" s="326" t="s">
        <v>156</v>
      </c>
      <c r="H97" s="325" t="s">
        <v>637</v>
      </c>
      <c r="I97" s="142" t="s">
        <v>638</v>
      </c>
      <c r="J97" s="192" t="s">
        <v>639</v>
      </c>
      <c r="K97" s="204">
        <v>1</v>
      </c>
      <c r="L97" s="204">
        <v>1</v>
      </c>
      <c r="M97" s="204">
        <v>1</v>
      </c>
      <c r="N97" s="204">
        <v>1</v>
      </c>
      <c r="O97" s="35">
        <f t="shared" ref="O97:O99" si="10">K97+L97+M97+N97</f>
        <v>4</v>
      </c>
    </row>
    <row r="98" spans="2:15" ht="102" customHeight="1">
      <c r="B98" s="1467"/>
      <c r="C98" s="205" t="s">
        <v>151</v>
      </c>
      <c r="D98" s="31" t="s">
        <v>642</v>
      </c>
      <c r="E98" s="52">
        <v>1</v>
      </c>
      <c r="F98" s="68">
        <v>8</v>
      </c>
      <c r="G98" s="326" t="s">
        <v>156</v>
      </c>
      <c r="H98" s="325" t="s">
        <v>640</v>
      </c>
      <c r="I98" s="142" t="s">
        <v>638</v>
      </c>
      <c r="J98" s="192" t="s">
        <v>639</v>
      </c>
      <c r="K98" s="204">
        <v>2</v>
      </c>
      <c r="L98" s="204">
        <v>2</v>
      </c>
      <c r="M98" s="204">
        <v>3</v>
      </c>
      <c r="N98" s="204">
        <v>1</v>
      </c>
      <c r="O98" s="35">
        <f t="shared" si="10"/>
        <v>8</v>
      </c>
    </row>
    <row r="99" spans="2:15" ht="124.5" customHeight="1">
      <c r="B99" s="1468"/>
      <c r="C99" s="206" t="s">
        <v>152</v>
      </c>
      <c r="D99" s="31" t="s">
        <v>643</v>
      </c>
      <c r="E99" s="52">
        <v>1</v>
      </c>
      <c r="F99" s="68">
        <v>10</v>
      </c>
      <c r="G99" s="326" t="s">
        <v>156</v>
      </c>
      <c r="H99" s="325" t="s">
        <v>644</v>
      </c>
      <c r="I99" s="142" t="s">
        <v>638</v>
      </c>
      <c r="J99" s="192" t="s">
        <v>639</v>
      </c>
      <c r="K99" s="204">
        <v>3</v>
      </c>
      <c r="L99" s="204">
        <v>3</v>
      </c>
      <c r="M99" s="204">
        <v>3</v>
      </c>
      <c r="N99" s="204">
        <v>1</v>
      </c>
      <c r="O99" s="35">
        <f t="shared" si="10"/>
        <v>10</v>
      </c>
    </row>
    <row r="100" spans="2:15" ht="17.399999999999999">
      <c r="B100" s="1491"/>
      <c r="C100" s="1492"/>
      <c r="D100" s="1492"/>
      <c r="E100" s="1492"/>
      <c r="F100" s="1492"/>
      <c r="G100" s="1492"/>
      <c r="H100" s="1492"/>
      <c r="I100" s="1492"/>
      <c r="J100" s="1492"/>
      <c r="K100" s="1492"/>
      <c r="L100" s="1492"/>
      <c r="M100" s="1492"/>
      <c r="N100" s="1492"/>
      <c r="O100" s="1492"/>
    </row>
    <row r="101" spans="2:15">
      <c r="B101" s="1512"/>
      <c r="C101" s="1512"/>
      <c r="D101" s="1512"/>
      <c r="E101" s="1512"/>
      <c r="F101" s="1512"/>
      <c r="G101" s="207"/>
      <c r="H101" s="208"/>
      <c r="I101" s="208"/>
      <c r="J101" s="208"/>
    </row>
    <row r="102" spans="2:15" ht="13.5" customHeight="1">
      <c r="B102" s="208"/>
      <c r="C102" s="208"/>
      <c r="D102" s="208"/>
      <c r="E102" s="207"/>
      <c r="F102" s="207"/>
      <c r="G102" s="207"/>
      <c r="H102" s="208"/>
      <c r="I102" s="208"/>
      <c r="J102" s="208"/>
    </row>
    <row r="103" spans="2:15" ht="28.5" customHeight="1">
      <c r="B103" s="77" t="s">
        <v>26</v>
      </c>
      <c r="C103" s="80">
        <v>44224</v>
      </c>
      <c r="D103" s="208"/>
      <c r="E103" s="207"/>
      <c r="F103" s="207"/>
      <c r="G103" s="207"/>
      <c r="H103" s="208"/>
      <c r="I103" s="208"/>
      <c r="J103" s="208"/>
    </row>
    <row r="104" spans="2:15">
      <c r="B104" s="208"/>
      <c r="C104" s="208"/>
      <c r="D104" s="208"/>
      <c r="E104" s="207"/>
      <c r="F104" s="207"/>
      <c r="G104" s="207"/>
      <c r="H104" s="208"/>
      <c r="I104" s="208"/>
      <c r="J104" s="208"/>
    </row>
    <row r="105" spans="2:15" ht="26.25" customHeight="1">
      <c r="B105" s="77" t="s">
        <v>49</v>
      </c>
      <c r="C105" s="80"/>
      <c r="D105" s="208"/>
      <c r="E105" s="207"/>
      <c r="F105" s="207"/>
      <c r="G105" s="207"/>
      <c r="H105" s="209"/>
      <c r="I105" s="209"/>
      <c r="J105" s="209"/>
    </row>
    <row r="106" spans="2:15" ht="15" customHeight="1">
      <c r="B106" s="208"/>
      <c r="C106" s="208"/>
      <c r="D106" s="208"/>
      <c r="E106" s="207"/>
      <c r="F106" s="207"/>
      <c r="G106" s="207"/>
      <c r="H106" s="208"/>
      <c r="I106" s="208"/>
      <c r="J106" s="208"/>
    </row>
    <row r="107" spans="2:15" ht="15" customHeight="1">
      <c r="B107" s="688" t="s">
        <v>983</v>
      </c>
      <c r="C107" s="208"/>
      <c r="D107" s="208"/>
      <c r="E107" s="207"/>
      <c r="F107" s="207"/>
      <c r="G107" s="207"/>
      <c r="H107" s="209"/>
      <c r="I107" s="209"/>
      <c r="J107" s="209"/>
    </row>
    <row r="108" spans="2:15" ht="15" customHeight="1">
      <c r="B108" s="208"/>
      <c r="C108" s="208"/>
      <c r="D108" s="208"/>
      <c r="E108" s="207"/>
      <c r="F108" s="207"/>
      <c r="G108" s="207"/>
      <c r="H108" s="208"/>
      <c r="I108" s="208"/>
      <c r="J108" s="208"/>
    </row>
    <row r="109" spans="2:15" ht="15" customHeight="1">
      <c r="B109" s="208"/>
      <c r="C109" s="208"/>
      <c r="D109" s="208"/>
      <c r="E109" s="207"/>
      <c r="F109" s="207"/>
      <c r="G109" s="207"/>
      <c r="H109" s="209"/>
      <c r="I109" s="209"/>
      <c r="J109" s="209"/>
    </row>
  </sheetData>
  <sheetProtection algorithmName="SHA-512" hashValue="XhExgpYXLLR/nz1YlCaUsXUj+jddSsxxvD8WYyRu/Bzc+8WDv8la0xNqlI32R3GYaLJ/TsAk6lzR56C2lr4vXg==" saltValue="2BJaKNuOjIh5WZ2RuIkn1Q==" spinCount="100000" sheet="1" objects="1" scenarios="1"/>
  <mergeCells count="43">
    <mergeCell ref="C34:C35"/>
    <mergeCell ref="C36:C37"/>
    <mergeCell ref="C38:C40"/>
    <mergeCell ref="B34:B40"/>
    <mergeCell ref="B101:F101"/>
    <mergeCell ref="C41:C42"/>
    <mergeCell ref="C43:C44"/>
    <mergeCell ref="C46:C48"/>
    <mergeCell ref="B41:B48"/>
    <mergeCell ref="C49:C55"/>
    <mergeCell ref="C62:C69"/>
    <mergeCell ref="E83:E84"/>
    <mergeCell ref="D83:D84"/>
    <mergeCell ref="C88:C93"/>
    <mergeCell ref="C94:C95"/>
    <mergeCell ref="D85:D87"/>
    <mergeCell ref="C30:C33"/>
    <mergeCell ref="C24:C29"/>
    <mergeCell ref="B13:B33"/>
    <mergeCell ref="N2:O2"/>
    <mergeCell ref="N5:O5"/>
    <mergeCell ref="N6:O6"/>
    <mergeCell ref="B8:O8"/>
    <mergeCell ref="E10:E12"/>
    <mergeCell ref="C2:M6"/>
    <mergeCell ref="I10:I12"/>
    <mergeCell ref="B2:B6"/>
    <mergeCell ref="E85:E87"/>
    <mergeCell ref="C70:C87"/>
    <mergeCell ref="B100:O100"/>
    <mergeCell ref="O10:O12"/>
    <mergeCell ref="J10:J12"/>
    <mergeCell ref="K10:N10"/>
    <mergeCell ref="B10:B12"/>
    <mergeCell ref="C10:C12"/>
    <mergeCell ref="D10:D12"/>
    <mergeCell ref="F10:F12"/>
    <mergeCell ref="H10:H12"/>
    <mergeCell ref="G10:G12"/>
    <mergeCell ref="B49:B96"/>
    <mergeCell ref="B97:B99"/>
    <mergeCell ref="C56:C61"/>
    <mergeCell ref="C13:C23"/>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00B050"/>
  </sheetPr>
  <dimension ref="B1:BH31"/>
  <sheetViews>
    <sheetView showGridLines="0" zoomScale="55" zoomScaleNormal="55" workbookViewId="0">
      <selection activeCell="F31" sqref="F31"/>
    </sheetView>
  </sheetViews>
  <sheetFormatPr baseColWidth="10" defaultColWidth="17.33203125" defaultRowHeight="15" customHeight="1"/>
  <cols>
    <col min="1" max="1" width="4.33203125" style="135" customWidth="1"/>
    <col min="2" max="2" width="58.6640625" style="133" customWidth="1"/>
    <col min="3" max="3" width="56.109375" style="133" customWidth="1"/>
    <col min="4" max="4" width="49.6640625" style="133" customWidth="1"/>
    <col min="5" max="5" width="27.5546875" style="133" customWidth="1"/>
    <col min="6" max="7" width="29.33203125" style="134" customWidth="1"/>
    <col min="8" max="8" width="36.33203125" style="133" customWidth="1"/>
    <col min="9" max="9" width="39.6640625" style="133" customWidth="1"/>
    <col min="10" max="10" width="58.44140625" style="133" customWidth="1"/>
    <col min="11" max="11" width="48.44140625" style="133" customWidth="1"/>
    <col min="12" max="13" width="28.5546875" style="133" customWidth="1"/>
    <col min="14" max="14" width="37.44140625" style="133" customWidth="1"/>
    <col min="15" max="15" width="39.33203125" style="135" customWidth="1"/>
    <col min="16" max="46" width="15.88671875" style="135" customWidth="1"/>
    <col min="47"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 customHeight="1" thickBot="1"/>
    <row r="2" spans="2:60" ht="16.5"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10" t="s">
        <v>31</v>
      </c>
      <c r="BH2" s="211"/>
    </row>
    <row r="3" spans="2:60" ht="16.5"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6.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6.5"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6.5"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ht="19.5" customHeight="1">
      <c r="B7" s="136"/>
      <c r="C7" s="136"/>
      <c r="D7" s="136"/>
      <c r="E7" s="136"/>
      <c r="F7" s="137"/>
      <c r="G7" s="137"/>
      <c r="H7" s="136"/>
      <c r="I7" s="136"/>
      <c r="J7" s="136"/>
      <c r="K7" s="136"/>
      <c r="L7" s="136"/>
      <c r="M7" s="136"/>
      <c r="N7" s="136"/>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47"/>
      <c r="AY7" s="1547"/>
      <c r="AZ7" s="1547"/>
      <c r="BA7" s="1548"/>
      <c r="BB7" s="1042"/>
      <c r="BC7" s="1042"/>
      <c r="BD7" s="1042"/>
      <c r="BE7" s="138"/>
      <c r="BF7" s="138"/>
    </row>
    <row r="8" spans="2:60" ht="28.5" customHeight="1">
      <c r="B8" s="216" t="s">
        <v>45</v>
      </c>
      <c r="C8" s="1534" t="s">
        <v>79</v>
      </c>
      <c r="D8" s="1534"/>
      <c r="E8" s="217"/>
      <c r="F8" s="217"/>
      <c r="G8" s="217"/>
      <c r="H8" s="217"/>
      <c r="I8" s="217"/>
      <c r="J8" s="217"/>
      <c r="K8" s="217"/>
      <c r="L8" s="217"/>
      <c r="M8" s="217"/>
      <c r="N8" s="217"/>
      <c r="AW8" s="1042"/>
      <c r="AX8" s="1042"/>
      <c r="AY8" s="1042"/>
      <c r="AZ8" s="1042"/>
      <c r="BA8" s="1042"/>
      <c r="BB8" s="1042"/>
      <c r="BC8" s="1042"/>
      <c r="BD8" s="1042"/>
    </row>
    <row r="9" spans="2:60" ht="98.25" customHeight="1">
      <c r="B9" s="216" t="s">
        <v>34</v>
      </c>
      <c r="C9" s="1535" t="s">
        <v>406</v>
      </c>
      <c r="D9" s="1536"/>
      <c r="E9" s="217"/>
      <c r="F9" s="217"/>
      <c r="G9" s="217"/>
      <c r="H9" s="217"/>
      <c r="I9" s="217"/>
      <c r="J9" s="217"/>
      <c r="K9" s="217"/>
      <c r="L9" s="217"/>
      <c r="M9" s="217"/>
      <c r="N9" s="217"/>
      <c r="AW9" s="1042"/>
      <c r="AX9" s="1042"/>
      <c r="AY9" s="1042"/>
      <c r="AZ9" s="1042"/>
      <c r="BA9" s="1042"/>
      <c r="BB9" s="1042"/>
      <c r="BC9" s="1042"/>
      <c r="BD9" s="1042"/>
    </row>
    <row r="10" spans="2:60" ht="30" customHeight="1">
      <c r="B10" s="216" t="s">
        <v>101</v>
      </c>
      <c r="C10" s="1537">
        <v>2021</v>
      </c>
      <c r="D10" s="1538"/>
      <c r="E10" s="217"/>
      <c r="F10" s="217"/>
      <c r="G10" s="217"/>
      <c r="H10" s="217"/>
      <c r="I10" s="217"/>
      <c r="J10" s="217"/>
      <c r="K10" s="217"/>
      <c r="L10" s="217"/>
      <c r="M10" s="217"/>
      <c r="N10" s="217"/>
      <c r="AW10" s="1042"/>
      <c r="AX10" s="1042"/>
      <c r="AY10" s="1042"/>
      <c r="AZ10" s="1042"/>
      <c r="BA10" s="1042"/>
      <c r="BB10" s="1042"/>
      <c r="BC10" s="1042"/>
      <c r="BD10" s="1042"/>
    </row>
    <row r="11" spans="2:60" ht="14.25" customHeight="1">
      <c r="B11" s="136"/>
      <c r="C11" s="136"/>
      <c r="D11" s="136"/>
      <c r="E11" s="136"/>
      <c r="F11" s="137"/>
      <c r="G11" s="137"/>
      <c r="H11" s="136"/>
      <c r="I11" s="136"/>
      <c r="J11" s="136"/>
      <c r="K11" s="136"/>
      <c r="L11" s="136"/>
      <c r="M11" s="136"/>
      <c r="N11" s="136"/>
      <c r="AV11" s="373"/>
      <c r="AW11" s="1042"/>
      <c r="AX11" s="1042"/>
      <c r="AY11" s="1042"/>
      <c r="AZ11" s="1042"/>
      <c r="BA11" s="1042"/>
      <c r="BB11" s="1042"/>
      <c r="BC11" s="1042"/>
      <c r="BD11" s="1042"/>
    </row>
    <row r="12" spans="2:60" ht="33"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21.75" customHeight="1">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21.75" customHeight="1">
      <c r="B14" s="1442"/>
      <c r="C14" s="1442"/>
      <c r="D14" s="1253"/>
      <c r="E14" s="1442"/>
      <c r="F14" s="1253"/>
      <c r="G14" s="1442"/>
      <c r="H14" s="1442"/>
      <c r="I14" s="1442"/>
      <c r="J14" s="1442"/>
      <c r="K14" s="1442"/>
      <c r="L14" s="1442"/>
      <c r="M14" s="1442"/>
      <c r="N14" s="1442"/>
      <c r="O14" s="1442"/>
      <c r="P14" s="1516" t="s">
        <v>5</v>
      </c>
      <c r="Q14" s="1516"/>
      <c r="R14" s="1516" t="s">
        <v>6</v>
      </c>
      <c r="S14" s="1516"/>
      <c r="T14" s="1516" t="s">
        <v>7</v>
      </c>
      <c r="U14" s="1516"/>
      <c r="V14" s="1462" t="s">
        <v>8</v>
      </c>
      <c r="W14" s="1462"/>
      <c r="X14" s="1516" t="s">
        <v>27</v>
      </c>
      <c r="Y14" s="1516"/>
      <c r="Z14" s="1516" t="s">
        <v>9</v>
      </c>
      <c r="AA14" s="1516"/>
      <c r="AB14" s="1516" t="s">
        <v>10</v>
      </c>
      <c r="AC14" s="1516"/>
      <c r="AD14" s="1462" t="s">
        <v>8</v>
      </c>
      <c r="AE14" s="1462"/>
      <c r="AF14" s="1516" t="s">
        <v>11</v>
      </c>
      <c r="AG14" s="1516"/>
      <c r="AH14" s="1516" t="s">
        <v>12</v>
      </c>
      <c r="AI14" s="1516"/>
      <c r="AJ14" s="1516" t="s">
        <v>13</v>
      </c>
      <c r="AK14" s="1516"/>
      <c r="AL14" s="1462" t="s">
        <v>8</v>
      </c>
      <c r="AM14" s="1462"/>
      <c r="AN14" s="1516" t="s">
        <v>14</v>
      </c>
      <c r="AO14" s="1516"/>
      <c r="AP14" s="1516" t="s">
        <v>15</v>
      </c>
      <c r="AQ14" s="1516"/>
      <c r="AR14" s="1516" t="s">
        <v>16</v>
      </c>
      <c r="AS14" s="1516"/>
      <c r="AT14" s="1462" t="s">
        <v>8</v>
      </c>
      <c r="AU14" s="1462"/>
      <c r="AV14" s="1549"/>
      <c r="AW14" s="1554"/>
      <c r="AX14" s="1554"/>
      <c r="AY14" s="1554"/>
      <c r="AZ14" s="1554"/>
      <c r="BA14" s="1560"/>
      <c r="BB14" s="1560"/>
      <c r="BC14" s="1560"/>
      <c r="BD14" s="1560"/>
      <c r="BE14" s="1563"/>
      <c r="BF14" s="1563"/>
      <c r="BG14" s="1563"/>
      <c r="BH14" s="1563"/>
    </row>
    <row r="15" spans="2:60" ht="21.75" customHeight="1">
      <c r="B15" s="1442"/>
      <c r="C15" s="1442"/>
      <c r="D15" s="1253"/>
      <c r="E15" s="1442"/>
      <c r="F15" s="1253"/>
      <c r="G15" s="1442"/>
      <c r="H15" s="1442"/>
      <c r="I15" s="1442"/>
      <c r="J15" s="1442"/>
      <c r="K15" s="1442"/>
      <c r="L15" s="1442"/>
      <c r="M15" s="1442"/>
      <c r="N15" s="1442"/>
      <c r="O15" s="1442"/>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1549"/>
      <c r="AW15" s="1555"/>
      <c r="AX15" s="1555"/>
      <c r="AY15" s="1555"/>
      <c r="AZ15" s="1555"/>
      <c r="BA15" s="1561"/>
      <c r="BB15" s="1561"/>
      <c r="BC15" s="1561"/>
      <c r="BD15" s="1561"/>
      <c r="BE15" s="1564"/>
      <c r="BF15" s="1564"/>
      <c r="BG15" s="1564"/>
      <c r="BH15" s="1564"/>
    </row>
    <row r="16" spans="2:60" ht="149.25" customHeight="1">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INSTITUCIONAL'!D56</f>
        <v>4.2.1 Formular e implementar el 100% de las acciones para la Sostenibilidad y mejora del Sistema de Gestión de la Calidad 
-SGC- (Meta Transversal)</v>
      </c>
      <c r="E16" s="32">
        <f>+'01-FR-03 POA INSTITUCIONAL'!E56</f>
        <v>0.2</v>
      </c>
      <c r="F16" s="341">
        <f>+'01-FR-03 POA INSTITUCIONAL'!F56</f>
        <v>1</v>
      </c>
      <c r="G16" s="161">
        <f>+'01-FR-03 POA INSTITUCIONAL'!K56</f>
        <v>1</v>
      </c>
      <c r="H16" s="33">
        <f>+'01-FR-03 POA INSTITUCIONAL'!G56</f>
        <v>1</v>
      </c>
      <c r="I16" s="33" t="str">
        <f>+'01-FR-03 POA INSTITUCIONAL'!H56</f>
        <v xml:space="preserve">Porcentaje de acciones implementadas para la sostenibilidad y mejora del SGC </v>
      </c>
      <c r="J16" s="218" t="s">
        <v>721</v>
      </c>
      <c r="K16" s="219" t="s">
        <v>397</v>
      </c>
      <c r="L16" s="220" t="s">
        <v>167</v>
      </c>
      <c r="M16" s="221" t="s">
        <v>399</v>
      </c>
      <c r="N16" s="220" t="s">
        <v>401</v>
      </c>
      <c r="O16" s="34" t="str">
        <f>+'01-FR-03 POA INSTITUCIONAL'!J56</f>
        <v>Dirección de Planeación
Aportan: Dependencias lideradas por  Responsables de procesos y operativos de todos los procesos institucionales</v>
      </c>
      <c r="P16" s="222">
        <v>0</v>
      </c>
      <c r="Q16" s="222">
        <v>0</v>
      </c>
      <c r="R16" s="222">
        <v>0.13</v>
      </c>
      <c r="S16" s="222">
        <v>0.13</v>
      </c>
      <c r="T16" s="222">
        <v>7.0000000000000007E-2</v>
      </c>
      <c r="U16" s="222">
        <v>7.0000000000000007E-2</v>
      </c>
      <c r="V16" s="65">
        <f>P16+R16+T16</f>
        <v>0.2</v>
      </c>
      <c r="W16" s="65">
        <f>Q16+S16+U16</f>
        <v>0.2</v>
      </c>
      <c r="X16" s="222">
        <v>0.06</v>
      </c>
      <c r="Y16" s="702">
        <v>3.8260869565217397E-2</v>
      </c>
      <c r="Z16" s="222">
        <v>0.08</v>
      </c>
      <c r="AA16" s="702">
        <v>7.4307692307692297E-2</v>
      </c>
      <c r="AB16" s="222">
        <v>0.08</v>
      </c>
      <c r="AC16" s="702">
        <v>7.2258064516128998E-2</v>
      </c>
      <c r="AD16" s="65">
        <f>X16+Z16+AB16</f>
        <v>0.22000000000000003</v>
      </c>
      <c r="AE16" s="360">
        <f>Y16+AA16+AC16</f>
        <v>0.18482662638903868</v>
      </c>
      <c r="AF16" s="222">
        <v>0.11</v>
      </c>
      <c r="AG16" s="1017">
        <v>9.5788617886178859E-2</v>
      </c>
      <c r="AH16" s="222">
        <v>0.09</v>
      </c>
      <c r="AI16" s="1017">
        <v>6.0874999999999992E-2</v>
      </c>
      <c r="AJ16" s="223">
        <v>0.09</v>
      </c>
      <c r="AK16" s="1018">
        <v>0.159</v>
      </c>
      <c r="AL16" s="65">
        <f>AF16+AH16+AJ16</f>
        <v>0.29000000000000004</v>
      </c>
      <c r="AM16" s="65">
        <f>AG16+AI16+AK16</f>
        <v>0.31566361788617886</v>
      </c>
      <c r="AN16" s="222">
        <v>0.11</v>
      </c>
      <c r="AO16" s="1063"/>
      <c r="AP16" s="222">
        <v>0.09</v>
      </c>
      <c r="AQ16" s="222"/>
      <c r="AR16" s="222">
        <v>0.09</v>
      </c>
      <c r="AS16" s="222"/>
      <c r="AT16" s="65">
        <f>AN16+AP16+AR16</f>
        <v>0.29000000000000004</v>
      </c>
      <c r="AU16" s="65">
        <f>AO16+AQ16+AS16</f>
        <v>0</v>
      </c>
      <c r="AV16" s="65">
        <f>V16+AD16+AL16+AT16</f>
        <v>1</v>
      </c>
      <c r="AW16" s="334">
        <f>+W16</f>
        <v>0.2</v>
      </c>
      <c r="AX16" s="360">
        <f>+W16+AE16</f>
        <v>0.3848266263890387</v>
      </c>
      <c r="AY16" s="334">
        <f>+W16+AE16+AM16</f>
        <v>0.70049024427521756</v>
      </c>
      <c r="AZ16" s="379">
        <f>+W16+AE16+AM16+AU16</f>
        <v>0.70049024427521756</v>
      </c>
      <c r="BA16" s="383">
        <f>IF(AND(AW16&gt;0,$AV16&gt;0),AW16/$AV16,0)</f>
        <v>0.2</v>
      </c>
      <c r="BB16" s="703">
        <f t="shared" ref="BB16:BD16" si="0">IF(AND(AX16&gt;0,$AV16&gt;0),AX16/$AV16,0)</f>
        <v>0.3848266263890387</v>
      </c>
      <c r="BC16" s="383">
        <f t="shared" si="0"/>
        <v>0.70049024427521756</v>
      </c>
      <c r="BD16" s="383">
        <f t="shared" si="0"/>
        <v>0.70049024427521756</v>
      </c>
      <c r="BE16" s="339">
        <f>(((IF(AND(AW16&gt;0,$F16&gt;0),AW16/$F16,0)))/4)</f>
        <v>0.05</v>
      </c>
      <c r="BF16" s="339">
        <f t="shared" ref="BF16:BH16" si="1">(((IF(AND(AX16&gt;0,$F16&gt;0),AX16/$F16,0)))/4)</f>
        <v>9.6206656597259674E-2</v>
      </c>
      <c r="BG16" s="339">
        <f t="shared" si="1"/>
        <v>0.17512256106880439</v>
      </c>
      <c r="BH16" s="387">
        <f t="shared" si="1"/>
        <v>0.17512256106880439</v>
      </c>
    </row>
    <row r="17" spans="2:60" ht="275.25" customHeight="1">
      <c r="B17" s="1542"/>
      <c r="C17" s="1542"/>
      <c r="D17" s="31" t="str">
        <f>+'01-FR-03 POA INSTITUCIONAL'!D57</f>
        <v>4.2.2 Implementar el 40% de las actividades requeridas para la sostenibilidad y mejora del MIPG, de acuerdo con la metodología establecida por la Función Pública. (Meta Transversal)</v>
      </c>
      <c r="E17" s="32">
        <f>+'01-FR-03 POA INSTITUCIONAL'!E57</f>
        <v>0.2</v>
      </c>
      <c r="F17" s="341">
        <f>+'01-FR-03 POA INSTITUCIONAL'!F57</f>
        <v>0.4</v>
      </c>
      <c r="G17" s="161">
        <f>+'01-FR-03 POA INSTITUCIONAL'!K57</f>
        <v>0.22</v>
      </c>
      <c r="H17" s="33">
        <f>+'01-FR-03 POA INSTITUCIONAL'!G57</f>
        <v>0.6</v>
      </c>
      <c r="I17" s="33" t="str">
        <f>+'01-FR-03 POA INSTITUCIONAL'!H57</f>
        <v>Porcentaje de actividades implementadas para la sostenibilidad  y mejora del MIPG</v>
      </c>
      <c r="J17" s="218" t="s">
        <v>722</v>
      </c>
      <c r="K17" s="224" t="s">
        <v>709</v>
      </c>
      <c r="L17" s="220" t="s">
        <v>398</v>
      </c>
      <c r="M17" s="221" t="s">
        <v>399</v>
      </c>
      <c r="N17" s="220" t="s">
        <v>400</v>
      </c>
      <c r="O17" s="34" t="str">
        <f>+'01-FR-03 POA INSTITUCIONAL'!J57</f>
        <v>Dirección de Planeación
Aportan: Dependencias lideradas por  Responsables de procesos y operativos de todos los procesos institucionales</v>
      </c>
      <c r="P17" s="225">
        <v>0</v>
      </c>
      <c r="Q17" s="225">
        <v>0</v>
      </c>
      <c r="R17" s="225">
        <v>0.01</v>
      </c>
      <c r="S17" s="225">
        <v>0.01</v>
      </c>
      <c r="T17" s="225">
        <v>0.02</v>
      </c>
      <c r="U17" s="225">
        <v>0.02</v>
      </c>
      <c r="V17" s="83">
        <f>P17+R17+T17</f>
        <v>0.03</v>
      </c>
      <c r="W17" s="83">
        <f>Q17+S17+U17</f>
        <v>0.03</v>
      </c>
      <c r="X17" s="225">
        <v>0.01</v>
      </c>
      <c r="Y17" s="225">
        <v>0.01</v>
      </c>
      <c r="Z17" s="225">
        <v>0.01</v>
      </c>
      <c r="AA17" s="225">
        <v>0</v>
      </c>
      <c r="AB17" s="225">
        <v>0.02</v>
      </c>
      <c r="AC17" s="225">
        <v>0</v>
      </c>
      <c r="AD17" s="83">
        <f>X17+Z17+AB17</f>
        <v>0.04</v>
      </c>
      <c r="AE17" s="83">
        <f>Y17+AA17+AC17</f>
        <v>0.01</v>
      </c>
      <c r="AF17" s="225">
        <v>0.03</v>
      </c>
      <c r="AG17" s="225">
        <v>0.03</v>
      </c>
      <c r="AH17" s="225">
        <v>0.01</v>
      </c>
      <c r="AI17" s="225">
        <v>0.02</v>
      </c>
      <c r="AJ17" s="226">
        <v>0.03</v>
      </c>
      <c r="AK17" s="226">
        <v>0.02</v>
      </c>
      <c r="AL17" s="83">
        <f>AF17+AH17+AJ17</f>
        <v>7.0000000000000007E-2</v>
      </c>
      <c r="AM17" s="83">
        <f>AG17+AI17+AK17</f>
        <v>7.0000000000000007E-2</v>
      </c>
      <c r="AN17" s="225">
        <v>0.03</v>
      </c>
      <c r="AO17" s="225"/>
      <c r="AP17" s="225">
        <v>0.04</v>
      </c>
      <c r="AQ17" s="225"/>
      <c r="AR17" s="225">
        <v>0.01</v>
      </c>
      <c r="AS17" s="225"/>
      <c r="AT17" s="83">
        <f>AN17+AP17+AR17</f>
        <v>0.08</v>
      </c>
      <c r="AU17" s="83">
        <f>AO17+AQ17+AS17</f>
        <v>0</v>
      </c>
      <c r="AV17" s="65">
        <f t="shared" ref="AV17:AV19" si="2">V17+AD17+AL17+AT17</f>
        <v>0.22000000000000003</v>
      </c>
      <c r="AW17" s="334">
        <f>+W17</f>
        <v>0.03</v>
      </c>
      <c r="AX17" s="334">
        <f>+W17+AE17</f>
        <v>0.04</v>
      </c>
      <c r="AY17" s="334">
        <f>+W17+AE17+AM17</f>
        <v>0.11000000000000001</v>
      </c>
      <c r="AZ17" s="379">
        <f>+W17+AE17+AM17+AU17</f>
        <v>0.11000000000000001</v>
      </c>
      <c r="BA17" s="383">
        <f t="shared" ref="BA17:BA19" si="3">IF(AND(AW17&gt;0,$AV17&gt;0),AW17/$AV17,0)</f>
        <v>0.13636363636363635</v>
      </c>
      <c r="BB17" s="694">
        <f t="shared" ref="BB17:BB19" si="4">IF(AND(AX17&gt;0,$AV17&gt;0),AX17/$AV17,0)</f>
        <v>0.1818181818181818</v>
      </c>
      <c r="BC17" s="383">
        <f t="shared" ref="BC17:BC19" si="5">IF(AND(AY17&gt;0,$AV17&gt;0),AY17/$AV17,0)</f>
        <v>0.5</v>
      </c>
      <c r="BD17" s="383">
        <f t="shared" ref="BD17:BD19" si="6">IF(AND(AZ17&gt;0,$AV17&gt;0),AZ17/$AV17,0)</f>
        <v>0.5</v>
      </c>
      <c r="BE17" s="339">
        <f>((IF(AND(AW17&gt;0,$F17&gt;0),AW17/$F17,0)))</f>
        <v>7.4999999999999997E-2</v>
      </c>
      <c r="BF17" s="339">
        <f t="shared" ref="BF17:BH19" si="7">((IF(AND(AX17&gt;0,$F17&gt;0),AX17/$F17,0)))</f>
        <v>9.9999999999999992E-2</v>
      </c>
      <c r="BG17" s="339">
        <f t="shared" si="7"/>
        <v>0.27500000000000002</v>
      </c>
      <c r="BH17" s="387">
        <f t="shared" si="7"/>
        <v>0.27500000000000002</v>
      </c>
    </row>
    <row r="18" spans="2:60" ht="75.75" customHeight="1">
      <c r="B18" s="1542"/>
      <c r="C18" s="1542"/>
      <c r="D18" s="31" t="str">
        <f>+'01-FR-03 POA INSTITUCIONAL'!D58</f>
        <v>4.2.3 Implementar el 100% de los requisitos del Sistema de Gestión Ambiental –SGA-, bajo los estándares de la norma ISO 14001</v>
      </c>
      <c r="E18" s="32">
        <f>+'01-FR-03 POA INSTITUCIONAL'!E58</f>
        <v>0.15</v>
      </c>
      <c r="F18" s="341">
        <f>+'01-FR-03 POA INSTITUCIONAL'!F58</f>
        <v>1</v>
      </c>
      <c r="G18" s="161">
        <f>+'01-FR-03 POA INSTITUCIONAL'!K58</f>
        <v>0.38</v>
      </c>
      <c r="H18" s="33" t="str">
        <f>+'01-FR-03 POA INSTITUCIONAL'!G58</f>
        <v>S.I.</v>
      </c>
      <c r="I18" s="33" t="str">
        <f>+'01-FR-03 POA INSTITUCIONAL'!H58</f>
        <v xml:space="preserve">Porcentaje de requisitos del  SGA implementados bajo los estándares de la norma ISO 14001 </v>
      </c>
      <c r="J18" s="218" t="s">
        <v>165</v>
      </c>
      <c r="K18" s="219" t="s">
        <v>402</v>
      </c>
      <c r="L18" s="220" t="s">
        <v>403</v>
      </c>
      <c r="M18" s="220" t="s">
        <v>399</v>
      </c>
      <c r="N18" s="220" t="s">
        <v>400</v>
      </c>
      <c r="O18" s="34" t="str">
        <f>+'01-FR-03 POA INSTITUCIONAL'!J58</f>
        <v>Dirección de Planeación</v>
      </c>
      <c r="P18" s="222">
        <v>0</v>
      </c>
      <c r="Q18" s="222">
        <v>0</v>
      </c>
      <c r="R18" s="222">
        <v>0</v>
      </c>
      <c r="S18" s="222">
        <v>0</v>
      </c>
      <c r="T18" s="222">
        <v>0.09</v>
      </c>
      <c r="U18" s="222">
        <v>0.09</v>
      </c>
      <c r="V18" s="65">
        <f t="shared" ref="V18" si="8">P18+R18+T18</f>
        <v>0.09</v>
      </c>
      <c r="W18" s="65">
        <f t="shared" ref="W18" si="9">Q18+S18+U18</f>
        <v>0.09</v>
      </c>
      <c r="X18" s="222">
        <v>0</v>
      </c>
      <c r="Y18" s="222">
        <v>0</v>
      </c>
      <c r="Z18" s="222">
        <v>0</v>
      </c>
      <c r="AA18" s="222">
        <v>0</v>
      </c>
      <c r="AB18" s="222">
        <v>0.09</v>
      </c>
      <c r="AC18" s="222">
        <v>0.09</v>
      </c>
      <c r="AD18" s="65">
        <f t="shared" ref="AD18" si="10">X18+Z18+AB18</f>
        <v>0.09</v>
      </c>
      <c r="AE18" s="65">
        <f t="shared" ref="AE18" si="11">Y18+AA18+AC18</f>
        <v>0.09</v>
      </c>
      <c r="AF18" s="222">
        <v>0</v>
      </c>
      <c r="AG18" s="222">
        <v>0</v>
      </c>
      <c r="AH18" s="222">
        <v>0</v>
      </c>
      <c r="AI18" s="222">
        <v>0</v>
      </c>
      <c r="AJ18" s="223">
        <v>0.11</v>
      </c>
      <c r="AK18" s="223">
        <v>0.11</v>
      </c>
      <c r="AL18" s="65">
        <f t="shared" ref="AL18" si="12">AF18+AH18+AJ18</f>
        <v>0.11</v>
      </c>
      <c r="AM18" s="65">
        <f t="shared" ref="AM18" si="13">AG18+AI18+AK18</f>
        <v>0.11</v>
      </c>
      <c r="AN18" s="222">
        <v>0</v>
      </c>
      <c r="AO18" s="222"/>
      <c r="AP18" s="222">
        <v>0</v>
      </c>
      <c r="AQ18" s="222"/>
      <c r="AR18" s="222">
        <v>0.09</v>
      </c>
      <c r="AS18" s="222"/>
      <c r="AT18" s="65">
        <f t="shared" ref="AT18" si="14">AN18+AP18+AR18</f>
        <v>0.09</v>
      </c>
      <c r="AU18" s="65">
        <f t="shared" ref="AU18" si="15">AO18+AQ18+AS18</f>
        <v>0</v>
      </c>
      <c r="AV18" s="65">
        <f t="shared" si="2"/>
        <v>0.38</v>
      </c>
      <c r="AW18" s="334">
        <f>+W18</f>
        <v>0.09</v>
      </c>
      <c r="AX18" s="334">
        <f>+W18+AE18</f>
        <v>0.18</v>
      </c>
      <c r="AY18" s="334">
        <f>+W18+AE18+AM18</f>
        <v>0.28999999999999998</v>
      </c>
      <c r="AZ18" s="379">
        <f>+W18+AE18+AM18+AU18</f>
        <v>0.28999999999999998</v>
      </c>
      <c r="BA18" s="383">
        <f t="shared" si="3"/>
        <v>0.23684210526315788</v>
      </c>
      <c r="BB18" s="384">
        <f t="shared" si="4"/>
        <v>0.47368421052631576</v>
      </c>
      <c r="BC18" s="385">
        <f t="shared" si="5"/>
        <v>0.76315789473684204</v>
      </c>
      <c r="BD18" s="385">
        <f t="shared" si="6"/>
        <v>0.76315789473684204</v>
      </c>
      <c r="BE18" s="339">
        <f>((IF(AND(AW18&gt;0,$F18&gt;0),AW18/$F18,0)))</f>
        <v>0.09</v>
      </c>
      <c r="BF18" s="339">
        <f t="shared" si="7"/>
        <v>0.18</v>
      </c>
      <c r="BG18" s="339">
        <f t="shared" si="7"/>
        <v>0.28999999999999998</v>
      </c>
      <c r="BH18" s="387">
        <f t="shared" si="7"/>
        <v>0.28999999999999998</v>
      </c>
    </row>
    <row r="19" spans="2:60" ht="75.75" customHeight="1">
      <c r="B19" s="1542"/>
      <c r="C19" s="1542"/>
      <c r="D19" s="31" t="str">
        <f>+'01-FR-03 POA INSTITUCIONAL'!D59</f>
        <v>4.2.4 Realizar 12 acciones de monitoreo y revisión  al Plan Anticorrupción y de Atención al Ciudadano -PAAC- de la vigencia.</v>
      </c>
      <c r="E19" s="32">
        <f>+'01-FR-03 POA INSTITUCIONAL'!E59</f>
        <v>0.1</v>
      </c>
      <c r="F19" s="20">
        <f>+'01-FR-03 POA INSTITUCIONAL'!F59</f>
        <v>12</v>
      </c>
      <c r="G19" s="174">
        <f>+'01-FR-03 POA INSTITUCIONAL'!K59</f>
        <v>3</v>
      </c>
      <c r="H19" s="33" t="str">
        <f>+'01-FR-03 POA INSTITUCIONAL'!G59</f>
        <v>3 
(En el último año)</v>
      </c>
      <c r="I19" s="33" t="str">
        <f>+'01-FR-03 POA INSTITUCIONAL'!H59</f>
        <v>Acciones de monitoreo y revisión realizadas al PAAC</v>
      </c>
      <c r="J19" s="218" t="s">
        <v>723</v>
      </c>
      <c r="K19" s="219" t="s">
        <v>404</v>
      </c>
      <c r="L19" s="220" t="s">
        <v>405</v>
      </c>
      <c r="M19" s="220" t="s">
        <v>399</v>
      </c>
      <c r="N19" s="220" t="s">
        <v>400</v>
      </c>
      <c r="O19" s="34" t="str">
        <f>+'01-FR-03 POA INSTITUCIONAL'!J59</f>
        <v>Dirección de Planeación</v>
      </c>
      <c r="P19" s="227">
        <v>0</v>
      </c>
      <c r="Q19" s="227">
        <v>0</v>
      </c>
      <c r="R19" s="227">
        <v>0</v>
      </c>
      <c r="S19" s="227">
        <v>0</v>
      </c>
      <c r="T19" s="227">
        <v>1</v>
      </c>
      <c r="U19" s="227">
        <v>1</v>
      </c>
      <c r="V19" s="20">
        <f>+P19+R19+T19</f>
        <v>1</v>
      </c>
      <c r="W19" s="20">
        <f>+Q19+S19+U19</f>
        <v>1</v>
      </c>
      <c r="X19" s="227">
        <v>0</v>
      </c>
      <c r="Y19" s="227">
        <v>0</v>
      </c>
      <c r="Z19" s="227">
        <v>0</v>
      </c>
      <c r="AA19" s="227">
        <v>0</v>
      </c>
      <c r="AB19" s="227">
        <v>0</v>
      </c>
      <c r="AC19" s="227">
        <v>0</v>
      </c>
      <c r="AD19" s="20">
        <f>+X19+Z19+AB19</f>
        <v>0</v>
      </c>
      <c r="AE19" s="20">
        <f>+Y19+AA19+AC19</f>
        <v>0</v>
      </c>
      <c r="AF19" s="227">
        <v>1</v>
      </c>
      <c r="AG19" s="227">
        <v>1</v>
      </c>
      <c r="AH19" s="227">
        <v>0</v>
      </c>
      <c r="AI19" s="227">
        <v>0</v>
      </c>
      <c r="AJ19" s="228">
        <v>0</v>
      </c>
      <c r="AK19" s="228">
        <v>0</v>
      </c>
      <c r="AL19" s="20">
        <f>+AF19+AH19+AJ19</f>
        <v>1</v>
      </c>
      <c r="AM19" s="20">
        <f>+AG19+AI19+AK19</f>
        <v>1</v>
      </c>
      <c r="AN19" s="227">
        <v>0</v>
      </c>
      <c r="AO19" s="227"/>
      <c r="AP19" s="227">
        <v>1</v>
      </c>
      <c r="AQ19" s="227"/>
      <c r="AR19" s="227">
        <v>0</v>
      </c>
      <c r="AS19" s="227"/>
      <c r="AT19" s="20">
        <f>+AN19+AP19+AR19</f>
        <v>1</v>
      </c>
      <c r="AU19" s="20">
        <f>+AO19+AQ19+AS19</f>
        <v>0</v>
      </c>
      <c r="AV19" s="20">
        <f t="shared" si="2"/>
        <v>3</v>
      </c>
      <c r="AW19" s="26">
        <f>+W19</f>
        <v>1</v>
      </c>
      <c r="AX19" s="26">
        <f>+W19+AE19</f>
        <v>1</v>
      </c>
      <c r="AY19" s="26">
        <f>+W19+AE19+AM19</f>
        <v>2</v>
      </c>
      <c r="AZ19" s="378">
        <f>+W19+AE19+AM19+AU19</f>
        <v>2</v>
      </c>
      <c r="BA19" s="385">
        <f t="shared" si="3"/>
        <v>0.33333333333333331</v>
      </c>
      <c r="BB19" s="384">
        <f t="shared" si="4"/>
        <v>0.33333333333333331</v>
      </c>
      <c r="BC19" s="384">
        <f t="shared" si="5"/>
        <v>0.66666666666666663</v>
      </c>
      <c r="BD19" s="384">
        <f t="shared" si="6"/>
        <v>0.66666666666666663</v>
      </c>
      <c r="BE19" s="339">
        <f>((IF(AND(AW19&gt;0,$F19&gt;0),AW19/$F19,0)))</f>
        <v>8.3333333333333329E-2</v>
      </c>
      <c r="BF19" s="339">
        <f t="shared" si="7"/>
        <v>8.3333333333333329E-2</v>
      </c>
      <c r="BG19" s="339">
        <f t="shared" si="7"/>
        <v>0.16666666666666666</v>
      </c>
      <c r="BH19" s="387">
        <f t="shared" si="7"/>
        <v>0.16666666666666666</v>
      </c>
    </row>
    <row r="20" spans="2:60" ht="22.8">
      <c r="B20" s="370"/>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2"/>
      <c r="AX20" s="1539" t="s">
        <v>19</v>
      </c>
      <c r="AY20" s="1540"/>
      <c r="AZ20" s="1540"/>
      <c r="BA20" s="1043">
        <f t="shared" ref="BA20:BD20" si="16">AVERAGE(BA16:BA19)</f>
        <v>0.22663476874003191</v>
      </c>
      <c r="BB20" s="1043">
        <f t="shared" si="16"/>
        <v>0.3434155880167174</v>
      </c>
      <c r="BC20" s="1043">
        <f t="shared" si="16"/>
        <v>0.65757870141968155</v>
      </c>
      <c r="BD20" s="1043">
        <f t="shared" si="16"/>
        <v>0.65757870141968155</v>
      </c>
      <c r="BE20" s="1518"/>
      <c r="BF20" s="1519"/>
      <c r="BG20" s="1519"/>
      <c r="BH20" s="1520"/>
    </row>
    <row r="21" spans="2:60">
      <c r="B21" s="1512"/>
      <c r="C21" s="1512"/>
      <c r="D21" s="1512"/>
      <c r="E21" s="1512"/>
      <c r="F21" s="1512"/>
      <c r="G21" s="207"/>
      <c r="H21" s="208"/>
      <c r="I21" s="208"/>
      <c r="J21" s="208"/>
      <c r="K21" s="208"/>
      <c r="L21" s="208"/>
      <c r="M21" s="208"/>
      <c r="N21" s="208"/>
    </row>
    <row r="22" spans="2:60">
      <c r="B22" s="208"/>
      <c r="C22" s="208"/>
      <c r="D22" s="1524"/>
      <c r="E22" s="1524"/>
      <c r="F22" s="1524"/>
      <c r="G22" s="1524"/>
      <c r="H22" s="1524"/>
      <c r="I22" s="1524"/>
      <c r="J22" s="1524"/>
      <c r="K22" s="1524"/>
      <c r="L22" s="1524"/>
      <c r="M22" s="1524"/>
      <c r="N22" s="1524"/>
    </row>
    <row r="23" spans="2:60" ht="30" customHeight="1">
      <c r="B23" s="77" t="s">
        <v>26</v>
      </c>
      <c r="C23" s="80">
        <v>44224</v>
      </c>
      <c r="D23" s="232"/>
      <c r="E23" s="1514" t="s">
        <v>50</v>
      </c>
      <c r="F23" s="1515" t="s">
        <v>753</v>
      </c>
      <c r="G23" s="1515"/>
      <c r="H23" s="1515"/>
      <c r="I23" s="1515"/>
      <c r="J23" s="233"/>
      <c r="K23" s="1522"/>
      <c r="L23" s="1522"/>
      <c r="M23" s="1522"/>
      <c r="N23" s="1523"/>
    </row>
    <row r="24" spans="2:60" ht="13.5" customHeight="1">
      <c r="B24" s="208"/>
      <c r="C24" s="208"/>
      <c r="D24" s="233"/>
      <c r="E24" s="1514"/>
      <c r="F24" s="1515"/>
      <c r="G24" s="1515"/>
      <c r="H24" s="1515"/>
      <c r="I24" s="1515"/>
      <c r="J24" s="234"/>
      <c r="K24" s="234"/>
      <c r="L24" s="234"/>
      <c r="M24" s="234"/>
      <c r="N24" s="234"/>
    </row>
    <row r="25" spans="2:60" ht="31.5" customHeight="1">
      <c r="B25" s="77" t="s">
        <v>49</v>
      </c>
      <c r="C25" s="80"/>
      <c r="D25" s="208"/>
      <c r="E25" s="208"/>
      <c r="J25" s="234"/>
      <c r="K25" s="234"/>
      <c r="L25" s="234"/>
      <c r="M25" s="234"/>
      <c r="N25" s="234"/>
    </row>
    <row r="26" spans="2:60">
      <c r="B26" s="208"/>
      <c r="C26" s="208"/>
      <c r="D26" s="208"/>
      <c r="E26" s="208"/>
      <c r="J26" s="234"/>
      <c r="K26" s="234"/>
      <c r="L26" s="234"/>
      <c r="M26" s="234"/>
      <c r="N26" s="234"/>
    </row>
    <row r="27" spans="2:60" ht="15" customHeight="1">
      <c r="B27" s="688" t="s">
        <v>983</v>
      </c>
      <c r="C27" s="208"/>
      <c r="D27" s="208"/>
      <c r="E27" s="208"/>
      <c r="F27" s="207"/>
      <c r="G27" s="207"/>
      <c r="H27" s="1521"/>
      <c r="I27" s="1521"/>
      <c r="J27" s="1521"/>
      <c r="K27" s="1521"/>
      <c r="L27" s="1040"/>
      <c r="M27" s="1040"/>
      <c r="N27" s="1040"/>
    </row>
    <row r="28" spans="2:60" ht="15" customHeight="1">
      <c r="B28" s="208"/>
      <c r="C28" s="208"/>
      <c r="D28" s="208"/>
      <c r="E28" s="208"/>
      <c r="F28" s="207"/>
      <c r="G28" s="207"/>
      <c r="H28" s="208"/>
      <c r="I28" s="208"/>
      <c r="J28" s="235"/>
      <c r="K28" s="208"/>
      <c r="L28" s="208"/>
      <c r="M28" s="208"/>
      <c r="N28" s="208"/>
    </row>
    <row r="29" spans="2:60" ht="15" customHeight="1">
      <c r="B29" s="208"/>
      <c r="C29" s="208"/>
      <c r="D29" s="208"/>
      <c r="E29" s="208"/>
      <c r="F29" s="207"/>
      <c r="G29" s="207"/>
      <c r="H29" s="1521"/>
      <c r="I29" s="1521"/>
      <c r="J29" s="1521"/>
      <c r="K29" s="1521"/>
      <c r="L29" s="1040"/>
      <c r="M29" s="1040"/>
      <c r="N29" s="1040"/>
    </row>
    <row r="30" spans="2:60" ht="15" customHeight="1">
      <c r="B30" s="208"/>
      <c r="C30" s="208"/>
      <c r="D30" s="208"/>
      <c r="E30" s="208"/>
      <c r="F30" s="207"/>
      <c r="G30" s="207"/>
      <c r="H30" s="208"/>
      <c r="I30" s="208"/>
      <c r="J30" s="235"/>
      <c r="K30" s="208"/>
      <c r="L30" s="208"/>
      <c r="M30" s="208"/>
      <c r="N30" s="208"/>
    </row>
    <row r="31" spans="2:60" ht="15" customHeight="1">
      <c r="B31" s="208"/>
      <c r="C31" s="208"/>
      <c r="D31" s="208"/>
      <c r="E31" s="208"/>
      <c r="F31" s="207"/>
      <c r="G31" s="207"/>
      <c r="H31" s="1521"/>
      <c r="I31" s="1521"/>
      <c r="J31" s="1521"/>
      <c r="K31" s="1521"/>
      <c r="L31" s="1040"/>
      <c r="M31" s="1040"/>
      <c r="N31" s="1040"/>
    </row>
  </sheetData>
  <sheetProtection algorithmName="SHA-512" hashValue="1VKB/r7UgI6w2E6HIiEwEj5FsHCjH0u7IKbNFpick53srXeg0grU0rsw/rUJJiQlwoDJSvPmDyOIJmz4URCgFg==" saltValue="+Li57QInhxfqua7Y+tX6dQ==" spinCount="100000" sheet="1" objects="1" scenarios="1"/>
  <mergeCells count="70">
    <mergeCell ref="Z14:AA14"/>
    <mergeCell ref="BE13:BE15"/>
    <mergeCell ref="BF13:BF15"/>
    <mergeCell ref="BG13:BG15"/>
    <mergeCell ref="BH13:BH15"/>
    <mergeCell ref="AP14:AQ14"/>
    <mergeCell ref="AH14:AI14"/>
    <mergeCell ref="AJ14:AK14"/>
    <mergeCell ref="AL14:AM14"/>
    <mergeCell ref="AN14:AO14"/>
    <mergeCell ref="BA12:BD12"/>
    <mergeCell ref="BA13:BA15"/>
    <mergeCell ref="BB13:BB15"/>
    <mergeCell ref="BC13:BC15"/>
    <mergeCell ref="BD13:BD15"/>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H27:K27"/>
    <mergeCell ref="H29:K29"/>
    <mergeCell ref="H31:K31"/>
    <mergeCell ref="K23:N23"/>
    <mergeCell ref="M12:M15"/>
    <mergeCell ref="D22:N22"/>
    <mergeCell ref="F12:F15"/>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s>
  <conditionalFormatting sqref="BA16:BD19">
    <cfRule type="cellIs" dxfId="66" priority="1" operator="greaterThan">
      <formula>1</formula>
    </cfRule>
    <cfRule type="cellIs" dxfId="65" priority="14" operator="between">
      <formula>0.8</formula>
      <formula>1</formula>
    </cfRule>
    <cfRule type="cellIs" dxfId="64" priority="15" operator="between">
      <formula>0.61</formula>
      <formula>0.79</formula>
    </cfRule>
    <cfRule type="cellIs" dxfId="63"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00B050"/>
  </sheetPr>
  <dimension ref="B1:BH30"/>
  <sheetViews>
    <sheetView showGridLines="0" zoomScale="50" zoomScaleNormal="50"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47.44140625" style="133" customWidth="1"/>
    <col min="4" max="4" width="49.6640625" style="133" customWidth="1"/>
    <col min="5" max="6" width="27.5546875" style="133" customWidth="1"/>
    <col min="7" max="8" width="29.33203125" style="134" customWidth="1"/>
    <col min="9" max="9" width="30.66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69" t="s">
        <v>80</v>
      </c>
      <c r="D8" s="1569"/>
      <c r="E8" s="217"/>
      <c r="F8" s="217"/>
      <c r="G8" s="217"/>
      <c r="H8" s="217"/>
      <c r="I8" s="217"/>
      <c r="J8" s="217"/>
      <c r="K8" s="217"/>
      <c r="L8" s="217"/>
      <c r="M8" s="217"/>
      <c r="N8" s="217"/>
      <c r="O8" s="217"/>
      <c r="AW8" s="238"/>
      <c r="AX8" s="238"/>
      <c r="AY8" s="238"/>
      <c r="AZ8" s="238"/>
      <c r="BA8" s="238"/>
      <c r="BB8" s="238"/>
      <c r="BC8" s="238"/>
      <c r="BD8" s="238"/>
    </row>
    <row r="9" spans="2:60" ht="56.25" customHeight="1">
      <c r="B9" s="216" t="s">
        <v>34</v>
      </c>
      <c r="C9" s="1571" t="s">
        <v>645</v>
      </c>
      <c r="D9" s="1572"/>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2.2"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06.5" customHeight="1">
      <c r="B16" s="1541" t="str">
        <f>+'01-FR-03 POA INSTITUCIONAL'!B97</f>
        <v xml:space="preserve">5. Incorporar una cultura del conocimiento y la innovación a través de actividades que permitan el desarrollo de ideas, lecciones aprendidas e investigaciones para mejorar los resultados de la gestión institucional. </v>
      </c>
      <c r="C16" s="31" t="str">
        <f>+'01-FR-03 POA INSTITUCIONAL'!C97</f>
        <v>5.1 Generar el 100% de productos de nuevo conocimiento o transformar los existentes, alineados con proyectos resultados de la investigación, desarrollo e innovación (I+D+I) en la Entidad.</v>
      </c>
      <c r="D16" s="31" t="str">
        <f>+'01-FR-03 POA INSTITUCIONAL'!D97</f>
        <v xml:space="preserve">5.1.1 Elaborar cuatro (4) proyectos de investigación, desarrollo e innovación I+D+I para la Entidad </v>
      </c>
      <c r="E16" s="52">
        <f>+'01-FR-03 POA INSTITUCIONAL'!E97</f>
        <v>1</v>
      </c>
      <c r="F16" s="245">
        <f>+'01-FR-03 POA INSTITUCIONAL'!F97</f>
        <v>4</v>
      </c>
      <c r="G16" s="68">
        <f>+'01-FR-03 POA INSTITUCIONAL'!K97</f>
        <v>1</v>
      </c>
      <c r="H16" s="140" t="str">
        <f>+'01-FR-03 POA INSTITUCIONAL'!G97</f>
        <v>S.I.</v>
      </c>
      <c r="I16" s="140" t="str">
        <f>+'01-FR-03 POA INSTITUCIONAL'!H97</f>
        <v>Proyectos de Investigación, Desarrollo e Innovación (I+D+I) elaborados</v>
      </c>
      <c r="J16" s="218" t="s">
        <v>718</v>
      </c>
      <c r="K16" s="241" t="s">
        <v>646</v>
      </c>
      <c r="L16" s="221" t="s">
        <v>647</v>
      </c>
      <c r="M16" s="242" t="s">
        <v>648</v>
      </c>
      <c r="N16" s="242" t="s">
        <v>649</v>
      </c>
      <c r="O16" s="79" t="str">
        <f>+'01-FR-03 POA INSTITUCIONAL'!J97</f>
        <v xml:space="preserve">Dirección de Gestión del Conocimiento e Innovación </v>
      </c>
      <c r="P16" s="243">
        <v>0</v>
      </c>
      <c r="Q16" s="243">
        <v>0</v>
      </c>
      <c r="R16" s="243">
        <v>0</v>
      </c>
      <c r="S16" s="243">
        <v>0</v>
      </c>
      <c r="T16" s="243">
        <v>0</v>
      </c>
      <c r="U16" s="243">
        <v>0</v>
      </c>
      <c r="V16" s="91">
        <f>P16+R16+T16</f>
        <v>0</v>
      </c>
      <c r="W16" s="91">
        <f>Q16+S16+U16</f>
        <v>0</v>
      </c>
      <c r="X16" s="243">
        <v>0</v>
      </c>
      <c r="Y16" s="243">
        <v>0</v>
      </c>
      <c r="Z16" s="243">
        <v>0</v>
      </c>
      <c r="AA16" s="243">
        <v>0</v>
      </c>
      <c r="AB16" s="243">
        <v>0</v>
      </c>
      <c r="AC16" s="243">
        <v>0</v>
      </c>
      <c r="AD16" s="91">
        <f>X16+Z16+AB16</f>
        <v>0</v>
      </c>
      <c r="AE16" s="91">
        <f>Y16+AA16+AC16</f>
        <v>0</v>
      </c>
      <c r="AF16" s="243">
        <v>0</v>
      </c>
      <c r="AG16" s="243">
        <v>0</v>
      </c>
      <c r="AH16" s="243">
        <v>0</v>
      </c>
      <c r="AI16" s="243">
        <v>0</v>
      </c>
      <c r="AJ16" s="243">
        <v>0</v>
      </c>
      <c r="AK16" s="243">
        <v>0</v>
      </c>
      <c r="AL16" s="91">
        <f>AF16+AH16+AJ16</f>
        <v>0</v>
      </c>
      <c r="AM16" s="91">
        <f>AG16+AI16+AK16</f>
        <v>0</v>
      </c>
      <c r="AN16" s="243">
        <v>0</v>
      </c>
      <c r="AO16" s="243"/>
      <c r="AP16" s="243">
        <v>1</v>
      </c>
      <c r="AQ16" s="243"/>
      <c r="AR16" s="243">
        <v>0</v>
      </c>
      <c r="AS16" s="243"/>
      <c r="AT16" s="91">
        <f>AN16+AP16+AR16</f>
        <v>1</v>
      </c>
      <c r="AU16" s="91">
        <f>AO16+AQ16+AS16</f>
        <v>0</v>
      </c>
      <c r="AV16" s="245">
        <f>V16+AD16+AL16+AT16</f>
        <v>1</v>
      </c>
      <c r="AW16" s="81">
        <f>+W16</f>
        <v>0</v>
      </c>
      <c r="AX16" s="81">
        <f>+W16+AE16</f>
        <v>0</v>
      </c>
      <c r="AY16" s="81">
        <f>+W16+AE16+AM16</f>
        <v>0</v>
      </c>
      <c r="AZ16" s="386">
        <f>+W16+AE16+AM16+AU16</f>
        <v>0</v>
      </c>
      <c r="BA16" s="42">
        <f>IF(AND(AW16&gt;0,$AV16&gt;0),AW16/$AV16,0)</f>
        <v>0</v>
      </c>
      <c r="BB16" s="42">
        <f t="shared" ref="BB16:BD18" si="0">IF(AND(AX16&gt;0,$AV16&gt;0),AX16/$AV16,0)</f>
        <v>0</v>
      </c>
      <c r="BC16" s="42">
        <f t="shared" si="0"/>
        <v>0</v>
      </c>
      <c r="BD16" s="42">
        <f t="shared" si="0"/>
        <v>0</v>
      </c>
      <c r="BE16" s="339">
        <f>(IF(AND(AW16&gt;0,$F16&gt;0),AW16/$F16,0))</f>
        <v>0</v>
      </c>
      <c r="BF16" s="339">
        <f t="shared" ref="BF16:BH18" si="1">(IF(AND(AX16&gt;0,$F16&gt;0),AX16/$F16,0))</f>
        <v>0</v>
      </c>
      <c r="BG16" s="339">
        <f t="shared" si="1"/>
        <v>0</v>
      </c>
      <c r="BH16" s="387">
        <f t="shared" si="1"/>
        <v>0</v>
      </c>
    </row>
    <row r="17" spans="2:60" ht="90">
      <c r="B17" s="1542"/>
      <c r="C17" s="31" t="str">
        <f>+'01-FR-03 POA INSTITUCIONAL'!C98</f>
        <v>5.2 Formular el 100% de herramientas y acciones que permitan categorizar, preservar y utilizar el conocimiento para la toma de decisiones y compartir fácilmente los datos y la información de la Entidad.</v>
      </c>
      <c r="D17" s="31" t="str">
        <f>+'01-FR-03 POA INSTITUCIONAL'!D98</f>
        <v xml:space="preserve">5.2.1 Construir ocho (8) informes de investigación e innovación que reflejen la analítica institucional </v>
      </c>
      <c r="E17" s="52">
        <f>+'01-FR-03 POA INSTITUCIONAL'!E98</f>
        <v>1</v>
      </c>
      <c r="F17" s="245">
        <f>+'01-FR-03 POA INSTITUCIONAL'!F98</f>
        <v>8</v>
      </c>
      <c r="G17" s="68">
        <f>+'01-FR-03 POA INSTITUCIONAL'!K98</f>
        <v>2</v>
      </c>
      <c r="H17" s="140" t="str">
        <f>+'01-FR-03 POA INSTITUCIONAL'!G98</f>
        <v>S.I.</v>
      </c>
      <c r="I17" s="140" t="str">
        <f>+'01-FR-03 POA INSTITUCIONAL'!H98</f>
        <v>Informes de investigación e innovación construidos</v>
      </c>
      <c r="J17" s="246" t="s">
        <v>650</v>
      </c>
      <c r="K17" s="241" t="s">
        <v>651</v>
      </c>
      <c r="L17" s="221" t="s">
        <v>652</v>
      </c>
      <c r="M17" s="242" t="s">
        <v>648</v>
      </c>
      <c r="N17" s="242" t="s">
        <v>649</v>
      </c>
      <c r="O17" s="79" t="str">
        <f>+'01-FR-03 POA INSTITUCIONAL'!J98</f>
        <v xml:space="preserve">Dirección de Gestión del Conocimiento e Innovación </v>
      </c>
      <c r="P17" s="243">
        <v>0</v>
      </c>
      <c r="Q17" s="243">
        <v>0</v>
      </c>
      <c r="R17" s="243">
        <v>0</v>
      </c>
      <c r="S17" s="243">
        <v>0</v>
      </c>
      <c r="T17" s="243">
        <v>0</v>
      </c>
      <c r="U17" s="243">
        <v>0</v>
      </c>
      <c r="V17" s="91">
        <f t="shared" ref="V17:W18" si="2">P17+R17+T17</f>
        <v>0</v>
      </c>
      <c r="W17" s="91">
        <f t="shared" si="2"/>
        <v>0</v>
      </c>
      <c r="X17" s="243">
        <v>0</v>
      </c>
      <c r="Y17" s="243">
        <v>0</v>
      </c>
      <c r="Z17" s="243">
        <v>0</v>
      </c>
      <c r="AA17" s="243">
        <v>0</v>
      </c>
      <c r="AB17" s="243">
        <v>1</v>
      </c>
      <c r="AC17" s="243">
        <v>1</v>
      </c>
      <c r="AD17" s="91">
        <f t="shared" ref="AD17:AE18" si="3">X17+Z17+AB17</f>
        <v>1</v>
      </c>
      <c r="AE17" s="91">
        <f t="shared" si="3"/>
        <v>1</v>
      </c>
      <c r="AF17" s="243">
        <v>0</v>
      </c>
      <c r="AG17" s="243">
        <v>0</v>
      </c>
      <c r="AH17" s="243">
        <v>0</v>
      </c>
      <c r="AI17" s="243">
        <v>0</v>
      </c>
      <c r="AJ17" s="243">
        <v>0</v>
      </c>
      <c r="AK17" s="243">
        <v>0</v>
      </c>
      <c r="AL17" s="91">
        <f t="shared" ref="AL17:AM18" si="4">AF17+AH17+AJ17</f>
        <v>0</v>
      </c>
      <c r="AM17" s="91">
        <f t="shared" si="4"/>
        <v>0</v>
      </c>
      <c r="AN17" s="243">
        <v>0</v>
      </c>
      <c r="AO17" s="243"/>
      <c r="AP17" s="243">
        <v>1</v>
      </c>
      <c r="AQ17" s="243"/>
      <c r="AR17" s="243">
        <v>0</v>
      </c>
      <c r="AS17" s="243"/>
      <c r="AT17" s="91">
        <f t="shared" ref="AT17:AU18" si="5">AN17+AP17+AR17</f>
        <v>1</v>
      </c>
      <c r="AU17" s="91">
        <f t="shared" si="5"/>
        <v>0</v>
      </c>
      <c r="AV17" s="245">
        <f t="shared" ref="AV17:AV18" si="6">V17+AD17+AL17+AT17</f>
        <v>2</v>
      </c>
      <c r="AW17" s="81">
        <f>+W17</f>
        <v>0</v>
      </c>
      <c r="AX17" s="81">
        <f>+W17+AE17</f>
        <v>1</v>
      </c>
      <c r="AY17" s="81">
        <f>+W17+AE17+AM17</f>
        <v>1</v>
      </c>
      <c r="AZ17" s="386">
        <f>+W17+AE17+AM17+AU17</f>
        <v>1</v>
      </c>
      <c r="BA17" s="42">
        <f>IF(AND(AW17&gt;0,AV17&gt;0),AW17/AV17,0)</f>
        <v>0</v>
      </c>
      <c r="BB17" s="42">
        <f t="shared" si="0"/>
        <v>0.5</v>
      </c>
      <c r="BC17" s="42">
        <f t="shared" si="0"/>
        <v>0.5</v>
      </c>
      <c r="BD17" s="42">
        <f t="shared" si="0"/>
        <v>0.5</v>
      </c>
      <c r="BE17" s="339">
        <f>(IF(AND(AW17&gt;0,$F17&gt;0),AW17/$F17,0))</f>
        <v>0</v>
      </c>
      <c r="BF17" s="339">
        <f t="shared" si="1"/>
        <v>0.125</v>
      </c>
      <c r="BG17" s="339">
        <f t="shared" si="1"/>
        <v>0.125</v>
      </c>
      <c r="BH17" s="387">
        <f t="shared" si="1"/>
        <v>0.125</v>
      </c>
    </row>
    <row r="18" spans="2:60" ht="105" customHeight="1">
      <c r="B18" s="1574"/>
      <c r="C18" s="3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8" s="31" t="str">
        <f>+'01-FR-03 POA INSTITUCIONAL'!D99</f>
        <v>5.3.1 Desarrollar diez (10) actividades de apropiación social del conocimiento para la creación de la cultura de la investigación e innovación.</v>
      </c>
      <c r="E18" s="52">
        <f>+'01-FR-03 POA INSTITUCIONAL'!E99</f>
        <v>1</v>
      </c>
      <c r="F18" s="245">
        <f>+'01-FR-03 POA INSTITUCIONAL'!F99</f>
        <v>10</v>
      </c>
      <c r="G18" s="68">
        <f>+'01-FR-03 POA INSTITUCIONAL'!K99</f>
        <v>3</v>
      </c>
      <c r="H18" s="140" t="str">
        <f>+'01-FR-03 POA INSTITUCIONAL'!G99</f>
        <v>S.I.</v>
      </c>
      <c r="I18" s="140" t="str">
        <f>+'01-FR-03 POA INSTITUCIONAL'!H99</f>
        <v>Actividades de apropiación social del conocimiento desarrolladas</v>
      </c>
      <c r="J18" s="218" t="s">
        <v>653</v>
      </c>
      <c r="K18" s="241" t="s">
        <v>654</v>
      </c>
      <c r="L18" s="221" t="s">
        <v>655</v>
      </c>
      <c r="M18" s="242" t="s">
        <v>648</v>
      </c>
      <c r="N18" s="242" t="s">
        <v>649</v>
      </c>
      <c r="O18" s="79" t="str">
        <f>+'01-FR-03 POA INSTITUCIONAL'!J99</f>
        <v xml:space="preserve">Dirección de Gestión del Conocimiento e Innovación </v>
      </c>
      <c r="P18" s="243">
        <v>0</v>
      </c>
      <c r="Q18" s="243">
        <v>0</v>
      </c>
      <c r="R18" s="243">
        <v>0</v>
      </c>
      <c r="S18" s="243">
        <v>0</v>
      </c>
      <c r="T18" s="243">
        <v>0</v>
      </c>
      <c r="U18" s="243">
        <v>1</v>
      </c>
      <c r="V18" s="91">
        <f t="shared" si="2"/>
        <v>0</v>
      </c>
      <c r="W18" s="91">
        <f t="shared" si="2"/>
        <v>1</v>
      </c>
      <c r="X18" s="243">
        <v>0</v>
      </c>
      <c r="Y18" s="243">
        <v>1</v>
      </c>
      <c r="Z18" s="243">
        <v>1</v>
      </c>
      <c r="AA18" s="243">
        <v>1</v>
      </c>
      <c r="AB18" s="243">
        <v>0</v>
      </c>
      <c r="AC18" s="243">
        <v>0</v>
      </c>
      <c r="AD18" s="91">
        <f t="shared" si="3"/>
        <v>1</v>
      </c>
      <c r="AE18" s="91">
        <f t="shared" si="3"/>
        <v>2</v>
      </c>
      <c r="AF18" s="243">
        <v>0</v>
      </c>
      <c r="AG18" s="243">
        <v>0</v>
      </c>
      <c r="AH18" s="243">
        <v>1</v>
      </c>
      <c r="AI18" s="243">
        <v>0</v>
      </c>
      <c r="AJ18" s="243">
        <v>0</v>
      </c>
      <c r="AK18" s="243">
        <v>0</v>
      </c>
      <c r="AL18" s="91">
        <f t="shared" si="4"/>
        <v>1</v>
      </c>
      <c r="AM18" s="91">
        <f t="shared" si="4"/>
        <v>0</v>
      </c>
      <c r="AN18" s="243">
        <v>1</v>
      </c>
      <c r="AO18" s="243"/>
      <c r="AP18" s="243">
        <v>0</v>
      </c>
      <c r="AQ18" s="243"/>
      <c r="AR18" s="243">
        <v>0</v>
      </c>
      <c r="AS18" s="243"/>
      <c r="AT18" s="91">
        <f t="shared" si="5"/>
        <v>1</v>
      </c>
      <c r="AU18" s="91">
        <f t="shared" si="5"/>
        <v>0</v>
      </c>
      <c r="AV18" s="245">
        <f t="shared" si="6"/>
        <v>3</v>
      </c>
      <c r="AW18" s="81">
        <f>+W18</f>
        <v>1</v>
      </c>
      <c r="AX18" s="81">
        <f>+W18+AE18</f>
        <v>3</v>
      </c>
      <c r="AY18" s="81">
        <f>+W18+AE18+AM18</f>
        <v>3</v>
      </c>
      <c r="AZ18" s="386">
        <f>+W18+AE18+AM18+AU18</f>
        <v>3</v>
      </c>
      <c r="BA18" s="42">
        <f>IF(AND(AW18&gt;0,AV18&gt;0),AW18/AV18,0)</f>
        <v>0.33333333333333331</v>
      </c>
      <c r="BB18" s="42">
        <f t="shared" si="0"/>
        <v>1</v>
      </c>
      <c r="BC18" s="42">
        <f t="shared" si="0"/>
        <v>1</v>
      </c>
      <c r="BD18" s="42">
        <f t="shared" si="0"/>
        <v>1</v>
      </c>
      <c r="BE18" s="339">
        <f>(IF(AND(AW18&gt;0,$F18&gt;0),AW18/$F18,0))</f>
        <v>0.1</v>
      </c>
      <c r="BF18" s="339">
        <f t="shared" si="1"/>
        <v>0.3</v>
      </c>
      <c r="BG18" s="339">
        <f t="shared" si="1"/>
        <v>0.3</v>
      </c>
      <c r="BH18" s="387">
        <f t="shared" si="1"/>
        <v>0.3</v>
      </c>
    </row>
    <row r="19" spans="2:60" ht="22.8">
      <c r="B19" s="1491"/>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575"/>
      <c r="AX19" s="1539" t="s">
        <v>19</v>
      </c>
      <c r="AY19" s="1573"/>
      <c r="AZ19" s="1573"/>
      <c r="BA19" s="70">
        <f t="shared" ref="BA19:BD19" si="7">AVERAGE(BA16:BA18)</f>
        <v>0.1111111111111111</v>
      </c>
      <c r="BB19" s="70">
        <f t="shared" si="7"/>
        <v>0.5</v>
      </c>
      <c r="BC19" s="70">
        <f t="shared" si="7"/>
        <v>0.5</v>
      </c>
      <c r="BD19" s="336">
        <f t="shared" si="7"/>
        <v>0.5</v>
      </c>
      <c r="BE19" s="1565"/>
      <c r="BF19" s="1566"/>
      <c r="BG19" s="1566"/>
      <c r="BH19" s="1567"/>
    </row>
    <row r="20" spans="2:60">
      <c r="B20" s="1512"/>
      <c r="C20" s="1512"/>
      <c r="D20" s="1512"/>
      <c r="E20" s="1512"/>
      <c r="F20" s="1512"/>
      <c r="G20" s="1512"/>
      <c r="H20" s="247"/>
      <c r="I20" s="248"/>
      <c r="J20" s="248"/>
      <c r="K20" s="248"/>
      <c r="L20" s="248"/>
      <c r="M20" s="248"/>
      <c r="N20" s="248"/>
      <c r="O20" s="248"/>
    </row>
    <row r="21" spans="2:60">
      <c r="B21" s="248"/>
      <c r="C21" s="248"/>
      <c r="D21" s="1524"/>
      <c r="E21" s="1524"/>
      <c r="F21" s="1524"/>
      <c r="G21" s="1524"/>
      <c r="H21" s="1524"/>
      <c r="I21" s="1524"/>
      <c r="J21" s="1524"/>
      <c r="K21" s="1524"/>
      <c r="L21" s="1524"/>
      <c r="M21" s="1524"/>
      <c r="N21" s="1524"/>
      <c r="O21" s="1524"/>
    </row>
    <row r="22" spans="2:60" ht="15.6" customHeight="1">
      <c r="B22" s="77" t="s">
        <v>26</v>
      </c>
      <c r="C22" s="249">
        <v>44224</v>
      </c>
      <c r="D22" s="250"/>
      <c r="E22" s="1514" t="s">
        <v>50</v>
      </c>
      <c r="F22" s="1578" t="s">
        <v>656</v>
      </c>
      <c r="G22" s="1579"/>
      <c r="H22" s="1579"/>
      <c r="I22" s="1579"/>
      <c r="J22" s="1580"/>
      <c r="K22" s="251"/>
      <c r="L22" s="1568"/>
      <c r="M22" s="1568"/>
      <c r="N22" s="1568"/>
      <c r="O22" s="1577"/>
    </row>
    <row r="23" spans="2:60" ht="15.6">
      <c r="B23" s="248"/>
      <c r="C23" s="248"/>
      <c r="D23" s="251"/>
      <c r="E23" s="1514"/>
      <c r="F23" s="1581"/>
      <c r="G23" s="1582"/>
      <c r="H23" s="1582"/>
      <c r="I23" s="1582"/>
      <c r="J23" s="1583"/>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688" t="s">
        <v>983</v>
      </c>
      <c r="C26" s="248"/>
      <c r="D26" s="248"/>
      <c r="E26" s="248"/>
      <c r="F26" s="248"/>
      <c r="G26" s="247"/>
      <c r="H26" s="247"/>
      <c r="I26" s="1576"/>
      <c r="J26" s="1576"/>
      <c r="K26" s="1576"/>
      <c r="L26" s="1576"/>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1576"/>
      <c r="J28" s="1576"/>
      <c r="K28" s="1576"/>
      <c r="L28" s="1576"/>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1576"/>
      <c r="J30" s="1576"/>
      <c r="K30" s="1576"/>
      <c r="L30" s="1576"/>
      <c r="M30" s="252"/>
      <c r="N30" s="252"/>
      <c r="O30" s="252"/>
    </row>
  </sheetData>
  <sheetProtection algorithmName="SHA-512" hashValue="RGF9IovicJifyadwsJEi3aXaKokpezfKFzYvsFp2alE5e+Gr3t1+5n3lE/YfYxTlIxBcey8IYlr/krPDRqjXeQ==" saltValue="EXjQrnlcwZnXFK8UWpHgCQ==" spinCount="100000" sheet="1" objects="1" scenarios="1"/>
  <mergeCells count="70">
    <mergeCell ref="I30:L30"/>
    <mergeCell ref="B20:G20"/>
    <mergeCell ref="D21:O21"/>
    <mergeCell ref="E22:E23"/>
    <mergeCell ref="L22:O22"/>
    <mergeCell ref="I26:L26"/>
    <mergeCell ref="I28:L28"/>
    <mergeCell ref="F22:J23"/>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AW12:AZ12"/>
    <mergeCell ref="BA12:BD12"/>
    <mergeCell ref="B12:B15"/>
    <mergeCell ref="C12:C15"/>
    <mergeCell ref="AX19:AZ19"/>
    <mergeCell ref="AD14:AE14"/>
    <mergeCell ref="AF14:AG14"/>
    <mergeCell ref="AH14:AI14"/>
    <mergeCell ref="AJ14:AK14"/>
    <mergeCell ref="AL14:AM14"/>
    <mergeCell ref="AN14:AO14"/>
    <mergeCell ref="AP14:AQ14"/>
    <mergeCell ref="AR14:AS14"/>
    <mergeCell ref="AT14:AU14"/>
    <mergeCell ref="B16:B18"/>
    <mergeCell ref="B19:AW19"/>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BE19:BH19"/>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s>
  <conditionalFormatting sqref="BA16:BD18">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00B050"/>
  </sheetPr>
  <dimension ref="B1:BI34"/>
  <sheetViews>
    <sheetView showGridLines="0" zoomScale="55" zoomScaleNormal="55"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1"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1"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1"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1"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1" ht="21">
      <c r="B8" s="216" t="s">
        <v>45</v>
      </c>
      <c r="C8" s="1584" t="s">
        <v>81</v>
      </c>
      <c r="D8" s="1584"/>
      <c r="E8" s="217"/>
      <c r="F8" s="217"/>
      <c r="G8" s="217"/>
      <c r="H8" s="217"/>
      <c r="I8" s="217"/>
      <c r="J8" s="217"/>
      <c r="K8" s="217"/>
      <c r="L8" s="217"/>
      <c r="M8" s="217"/>
      <c r="N8" s="217"/>
      <c r="O8" s="217"/>
      <c r="AW8" s="238"/>
      <c r="AX8" s="238"/>
      <c r="AY8" s="238"/>
      <c r="AZ8" s="238"/>
      <c r="BA8" s="238"/>
      <c r="BB8" s="238"/>
      <c r="BC8" s="238"/>
      <c r="BD8" s="238"/>
    </row>
    <row r="9" spans="2:61" ht="96.75" customHeight="1">
      <c r="B9" s="216" t="s">
        <v>34</v>
      </c>
      <c r="C9" s="1535" t="s">
        <v>392</v>
      </c>
      <c r="D9" s="1536"/>
      <c r="E9" s="217"/>
      <c r="F9" s="217"/>
      <c r="G9" s="217"/>
      <c r="H9" s="217"/>
      <c r="I9" s="217"/>
      <c r="J9" s="217"/>
      <c r="K9" s="217"/>
      <c r="L9" s="217"/>
      <c r="M9" s="217"/>
      <c r="N9" s="217"/>
      <c r="O9" s="217"/>
      <c r="AW9" s="238"/>
      <c r="AX9" s="238"/>
      <c r="AY9" s="238"/>
      <c r="AZ9" s="238"/>
      <c r="BA9" s="238"/>
      <c r="BB9" s="238"/>
      <c r="BC9" s="238"/>
      <c r="BD9" s="238"/>
    </row>
    <row r="10" spans="2:61"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28.95"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1"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1"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1" ht="18"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1" ht="76.5" customHeight="1">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INSTITUCIONAL'!C49</f>
        <v>4.1. Implementar el 100% de las acciones que impulsen el crecimiento del Modelo de Madurez de Transformación Digital de la Entidad, aplicando los principios , lineamientos y normas que lo enmarcan.</v>
      </c>
      <c r="D16" s="31" t="str">
        <f>+'01-FR-03 POA INSTITUCIONAL'!D49</f>
        <v>4.1.1 Implementar el 100 % de los proyectos de hoja de ruta del Plan Estratégico de Tecnología de la Información de tal forma que se optimicen los procesos de la Entidad</v>
      </c>
      <c r="E16" s="52">
        <f>+'01-FR-03 POA INSTITUCIONAL'!E49</f>
        <v>0.14000000000000001</v>
      </c>
      <c r="F16" s="338">
        <f>+'01-FR-03 POA INSTITUCIONAL'!F49</f>
        <v>1</v>
      </c>
      <c r="G16" s="161">
        <f>+'01-FR-03 POA INSTITUCIONAL'!K49</f>
        <v>0.3</v>
      </c>
      <c r="H16" s="140" t="str">
        <f>+'01-FR-03 POA INSTITUCIONAL'!G49</f>
        <v>S.I.</v>
      </c>
      <c r="I16" s="254" t="str">
        <f>+'01-FR-03 POA INSTITUCIONAL'!H49</f>
        <v>Porcentaje de proyectos implementados de acuerdo al plan de tecnologías de la Información</v>
      </c>
      <c r="J16" s="241" t="s">
        <v>368</v>
      </c>
      <c r="K16" s="241" t="s">
        <v>369</v>
      </c>
      <c r="L16" s="221" t="s">
        <v>370</v>
      </c>
      <c r="M16" s="255" t="s">
        <v>371</v>
      </c>
      <c r="N16" s="241" t="s">
        <v>372</v>
      </c>
      <c r="O16" s="82" t="str">
        <f>+'01-FR-03 POA INSTITUCIONAL'!J49</f>
        <v>Dirección de Tecnologías de la  Información y las Comunicaciones</v>
      </c>
      <c r="P16" s="349">
        <v>0.01</v>
      </c>
      <c r="Q16" s="349">
        <v>0.01</v>
      </c>
      <c r="R16" s="349">
        <v>0.02</v>
      </c>
      <c r="S16" s="349">
        <v>0.02</v>
      </c>
      <c r="T16" s="349">
        <v>0.03</v>
      </c>
      <c r="U16" s="349">
        <v>0.03</v>
      </c>
      <c r="V16" s="350">
        <f t="shared" ref="V16:W22" si="0">P16+R16+T16</f>
        <v>0.06</v>
      </c>
      <c r="W16" s="350">
        <f t="shared" si="0"/>
        <v>0.06</v>
      </c>
      <c r="X16" s="349">
        <v>0.03</v>
      </c>
      <c r="Y16" s="349">
        <v>0.03</v>
      </c>
      <c r="Z16" s="349">
        <v>0.03</v>
      </c>
      <c r="AA16" s="349">
        <v>0.03</v>
      </c>
      <c r="AB16" s="349">
        <v>0.03</v>
      </c>
      <c r="AC16" s="349">
        <v>0.03</v>
      </c>
      <c r="AD16" s="350">
        <f t="shared" ref="AD16:AE22" si="1">X16+Z16+AB16</f>
        <v>0.09</v>
      </c>
      <c r="AE16" s="350">
        <f t="shared" si="1"/>
        <v>0.09</v>
      </c>
      <c r="AF16" s="349">
        <v>0.03</v>
      </c>
      <c r="AG16" s="349">
        <v>0.03</v>
      </c>
      <c r="AH16" s="349">
        <v>0.03</v>
      </c>
      <c r="AI16" s="349">
        <v>0.03</v>
      </c>
      <c r="AJ16" s="349">
        <v>0.03</v>
      </c>
      <c r="AK16" s="349">
        <v>0.03</v>
      </c>
      <c r="AL16" s="350">
        <f t="shared" ref="AL16:AM22" si="2">AF16+AH16+AJ16</f>
        <v>0.09</v>
      </c>
      <c r="AM16" s="350">
        <f t="shared" si="2"/>
        <v>0.09</v>
      </c>
      <c r="AN16" s="349">
        <v>0.03</v>
      </c>
      <c r="AO16" s="349"/>
      <c r="AP16" s="349">
        <v>0.02</v>
      </c>
      <c r="AQ16" s="349"/>
      <c r="AR16" s="349">
        <v>0.01</v>
      </c>
      <c r="AS16" s="349"/>
      <c r="AT16" s="350">
        <f>AN16+AP16+AR16</f>
        <v>6.0000000000000005E-2</v>
      </c>
      <c r="AU16" s="350">
        <f>AO16+AQ16+AS16</f>
        <v>0</v>
      </c>
      <c r="AV16" s="350">
        <f>V16+AD16+AL16+AT16</f>
        <v>0.3</v>
      </c>
      <c r="AW16" s="65">
        <f t="shared" ref="AW16:AW22" si="3">+W16</f>
        <v>0.06</v>
      </c>
      <c r="AX16" s="65">
        <f t="shared" ref="AX16:AX22" si="4">+W16+AE16</f>
        <v>0.15</v>
      </c>
      <c r="AY16" s="65">
        <f t="shared" ref="AY16:AY22" si="5">+W16+AE16+AM16</f>
        <v>0.24</v>
      </c>
      <c r="AZ16" s="377">
        <f t="shared" ref="AZ16:AZ22" si="6">+W16+AE16+AM16+AU16</f>
        <v>0.24</v>
      </c>
      <c r="BA16" s="436">
        <f>IF(AND(AW16&gt;0,$AV16&gt;0),AW16/$AV16,0)</f>
        <v>0.2</v>
      </c>
      <c r="BB16" s="437">
        <f t="shared" ref="BB16:BD22" si="7">IF(AND(AX16&gt;0,$AV16&gt;0),AX16/$AV16,0)</f>
        <v>0.5</v>
      </c>
      <c r="BC16" s="437">
        <f t="shared" si="7"/>
        <v>0.8</v>
      </c>
      <c r="BD16" s="437">
        <f t="shared" si="7"/>
        <v>0.8</v>
      </c>
      <c r="BE16" s="339">
        <f>(IF(AND(AW16&gt;0,$F16&gt;0),AW16/$F16,0))</f>
        <v>0.06</v>
      </c>
      <c r="BF16" s="339">
        <f t="shared" ref="BF16:BH22" si="8">(IF(AND(AX16&gt;0,$F16&gt;0),AX16/$F16,0))</f>
        <v>0.15</v>
      </c>
      <c r="BG16" s="339">
        <f t="shared" si="8"/>
        <v>0.24</v>
      </c>
      <c r="BH16" s="387">
        <f t="shared" si="8"/>
        <v>0.24</v>
      </c>
      <c r="BI16" s="340"/>
    </row>
    <row r="17" spans="2:60" ht="84.75" customHeight="1">
      <c r="B17" s="1542"/>
      <c r="C17" s="1542"/>
      <c r="D17" s="31" t="str">
        <f>+'01-FR-03 POA INSTITUCIONAL'!D50</f>
        <v>4.1.2 Ejecutar en un 100 % las actividades programadas en el plan de Seguridad de la Información, garantizando la disponibilidad, confiabilidad e integridad de los activos de información</v>
      </c>
      <c r="E17" s="52">
        <f>+'01-FR-03 POA INSTITUCIONAL'!E50</f>
        <v>0.14000000000000001</v>
      </c>
      <c r="F17" s="338">
        <f>+'01-FR-03 POA INSTITUCIONAL'!F50</f>
        <v>1</v>
      </c>
      <c r="G17" s="161">
        <f>+'01-FR-03 POA INSTITUCIONAL'!K50</f>
        <v>0.3</v>
      </c>
      <c r="H17" s="140" t="str">
        <f>+'01-FR-03 POA INSTITUCIONAL'!G50</f>
        <v>S.I.</v>
      </c>
      <c r="I17" s="254" t="str">
        <f>+'01-FR-03 POA INSTITUCIONAL'!H50</f>
        <v>Porcentaje de actividades ejecutadas de acuerdo al plan de Seguridad de información</v>
      </c>
      <c r="J17" s="241" t="s">
        <v>373</v>
      </c>
      <c r="K17" s="241" t="s">
        <v>374</v>
      </c>
      <c r="L17" s="221" t="s">
        <v>375</v>
      </c>
      <c r="M17" s="255" t="s">
        <v>371</v>
      </c>
      <c r="N17" s="241" t="s">
        <v>376</v>
      </c>
      <c r="O17" s="524" t="str">
        <f>+'01-FR-03 POA INSTITUCIONAL'!J50</f>
        <v>Dirección de Tecnologías de la  Información y las Comunicaciones</v>
      </c>
      <c r="P17" s="349">
        <v>0.01</v>
      </c>
      <c r="Q17" s="349">
        <v>0.01</v>
      </c>
      <c r="R17" s="349">
        <v>0.02</v>
      </c>
      <c r="S17" s="349">
        <v>0.02</v>
      </c>
      <c r="T17" s="349">
        <v>0.03</v>
      </c>
      <c r="U17" s="349">
        <v>0.03</v>
      </c>
      <c r="V17" s="350">
        <f t="shared" si="0"/>
        <v>0.06</v>
      </c>
      <c r="W17" s="350">
        <f t="shared" si="0"/>
        <v>0.06</v>
      </c>
      <c r="X17" s="349">
        <v>0.03</v>
      </c>
      <c r="Y17" s="349">
        <v>0.03</v>
      </c>
      <c r="Z17" s="349">
        <v>0.03</v>
      </c>
      <c r="AA17" s="349">
        <v>0.03</v>
      </c>
      <c r="AB17" s="349">
        <v>0.03</v>
      </c>
      <c r="AC17" s="349">
        <v>0.03</v>
      </c>
      <c r="AD17" s="350">
        <f t="shared" si="1"/>
        <v>0.09</v>
      </c>
      <c r="AE17" s="350">
        <f t="shared" si="1"/>
        <v>0.09</v>
      </c>
      <c r="AF17" s="349">
        <v>0.03</v>
      </c>
      <c r="AG17" s="349">
        <v>0.03</v>
      </c>
      <c r="AH17" s="349">
        <v>0.03</v>
      </c>
      <c r="AI17" s="349">
        <v>0.03</v>
      </c>
      <c r="AJ17" s="349">
        <v>0.03</v>
      </c>
      <c r="AK17" s="349">
        <v>0.03</v>
      </c>
      <c r="AL17" s="350">
        <f t="shared" si="2"/>
        <v>0.09</v>
      </c>
      <c r="AM17" s="350">
        <f t="shared" si="2"/>
        <v>0.09</v>
      </c>
      <c r="AN17" s="349">
        <v>0.02</v>
      </c>
      <c r="AO17" s="349"/>
      <c r="AP17" s="349">
        <v>0.02</v>
      </c>
      <c r="AQ17" s="349"/>
      <c r="AR17" s="349">
        <v>0.02</v>
      </c>
      <c r="AS17" s="349"/>
      <c r="AT17" s="350">
        <f t="shared" ref="AT17:AU22" si="9">AN17+AP17+AR17</f>
        <v>0.06</v>
      </c>
      <c r="AU17" s="350">
        <f t="shared" si="9"/>
        <v>0</v>
      </c>
      <c r="AV17" s="350">
        <f t="shared" ref="AV17:AV22" si="10">V17+AD17+AL17+AT17</f>
        <v>0.3</v>
      </c>
      <c r="AW17" s="65">
        <f t="shared" si="3"/>
        <v>0.06</v>
      </c>
      <c r="AX17" s="65">
        <f t="shared" si="4"/>
        <v>0.15</v>
      </c>
      <c r="AY17" s="65">
        <f t="shared" si="5"/>
        <v>0.24</v>
      </c>
      <c r="AZ17" s="377">
        <f t="shared" si="6"/>
        <v>0.24</v>
      </c>
      <c r="BA17" s="347">
        <f t="shared" ref="BA17:BA22" si="11">IF(AND(AW17&gt;0,AV17&gt;0),AW17/AV17,0)</f>
        <v>0.2</v>
      </c>
      <c r="BB17" s="437">
        <f t="shared" si="7"/>
        <v>0.5</v>
      </c>
      <c r="BC17" s="437">
        <f t="shared" si="7"/>
        <v>0.8</v>
      </c>
      <c r="BD17" s="437">
        <f t="shared" si="7"/>
        <v>0.8</v>
      </c>
      <c r="BE17" s="339">
        <f t="shared" ref="BE17:BE22" si="12">(IF(AND(AW17&gt;0,$F17&gt;0),AW17/$F17,0))</f>
        <v>0.06</v>
      </c>
      <c r="BF17" s="339">
        <f t="shared" si="8"/>
        <v>0.15</v>
      </c>
      <c r="BG17" s="339">
        <f t="shared" si="8"/>
        <v>0.24</v>
      </c>
      <c r="BH17" s="387">
        <f t="shared" si="8"/>
        <v>0.24</v>
      </c>
    </row>
    <row r="18" spans="2:60" ht="107.25" customHeight="1">
      <c r="B18" s="1542"/>
      <c r="C18" s="1542"/>
      <c r="D18" s="31" t="str">
        <f>+'01-FR-03 POA INSTITUCIONAL'!D51</f>
        <v>4.1.3 Realizar el 100% de las actividades definidas en la estrategia de servicios ciudadanos digitales, que permitan acceder a los tramites y servicios de la Entidad a través de canales digitales rápidos, fiables y seguros</v>
      </c>
      <c r="E18" s="52">
        <f>+'01-FR-03 POA INSTITUCIONAL'!E51</f>
        <v>0.14000000000000001</v>
      </c>
      <c r="F18" s="338">
        <f>+'01-FR-03 POA INSTITUCIONAL'!F51</f>
        <v>1</v>
      </c>
      <c r="G18" s="161">
        <f>+'01-FR-03 POA INSTITUCIONAL'!K51</f>
        <v>0.3</v>
      </c>
      <c r="H18" s="140" t="str">
        <f>+'01-FR-03 POA INSTITUCIONAL'!G51</f>
        <v>S.I.</v>
      </c>
      <c r="I18" s="254" t="str">
        <f>+'01-FR-03 POA INSTITUCIONAL'!H51</f>
        <v xml:space="preserve">Porcentaje de actividades ejecutadas  en la estrategia de servicios ciudadanos digitales </v>
      </c>
      <c r="J18" s="241" t="s">
        <v>373</v>
      </c>
      <c r="K18" s="241" t="s">
        <v>377</v>
      </c>
      <c r="L18" s="221" t="s">
        <v>378</v>
      </c>
      <c r="M18" s="255" t="s">
        <v>371</v>
      </c>
      <c r="N18" s="241" t="s">
        <v>376</v>
      </c>
      <c r="O18" s="524" t="str">
        <f>+'01-FR-03 POA INSTITUCIONAL'!J51</f>
        <v>Dirección de Tecnologías de la  Información y las Comunicaciones</v>
      </c>
      <c r="P18" s="349">
        <v>0.01</v>
      </c>
      <c r="Q18" s="349">
        <v>0.01</v>
      </c>
      <c r="R18" s="349">
        <v>0.02</v>
      </c>
      <c r="S18" s="349">
        <v>0.02</v>
      </c>
      <c r="T18" s="349">
        <v>0.02</v>
      </c>
      <c r="U18" s="349">
        <v>0.02</v>
      </c>
      <c r="V18" s="350">
        <f t="shared" si="0"/>
        <v>0.05</v>
      </c>
      <c r="W18" s="350">
        <f t="shared" si="0"/>
        <v>0.05</v>
      </c>
      <c r="X18" s="349">
        <v>0.03</v>
      </c>
      <c r="Y18" s="349">
        <v>0.03</v>
      </c>
      <c r="Z18" s="349">
        <v>0.03</v>
      </c>
      <c r="AA18" s="349">
        <v>0.03</v>
      </c>
      <c r="AB18" s="349">
        <v>0.03</v>
      </c>
      <c r="AC18" s="349">
        <v>0.03</v>
      </c>
      <c r="AD18" s="350">
        <f t="shared" si="1"/>
        <v>0.09</v>
      </c>
      <c r="AE18" s="350">
        <f t="shared" si="1"/>
        <v>0.09</v>
      </c>
      <c r="AF18" s="349">
        <v>0.03</v>
      </c>
      <c r="AG18" s="349">
        <v>0.03</v>
      </c>
      <c r="AH18" s="349">
        <v>0.03</v>
      </c>
      <c r="AI18" s="349">
        <v>0.03</v>
      </c>
      <c r="AJ18" s="349">
        <v>0.03</v>
      </c>
      <c r="AK18" s="349">
        <v>0.03</v>
      </c>
      <c r="AL18" s="350">
        <f t="shared" si="2"/>
        <v>0.09</v>
      </c>
      <c r="AM18" s="350">
        <f t="shared" si="2"/>
        <v>0.09</v>
      </c>
      <c r="AN18" s="349">
        <v>0.03</v>
      </c>
      <c r="AO18" s="349"/>
      <c r="AP18" s="349">
        <v>0.02</v>
      </c>
      <c r="AQ18" s="349"/>
      <c r="AR18" s="349">
        <v>0.02</v>
      </c>
      <c r="AS18" s="349"/>
      <c r="AT18" s="350">
        <f t="shared" si="9"/>
        <v>7.0000000000000007E-2</v>
      </c>
      <c r="AU18" s="350">
        <f t="shared" si="9"/>
        <v>0</v>
      </c>
      <c r="AV18" s="350">
        <f t="shared" si="10"/>
        <v>0.30000000000000004</v>
      </c>
      <c r="AW18" s="65">
        <f t="shared" si="3"/>
        <v>0.05</v>
      </c>
      <c r="AX18" s="65">
        <f t="shared" si="4"/>
        <v>0.14000000000000001</v>
      </c>
      <c r="AY18" s="65">
        <f t="shared" si="5"/>
        <v>0.23</v>
      </c>
      <c r="AZ18" s="377">
        <f t="shared" si="6"/>
        <v>0.23</v>
      </c>
      <c r="BA18" s="347">
        <f t="shared" si="11"/>
        <v>0.16666666666666666</v>
      </c>
      <c r="BB18" s="437">
        <f t="shared" si="7"/>
        <v>0.46666666666666662</v>
      </c>
      <c r="BC18" s="437">
        <f t="shared" si="7"/>
        <v>0.76666666666666661</v>
      </c>
      <c r="BD18" s="437">
        <f t="shared" si="7"/>
        <v>0.76666666666666661</v>
      </c>
      <c r="BE18" s="339">
        <f t="shared" si="12"/>
        <v>0.05</v>
      </c>
      <c r="BF18" s="339">
        <f t="shared" si="8"/>
        <v>0.14000000000000001</v>
      </c>
      <c r="BG18" s="339">
        <f t="shared" si="8"/>
        <v>0.23</v>
      </c>
      <c r="BH18" s="387">
        <f t="shared" si="8"/>
        <v>0.23</v>
      </c>
    </row>
    <row r="19" spans="2:60" ht="80.25" customHeight="1">
      <c r="B19" s="1542"/>
      <c r="C19" s="1542"/>
      <c r="D19" s="31" t="str">
        <f>+'01-FR-03 POA INSTITUCIONAL'!D52</f>
        <v>4.1.4 Implementar en un 100% los lineamientos que adopte la Entidad para mejorar la gestión de datos que facilite la toma de decisiones</v>
      </c>
      <c r="E19" s="52">
        <f>+'01-FR-03 POA INSTITUCIONAL'!E52</f>
        <v>0.14000000000000001</v>
      </c>
      <c r="F19" s="338">
        <f>+'01-FR-03 POA INSTITUCIONAL'!F52</f>
        <v>1</v>
      </c>
      <c r="G19" s="161">
        <f>+'01-FR-03 POA INSTITUCIONAL'!K52</f>
        <v>0.3</v>
      </c>
      <c r="H19" s="140" t="str">
        <f>+'01-FR-03 POA INSTITUCIONAL'!G52</f>
        <v>S.I.</v>
      </c>
      <c r="I19" s="254" t="str">
        <f>+'01-FR-03 POA INSTITUCIONAL'!H52</f>
        <v>Porcentaje de lineamientos adoptados  en la estrategia de gestión de datos</v>
      </c>
      <c r="J19" s="241" t="s">
        <v>379</v>
      </c>
      <c r="K19" s="241" t="s">
        <v>377</v>
      </c>
      <c r="L19" s="221" t="s">
        <v>380</v>
      </c>
      <c r="M19" s="255" t="s">
        <v>371</v>
      </c>
      <c r="N19" s="241" t="s">
        <v>376</v>
      </c>
      <c r="O19" s="524" t="str">
        <f>+'01-FR-03 POA INSTITUCIONAL'!J52</f>
        <v>Dirección de Tecnologías de la  Información y las Comunicaciones</v>
      </c>
      <c r="P19" s="349">
        <v>0.01</v>
      </c>
      <c r="Q19" s="349">
        <v>0.01</v>
      </c>
      <c r="R19" s="349">
        <v>0.02</v>
      </c>
      <c r="S19" s="349">
        <v>0.02</v>
      </c>
      <c r="T19" s="349">
        <v>0.02</v>
      </c>
      <c r="U19" s="349">
        <v>0.02</v>
      </c>
      <c r="V19" s="350">
        <f t="shared" si="0"/>
        <v>0.05</v>
      </c>
      <c r="W19" s="350">
        <f t="shared" si="0"/>
        <v>0.05</v>
      </c>
      <c r="X19" s="349">
        <v>0.03</v>
      </c>
      <c r="Y19" s="349">
        <v>0.03</v>
      </c>
      <c r="Z19" s="349">
        <v>0.03</v>
      </c>
      <c r="AA19" s="349">
        <v>0.03</v>
      </c>
      <c r="AB19" s="349">
        <v>0.03</v>
      </c>
      <c r="AC19" s="349">
        <v>0.03</v>
      </c>
      <c r="AD19" s="350">
        <f t="shared" si="1"/>
        <v>0.09</v>
      </c>
      <c r="AE19" s="350">
        <f t="shared" si="1"/>
        <v>0.09</v>
      </c>
      <c r="AF19" s="349">
        <v>0.03</v>
      </c>
      <c r="AG19" s="349">
        <v>0.03</v>
      </c>
      <c r="AH19" s="349">
        <v>0.03</v>
      </c>
      <c r="AI19" s="349">
        <v>0.03</v>
      </c>
      <c r="AJ19" s="349">
        <v>0.03</v>
      </c>
      <c r="AK19" s="349">
        <v>0.03</v>
      </c>
      <c r="AL19" s="350">
        <f t="shared" si="2"/>
        <v>0.09</v>
      </c>
      <c r="AM19" s="350">
        <f t="shared" si="2"/>
        <v>0.09</v>
      </c>
      <c r="AN19" s="349">
        <v>0.03</v>
      </c>
      <c r="AO19" s="349"/>
      <c r="AP19" s="349">
        <v>0.02</v>
      </c>
      <c r="AQ19" s="349"/>
      <c r="AR19" s="349">
        <v>0.02</v>
      </c>
      <c r="AS19" s="349"/>
      <c r="AT19" s="350">
        <f t="shared" si="9"/>
        <v>7.0000000000000007E-2</v>
      </c>
      <c r="AU19" s="350">
        <f t="shared" si="9"/>
        <v>0</v>
      </c>
      <c r="AV19" s="350">
        <f t="shared" si="10"/>
        <v>0.30000000000000004</v>
      </c>
      <c r="AW19" s="65">
        <f t="shared" si="3"/>
        <v>0.05</v>
      </c>
      <c r="AX19" s="65">
        <f t="shared" si="4"/>
        <v>0.14000000000000001</v>
      </c>
      <c r="AY19" s="65">
        <f t="shared" si="5"/>
        <v>0.23</v>
      </c>
      <c r="AZ19" s="377">
        <f t="shared" si="6"/>
        <v>0.23</v>
      </c>
      <c r="BA19" s="347">
        <f t="shared" si="11"/>
        <v>0.16666666666666666</v>
      </c>
      <c r="BB19" s="437">
        <f t="shared" si="7"/>
        <v>0.46666666666666662</v>
      </c>
      <c r="BC19" s="437">
        <f t="shared" si="7"/>
        <v>0.76666666666666661</v>
      </c>
      <c r="BD19" s="437">
        <f t="shared" si="7"/>
        <v>0.76666666666666661</v>
      </c>
      <c r="BE19" s="339">
        <f t="shared" si="12"/>
        <v>0.05</v>
      </c>
      <c r="BF19" s="339">
        <f t="shared" si="8"/>
        <v>0.14000000000000001</v>
      </c>
      <c r="BG19" s="339">
        <f t="shared" si="8"/>
        <v>0.23</v>
      </c>
      <c r="BH19" s="387">
        <f t="shared" si="8"/>
        <v>0.23</v>
      </c>
    </row>
    <row r="20" spans="2:60" ht="88.5" customHeight="1">
      <c r="B20" s="1542"/>
      <c r="C20" s="1542"/>
      <c r="D20" s="31" t="str">
        <f>+'01-FR-03 POA INSTITUCIONAL'!D53</f>
        <v>4.1.5 Desarrollar el 100% de los requerimientos prioritarios a Sistemas de Información y de apoyo que garanticen el óptimo desempeño de la gestión de los procesos en la Entidad</v>
      </c>
      <c r="E20" s="52">
        <f>+'01-FR-03 POA INSTITUCIONAL'!E53</f>
        <v>0.14000000000000001</v>
      </c>
      <c r="F20" s="338">
        <f>+'01-FR-03 POA INSTITUCIONAL'!F53</f>
        <v>1</v>
      </c>
      <c r="G20" s="161">
        <f>+'01-FR-03 POA INSTITUCIONAL'!K53</f>
        <v>0.3</v>
      </c>
      <c r="H20" s="140" t="str">
        <f>+'01-FR-03 POA INSTITUCIONAL'!G53</f>
        <v>S.I.</v>
      </c>
      <c r="I20" s="254" t="str">
        <f>+'01-FR-03 POA INSTITUCIONAL'!H53</f>
        <v>Cantidad de requerimientos prioritarios desarrollados para los sistemas información</v>
      </c>
      <c r="J20" s="241" t="s">
        <v>393</v>
      </c>
      <c r="K20" s="241" t="s">
        <v>381</v>
      </c>
      <c r="L20" s="221" t="s">
        <v>382</v>
      </c>
      <c r="M20" s="255" t="s">
        <v>371</v>
      </c>
      <c r="N20" s="241" t="s">
        <v>376</v>
      </c>
      <c r="O20" s="524" t="str">
        <f>+'01-FR-03 POA INSTITUCIONAL'!J53</f>
        <v>Dirección de Tecnologías de la  Información y las Comunicaciones</v>
      </c>
      <c r="P20" s="349">
        <v>0.01</v>
      </c>
      <c r="Q20" s="349">
        <v>0.01</v>
      </c>
      <c r="R20" s="349">
        <v>0.02</v>
      </c>
      <c r="S20" s="349">
        <v>0.02</v>
      </c>
      <c r="T20" s="349">
        <v>0.02</v>
      </c>
      <c r="U20" s="349">
        <v>0.02</v>
      </c>
      <c r="V20" s="350">
        <f t="shared" si="0"/>
        <v>0.05</v>
      </c>
      <c r="W20" s="350">
        <f t="shared" si="0"/>
        <v>0.05</v>
      </c>
      <c r="X20" s="349">
        <v>0.03</v>
      </c>
      <c r="Y20" s="349">
        <v>0.03</v>
      </c>
      <c r="Z20" s="349">
        <v>0.03</v>
      </c>
      <c r="AA20" s="349">
        <v>0.03</v>
      </c>
      <c r="AB20" s="349">
        <v>0.03</v>
      </c>
      <c r="AC20" s="349">
        <v>0.03</v>
      </c>
      <c r="AD20" s="350">
        <f t="shared" si="1"/>
        <v>0.09</v>
      </c>
      <c r="AE20" s="350">
        <f t="shared" si="1"/>
        <v>0.09</v>
      </c>
      <c r="AF20" s="349">
        <v>0.03</v>
      </c>
      <c r="AG20" s="349">
        <v>0.03</v>
      </c>
      <c r="AH20" s="349">
        <v>0.03</v>
      </c>
      <c r="AI20" s="349">
        <v>0.03</v>
      </c>
      <c r="AJ20" s="349">
        <v>0.03</v>
      </c>
      <c r="AK20" s="349">
        <v>0.03</v>
      </c>
      <c r="AL20" s="350">
        <f t="shared" si="2"/>
        <v>0.09</v>
      </c>
      <c r="AM20" s="350">
        <f t="shared" si="2"/>
        <v>0.09</v>
      </c>
      <c r="AN20" s="349">
        <v>0.03</v>
      </c>
      <c r="AO20" s="349"/>
      <c r="AP20" s="349">
        <v>0.03</v>
      </c>
      <c r="AQ20" s="349"/>
      <c r="AR20" s="349">
        <v>0.01</v>
      </c>
      <c r="AS20" s="349"/>
      <c r="AT20" s="350">
        <f t="shared" si="9"/>
        <v>6.9999999999999993E-2</v>
      </c>
      <c r="AU20" s="350">
        <f t="shared" si="9"/>
        <v>0</v>
      </c>
      <c r="AV20" s="350">
        <f t="shared" si="10"/>
        <v>0.3</v>
      </c>
      <c r="AW20" s="65">
        <f t="shared" si="3"/>
        <v>0.05</v>
      </c>
      <c r="AX20" s="65">
        <f t="shared" si="4"/>
        <v>0.14000000000000001</v>
      </c>
      <c r="AY20" s="65">
        <f t="shared" si="5"/>
        <v>0.23</v>
      </c>
      <c r="AZ20" s="377">
        <f t="shared" si="6"/>
        <v>0.23</v>
      </c>
      <c r="BA20" s="347">
        <f t="shared" si="11"/>
        <v>0.16666666666666669</v>
      </c>
      <c r="BB20" s="437">
        <f t="shared" si="7"/>
        <v>0.46666666666666673</v>
      </c>
      <c r="BC20" s="437">
        <f t="shared" si="7"/>
        <v>0.76666666666666672</v>
      </c>
      <c r="BD20" s="437">
        <f t="shared" si="7"/>
        <v>0.76666666666666672</v>
      </c>
      <c r="BE20" s="339">
        <f t="shared" si="12"/>
        <v>0.05</v>
      </c>
      <c r="BF20" s="339">
        <f t="shared" si="8"/>
        <v>0.14000000000000001</v>
      </c>
      <c r="BG20" s="339">
        <f t="shared" si="8"/>
        <v>0.23</v>
      </c>
      <c r="BH20" s="387">
        <f t="shared" si="8"/>
        <v>0.23</v>
      </c>
    </row>
    <row r="21" spans="2:60" ht="91.5" customHeight="1">
      <c r="B21" s="1542"/>
      <c r="C21" s="1542"/>
      <c r="D21" s="31" t="str">
        <f>+'01-FR-03 POA INSTITUCIONAL'!D54</f>
        <v>4.1.6 Implementar en un 100% las actividades programadas en el plan de uso y apropiación de las TIC, para una óptima gestión institucional</v>
      </c>
      <c r="E21" s="52">
        <f>+'01-FR-03 POA INSTITUCIONAL'!E54</f>
        <v>0.15</v>
      </c>
      <c r="F21" s="338">
        <f>+'01-FR-03 POA INSTITUCIONAL'!F54</f>
        <v>1</v>
      </c>
      <c r="G21" s="161">
        <f>+'01-FR-03 POA INSTITUCIONAL'!K54</f>
        <v>0.3</v>
      </c>
      <c r="H21" s="140" t="str">
        <f>+'01-FR-03 POA INSTITUCIONAL'!G54</f>
        <v>S.I.</v>
      </c>
      <c r="I21" s="254" t="str">
        <f>+'01-FR-03 POA INSTITUCIONAL'!H54</f>
        <v>Porcentaje de actividades ejecutadas del plan de uso y apropiación</v>
      </c>
      <c r="J21" s="241" t="s">
        <v>383</v>
      </c>
      <c r="K21" s="241" t="s">
        <v>384</v>
      </c>
      <c r="L21" s="221" t="s">
        <v>385</v>
      </c>
      <c r="M21" s="255" t="s">
        <v>371</v>
      </c>
      <c r="N21" s="241" t="s">
        <v>386</v>
      </c>
      <c r="O21" s="524" t="str">
        <f>+'01-FR-03 POA INSTITUCIONAL'!J54</f>
        <v>Dirección de Tecnologías de la  Información y las Comunicaciones</v>
      </c>
      <c r="P21" s="349">
        <v>0.01</v>
      </c>
      <c r="Q21" s="349">
        <v>0.01</v>
      </c>
      <c r="R21" s="349">
        <v>0.02</v>
      </c>
      <c r="S21" s="349">
        <v>0.02</v>
      </c>
      <c r="T21" s="349">
        <v>0.02</v>
      </c>
      <c r="U21" s="349">
        <v>0.02</v>
      </c>
      <c r="V21" s="350">
        <f t="shared" si="0"/>
        <v>0.05</v>
      </c>
      <c r="W21" s="350">
        <f t="shared" si="0"/>
        <v>0.05</v>
      </c>
      <c r="X21" s="349">
        <v>0.03</v>
      </c>
      <c r="Y21" s="349">
        <v>0.03</v>
      </c>
      <c r="Z21" s="349">
        <v>0.03</v>
      </c>
      <c r="AA21" s="349">
        <v>0.03</v>
      </c>
      <c r="AB21" s="349">
        <v>0.03</v>
      </c>
      <c r="AC21" s="349">
        <v>0.03</v>
      </c>
      <c r="AD21" s="350">
        <f t="shared" si="1"/>
        <v>0.09</v>
      </c>
      <c r="AE21" s="350">
        <f t="shared" si="1"/>
        <v>0.09</v>
      </c>
      <c r="AF21" s="349">
        <v>0.03</v>
      </c>
      <c r="AG21" s="349">
        <v>0.03</v>
      </c>
      <c r="AH21" s="349">
        <v>0.03</v>
      </c>
      <c r="AI21" s="349">
        <v>0.03</v>
      </c>
      <c r="AJ21" s="349">
        <v>0.03</v>
      </c>
      <c r="AK21" s="349">
        <v>0.03</v>
      </c>
      <c r="AL21" s="350">
        <f t="shared" si="2"/>
        <v>0.09</v>
      </c>
      <c r="AM21" s="350">
        <f t="shared" si="2"/>
        <v>0.09</v>
      </c>
      <c r="AN21" s="349">
        <v>0.03</v>
      </c>
      <c r="AO21" s="349"/>
      <c r="AP21" s="349">
        <v>0.02</v>
      </c>
      <c r="AQ21" s="349"/>
      <c r="AR21" s="349">
        <v>0.02</v>
      </c>
      <c r="AS21" s="349"/>
      <c r="AT21" s="350">
        <f t="shared" si="9"/>
        <v>7.0000000000000007E-2</v>
      </c>
      <c r="AU21" s="350">
        <f t="shared" si="9"/>
        <v>0</v>
      </c>
      <c r="AV21" s="350">
        <f t="shared" si="10"/>
        <v>0.30000000000000004</v>
      </c>
      <c r="AW21" s="65">
        <f t="shared" si="3"/>
        <v>0.05</v>
      </c>
      <c r="AX21" s="65">
        <f t="shared" si="4"/>
        <v>0.14000000000000001</v>
      </c>
      <c r="AY21" s="65">
        <f t="shared" si="5"/>
        <v>0.23</v>
      </c>
      <c r="AZ21" s="377">
        <f t="shared" si="6"/>
        <v>0.23</v>
      </c>
      <c r="BA21" s="347">
        <f t="shared" si="11"/>
        <v>0.16666666666666666</v>
      </c>
      <c r="BB21" s="437">
        <f t="shared" si="7"/>
        <v>0.46666666666666662</v>
      </c>
      <c r="BC21" s="437">
        <f t="shared" si="7"/>
        <v>0.76666666666666661</v>
      </c>
      <c r="BD21" s="437">
        <f t="shared" si="7"/>
        <v>0.76666666666666661</v>
      </c>
      <c r="BE21" s="339">
        <f t="shared" si="12"/>
        <v>0.05</v>
      </c>
      <c r="BF21" s="339">
        <f t="shared" si="8"/>
        <v>0.14000000000000001</v>
      </c>
      <c r="BG21" s="339">
        <f t="shared" si="8"/>
        <v>0.23</v>
      </c>
      <c r="BH21" s="387">
        <f t="shared" si="8"/>
        <v>0.23</v>
      </c>
    </row>
    <row r="22" spans="2:60" ht="81.75" customHeight="1">
      <c r="B22" s="1574"/>
      <c r="C22" s="1574"/>
      <c r="D22" s="31" t="str">
        <f>+'01-FR-03 POA INSTITUCIONAL'!D55</f>
        <v>4.1.7 Optimizar la infraestructura tecnológica cumpliendo el 100% de las actividades de la hoja de ruta proyectada para garantizar la prestación continua de los servicios en la Entidad</v>
      </c>
      <c r="E22" s="52">
        <f>+'01-FR-03 POA INSTITUCIONAL'!E55</f>
        <v>0.15</v>
      </c>
      <c r="F22" s="338">
        <f>+'01-FR-03 POA INSTITUCIONAL'!F55</f>
        <v>1</v>
      </c>
      <c r="G22" s="161">
        <f>+'01-FR-03 POA INSTITUCIONAL'!K55</f>
        <v>0.3</v>
      </c>
      <c r="H22" s="140" t="str">
        <f>+'01-FR-03 POA INSTITUCIONAL'!G55</f>
        <v>S.I</v>
      </c>
      <c r="I22" s="254" t="str">
        <f>+'01-FR-03 POA INSTITUCIONAL'!H55</f>
        <v>Porcentaje de actividades ejecutadas de la hoja de ruta de optimización tecnológica</v>
      </c>
      <c r="J22" s="241" t="s">
        <v>388</v>
      </c>
      <c r="K22" s="241" t="s">
        <v>389</v>
      </c>
      <c r="L22" s="221" t="s">
        <v>390</v>
      </c>
      <c r="M22" s="255" t="s">
        <v>371</v>
      </c>
      <c r="N22" s="241" t="s">
        <v>376</v>
      </c>
      <c r="O22" s="524" t="str">
        <f>+'01-FR-03 POA INSTITUCIONAL'!J55</f>
        <v>Dirección de Tecnologías de la  Información y las Comunicaciones</v>
      </c>
      <c r="P22" s="349">
        <v>0.01</v>
      </c>
      <c r="Q22" s="349">
        <v>0.01</v>
      </c>
      <c r="R22" s="349">
        <v>0.02</v>
      </c>
      <c r="S22" s="349">
        <v>0.02</v>
      </c>
      <c r="T22" s="349">
        <v>0.03</v>
      </c>
      <c r="U22" s="349">
        <v>0.03</v>
      </c>
      <c r="V22" s="350">
        <f t="shared" si="0"/>
        <v>0.06</v>
      </c>
      <c r="W22" s="350">
        <f t="shared" si="0"/>
        <v>0.06</v>
      </c>
      <c r="X22" s="349">
        <v>0.03</v>
      </c>
      <c r="Y22" s="349">
        <v>0.03</v>
      </c>
      <c r="Z22" s="349">
        <v>0.03</v>
      </c>
      <c r="AA22" s="349">
        <v>0.03</v>
      </c>
      <c r="AB22" s="349">
        <v>0.03</v>
      </c>
      <c r="AC22" s="349">
        <v>0.03</v>
      </c>
      <c r="AD22" s="350">
        <f t="shared" si="1"/>
        <v>0.09</v>
      </c>
      <c r="AE22" s="350">
        <f t="shared" si="1"/>
        <v>0.09</v>
      </c>
      <c r="AF22" s="349">
        <v>0.03</v>
      </c>
      <c r="AG22" s="349">
        <v>0.03</v>
      </c>
      <c r="AH22" s="349">
        <v>0.03</v>
      </c>
      <c r="AI22" s="349">
        <v>0.03</v>
      </c>
      <c r="AJ22" s="349">
        <v>0.03</v>
      </c>
      <c r="AK22" s="349">
        <v>0.03</v>
      </c>
      <c r="AL22" s="350">
        <f t="shared" si="2"/>
        <v>0.09</v>
      </c>
      <c r="AM22" s="350">
        <f t="shared" si="2"/>
        <v>0.09</v>
      </c>
      <c r="AN22" s="349">
        <v>0.03</v>
      </c>
      <c r="AO22" s="349"/>
      <c r="AP22" s="349">
        <v>0.03</v>
      </c>
      <c r="AQ22" s="349"/>
      <c r="AR22" s="349">
        <v>0</v>
      </c>
      <c r="AS22" s="349"/>
      <c r="AT22" s="350">
        <f t="shared" si="9"/>
        <v>0.06</v>
      </c>
      <c r="AU22" s="350">
        <f t="shared" si="9"/>
        <v>0</v>
      </c>
      <c r="AV22" s="350">
        <f t="shared" si="10"/>
        <v>0.3</v>
      </c>
      <c r="AW22" s="65">
        <f t="shared" si="3"/>
        <v>0.06</v>
      </c>
      <c r="AX22" s="65">
        <f t="shared" si="4"/>
        <v>0.15</v>
      </c>
      <c r="AY22" s="65">
        <f t="shared" si="5"/>
        <v>0.24</v>
      </c>
      <c r="AZ22" s="377">
        <f t="shared" si="6"/>
        <v>0.24</v>
      </c>
      <c r="BA22" s="347">
        <f t="shared" si="11"/>
        <v>0.2</v>
      </c>
      <c r="BB22" s="437">
        <f t="shared" si="7"/>
        <v>0.5</v>
      </c>
      <c r="BC22" s="437">
        <f t="shared" si="7"/>
        <v>0.8</v>
      </c>
      <c r="BD22" s="437">
        <f t="shared" si="7"/>
        <v>0.8</v>
      </c>
      <c r="BE22" s="339">
        <f t="shared" si="12"/>
        <v>0.06</v>
      </c>
      <c r="BF22" s="339">
        <f t="shared" si="8"/>
        <v>0.15</v>
      </c>
      <c r="BG22" s="339">
        <f t="shared" si="8"/>
        <v>0.24</v>
      </c>
      <c r="BH22" s="387">
        <f t="shared" si="8"/>
        <v>0.24</v>
      </c>
    </row>
    <row r="23" spans="2:60" ht="22.8">
      <c r="B23" s="1491"/>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c r="AT23" s="1492"/>
      <c r="AU23" s="1492"/>
      <c r="AV23" s="1492"/>
      <c r="AW23" s="1575"/>
      <c r="AX23" s="1539" t="s">
        <v>19</v>
      </c>
      <c r="AY23" s="1573"/>
      <c r="AZ23" s="1573"/>
      <c r="BA23" s="70">
        <f t="shared" ref="BA23:BD23" si="13">AVERAGE(BA16:BA22)</f>
        <v>0.18095238095238095</v>
      </c>
      <c r="BB23" s="70">
        <f t="shared" si="13"/>
        <v>0.48095238095238096</v>
      </c>
      <c r="BC23" s="70">
        <f t="shared" si="13"/>
        <v>0.78095238095238084</v>
      </c>
      <c r="BD23" s="70">
        <f t="shared" si="13"/>
        <v>0.78095238095238084</v>
      </c>
      <c r="BE23" s="1518"/>
      <c r="BF23" s="1519"/>
      <c r="BG23" s="1519"/>
      <c r="BH23" s="1520"/>
    </row>
    <row r="24" spans="2:60">
      <c r="B24" s="1512"/>
      <c r="C24" s="1512"/>
      <c r="D24" s="1512"/>
      <c r="E24" s="1512"/>
      <c r="F24" s="1512"/>
      <c r="G24" s="1512"/>
      <c r="H24" s="247"/>
      <c r="I24" s="248"/>
      <c r="J24" s="248"/>
      <c r="K24" s="248"/>
      <c r="L24" s="248"/>
      <c r="M24" s="248"/>
      <c r="N24" s="248"/>
      <c r="O24" s="248"/>
    </row>
    <row r="25" spans="2:60">
      <c r="B25" s="248"/>
      <c r="C25" s="248"/>
      <c r="D25" s="1524"/>
      <c r="E25" s="1524"/>
      <c r="F25" s="1524"/>
      <c r="G25" s="1524"/>
      <c r="H25" s="1524"/>
      <c r="I25" s="1524"/>
      <c r="J25" s="1524"/>
      <c r="K25" s="1524"/>
      <c r="L25" s="1524"/>
      <c r="M25" s="1524"/>
      <c r="N25" s="1524"/>
      <c r="O25" s="1524"/>
    </row>
    <row r="26" spans="2:60" ht="15.6">
      <c r="B26" s="77" t="s">
        <v>26</v>
      </c>
      <c r="C26" s="249">
        <v>44224</v>
      </c>
      <c r="D26" s="250"/>
      <c r="E26" s="1514" t="s">
        <v>50</v>
      </c>
      <c r="F26" s="364"/>
      <c r="G26" s="1515" t="s">
        <v>394</v>
      </c>
      <c r="H26" s="1515"/>
      <c r="I26" s="1515"/>
      <c r="J26" s="1515"/>
      <c r="K26" s="251"/>
      <c r="L26" s="1568"/>
      <c r="M26" s="1568"/>
      <c r="N26" s="1568"/>
      <c r="O26" s="1577"/>
    </row>
    <row r="27" spans="2:60" ht="15.6">
      <c r="B27" s="248"/>
      <c r="C27" s="248"/>
      <c r="D27" s="251"/>
      <c r="E27" s="1514"/>
      <c r="F27" s="364"/>
      <c r="G27" s="1515"/>
      <c r="H27" s="1515"/>
      <c r="I27" s="1515"/>
      <c r="J27" s="1515"/>
      <c r="K27" s="248"/>
      <c r="L27" s="248"/>
      <c r="M27" s="248"/>
      <c r="N27" s="248"/>
      <c r="O27" s="248"/>
    </row>
    <row r="28" spans="2:60" ht="15.6">
      <c r="B28" s="77" t="s">
        <v>49</v>
      </c>
      <c r="C28" s="249"/>
      <c r="D28" s="248"/>
      <c r="E28" s="248"/>
      <c r="F28" s="248"/>
      <c r="K28" s="248"/>
      <c r="L28" s="248"/>
      <c r="M28" s="248"/>
      <c r="N28" s="248"/>
      <c r="O28" s="248"/>
    </row>
    <row r="29" spans="2:60">
      <c r="B29" s="248"/>
      <c r="C29" s="248"/>
      <c r="D29" s="248"/>
      <c r="E29" s="248"/>
      <c r="F29" s="248"/>
      <c r="K29" s="248"/>
      <c r="L29" s="248"/>
      <c r="M29" s="248"/>
      <c r="N29" s="248"/>
      <c r="O29" s="248"/>
    </row>
    <row r="30" spans="2:60">
      <c r="B30" s="688" t="s">
        <v>983</v>
      </c>
      <c r="C30" s="248"/>
      <c r="D30" s="248"/>
      <c r="E30" s="248"/>
      <c r="F30" s="248"/>
      <c r="G30" s="247"/>
      <c r="H30" s="247"/>
      <c r="I30" s="1576"/>
      <c r="J30" s="1576"/>
      <c r="K30" s="1576"/>
      <c r="L30" s="1576"/>
      <c r="M30" s="252"/>
      <c r="N30" s="252"/>
      <c r="O30" s="252"/>
    </row>
    <row r="31" spans="2:60">
      <c r="B31" s="248"/>
      <c r="C31" s="248"/>
      <c r="D31" s="248"/>
      <c r="E31" s="248"/>
      <c r="F31" s="248"/>
      <c r="G31" s="247"/>
      <c r="H31" s="247"/>
      <c r="I31" s="248"/>
      <c r="J31" s="248"/>
      <c r="K31" s="253"/>
      <c r="L31" s="248"/>
      <c r="M31" s="248"/>
      <c r="N31" s="248"/>
      <c r="O31" s="248"/>
    </row>
    <row r="32" spans="2:60">
      <c r="B32" s="248"/>
      <c r="C32" s="248"/>
      <c r="D32" s="248"/>
      <c r="E32" s="248"/>
      <c r="F32" s="248"/>
      <c r="G32" s="247"/>
      <c r="H32" s="247"/>
      <c r="I32" s="1576"/>
      <c r="J32" s="1576"/>
      <c r="K32" s="1576"/>
      <c r="L32" s="1576"/>
      <c r="M32" s="252"/>
      <c r="N32" s="252"/>
      <c r="O32" s="252"/>
    </row>
    <row r="33" spans="2:15">
      <c r="B33" s="248"/>
      <c r="C33" s="248"/>
      <c r="D33" s="248"/>
      <c r="E33" s="248"/>
      <c r="F33" s="248"/>
      <c r="G33" s="247"/>
      <c r="H33" s="247"/>
      <c r="I33" s="248"/>
      <c r="J33" s="248"/>
      <c r="K33" s="253"/>
      <c r="L33" s="248"/>
      <c r="M33" s="248"/>
      <c r="N33" s="248"/>
      <c r="O33" s="248"/>
    </row>
    <row r="34" spans="2:15">
      <c r="B34" s="248"/>
      <c r="C34" s="248"/>
      <c r="D34" s="248"/>
      <c r="E34" s="248"/>
      <c r="F34" s="248"/>
      <c r="G34" s="247"/>
      <c r="H34" s="247"/>
      <c r="I34" s="1576"/>
      <c r="J34" s="1576"/>
      <c r="K34" s="1576"/>
      <c r="L34" s="1576"/>
      <c r="M34" s="252"/>
      <c r="N34" s="252"/>
      <c r="O34" s="252"/>
    </row>
  </sheetData>
  <sheetProtection algorithmName="SHA-512" hashValue="Q/qzykCkal9HwWCfS6Vu5zY2HUNgK1VYw7BjaEeuGAf3+vm6TpX1immE3pE6Jo8Oj+SjgvdqpktseX7M0pcdFA==" saltValue="wgfhBZNH8j2f5GSChrTOBw==" spinCount="100000" sheet="1" objects="1" scenarios="1"/>
  <mergeCells count="71">
    <mergeCell ref="I32:L32"/>
    <mergeCell ref="I34:L34"/>
    <mergeCell ref="B24:G24"/>
    <mergeCell ref="AX23:AZ23"/>
    <mergeCell ref="D25:O25"/>
    <mergeCell ref="E26:E27"/>
    <mergeCell ref="G26:J27"/>
    <mergeCell ref="L26:O26"/>
    <mergeCell ref="I30:L30"/>
    <mergeCell ref="B23:AW23"/>
    <mergeCell ref="B16:B22"/>
    <mergeCell ref="C16:C22"/>
    <mergeCell ref="AD14:AE14"/>
    <mergeCell ref="G12:G15"/>
    <mergeCell ref="F12:F15"/>
    <mergeCell ref="N12:N15"/>
    <mergeCell ref="O12:O15"/>
    <mergeCell ref="H12:H15"/>
    <mergeCell ref="K12:K15"/>
    <mergeCell ref="L12:L15"/>
    <mergeCell ref="M12:M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00B050"/>
  </sheetPr>
  <dimension ref="B1:BH29"/>
  <sheetViews>
    <sheetView showGridLines="0" zoomScale="70" zoomScaleNormal="70" workbookViewId="0">
      <selection activeCell="F31" sqref="F31"/>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509" t="s">
        <v>736</v>
      </c>
      <c r="C2" s="1587" t="s">
        <v>118</v>
      </c>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c r="BF2" s="1589"/>
      <c r="BG2" s="37" t="s">
        <v>31</v>
      </c>
      <c r="BH2" s="38"/>
    </row>
    <row r="3" spans="2:60" ht="15.6" customHeight="1">
      <c r="B3" s="1510"/>
      <c r="C3" s="1590"/>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1"/>
      <c r="AR3" s="1591"/>
      <c r="AS3" s="1591"/>
      <c r="AT3" s="1591"/>
      <c r="AU3" s="1591"/>
      <c r="AV3" s="1591"/>
      <c r="AW3" s="1591"/>
      <c r="AX3" s="1591"/>
      <c r="AY3" s="1591"/>
      <c r="AZ3" s="1591"/>
      <c r="BA3" s="1591"/>
      <c r="BB3" s="1591"/>
      <c r="BC3" s="1591"/>
      <c r="BD3" s="1591"/>
      <c r="BE3" s="1591"/>
      <c r="BF3" s="1592"/>
      <c r="BG3" s="13" t="s">
        <v>28</v>
      </c>
      <c r="BH3" s="6" t="s">
        <v>29</v>
      </c>
    </row>
    <row r="4" spans="2:60" ht="15" customHeight="1">
      <c r="B4" s="1510"/>
      <c r="C4" s="1590"/>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1"/>
      <c r="AW4" s="1591"/>
      <c r="AX4" s="1591"/>
      <c r="AY4" s="1591"/>
      <c r="AZ4" s="1591"/>
      <c r="BA4" s="1591"/>
      <c r="BB4" s="1591"/>
      <c r="BC4" s="1591"/>
      <c r="BD4" s="1591"/>
      <c r="BE4" s="1591"/>
      <c r="BF4" s="1592"/>
      <c r="BG4" s="213">
        <v>5</v>
      </c>
      <c r="BH4" s="30" t="s">
        <v>702</v>
      </c>
    </row>
    <row r="5" spans="2:60" ht="15.6" customHeight="1">
      <c r="B5" s="1510"/>
      <c r="C5" s="1590"/>
      <c r="D5" s="1591"/>
      <c r="E5" s="1591"/>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1"/>
      <c r="AE5" s="1591"/>
      <c r="AF5" s="1591"/>
      <c r="AG5" s="1591"/>
      <c r="AH5" s="1591"/>
      <c r="AI5" s="1591"/>
      <c r="AJ5" s="1591"/>
      <c r="AK5" s="1591"/>
      <c r="AL5" s="1591"/>
      <c r="AM5" s="1591"/>
      <c r="AN5" s="1591"/>
      <c r="AO5" s="1591"/>
      <c r="AP5" s="1591"/>
      <c r="AQ5" s="1591"/>
      <c r="AR5" s="1591"/>
      <c r="AS5" s="1591"/>
      <c r="AT5" s="1591"/>
      <c r="AU5" s="1591"/>
      <c r="AV5" s="1591"/>
      <c r="AW5" s="1591"/>
      <c r="AX5" s="1591"/>
      <c r="AY5" s="1591"/>
      <c r="AZ5" s="1591"/>
      <c r="BA5" s="1591"/>
      <c r="BB5" s="1591"/>
      <c r="BC5" s="1591"/>
      <c r="BD5" s="1591"/>
      <c r="BE5" s="1591"/>
      <c r="BF5" s="1592"/>
      <c r="BG5" s="214" t="s">
        <v>30</v>
      </c>
      <c r="BH5" s="215"/>
    </row>
    <row r="6" spans="2:60" ht="15.6" customHeight="1" thickBot="1">
      <c r="B6" s="1511"/>
      <c r="C6" s="1593"/>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c r="AU6" s="1594"/>
      <c r="AV6" s="1594"/>
      <c r="AW6" s="1594"/>
      <c r="AX6" s="1594"/>
      <c r="AY6" s="1594"/>
      <c r="AZ6" s="1594"/>
      <c r="BA6" s="1594"/>
      <c r="BB6" s="1594"/>
      <c r="BC6" s="1594"/>
      <c r="BD6" s="1594"/>
      <c r="BE6" s="1594"/>
      <c r="BF6" s="1595"/>
      <c r="BG6" s="1500">
        <v>44306</v>
      </c>
      <c r="BH6" s="150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602"/>
      <c r="AX7" s="1603"/>
      <c r="AY7" s="1603"/>
      <c r="AZ7" s="1603"/>
      <c r="BA7" s="1604"/>
      <c r="BB7" s="39"/>
      <c r="BC7" s="39"/>
      <c r="BD7" s="39"/>
      <c r="BE7" s="12"/>
      <c r="BF7" s="12"/>
    </row>
    <row r="8" spans="2:60" ht="24.6">
      <c r="B8" s="19" t="s">
        <v>45</v>
      </c>
      <c r="C8" s="1605" t="s">
        <v>86</v>
      </c>
      <c r="D8" s="1605"/>
      <c r="E8" s="17"/>
      <c r="F8" s="17"/>
      <c r="G8" s="17"/>
      <c r="H8" s="17"/>
      <c r="I8" s="17"/>
      <c r="J8" s="17"/>
      <c r="K8" s="17"/>
      <c r="L8" s="17"/>
      <c r="M8" s="17"/>
      <c r="N8" s="17"/>
      <c r="O8" s="17"/>
      <c r="AW8" s="39"/>
      <c r="AX8" s="39"/>
      <c r="AY8" s="39"/>
      <c r="AZ8" s="39"/>
      <c r="BA8" s="39"/>
      <c r="BB8" s="39"/>
      <c r="BC8" s="39"/>
      <c r="BD8" s="39"/>
    </row>
    <row r="9" spans="2:60" ht="50.25" customHeight="1">
      <c r="B9" s="19" t="s">
        <v>34</v>
      </c>
      <c r="C9" s="1606" t="s">
        <v>281</v>
      </c>
      <c r="D9" s="1607"/>
      <c r="E9" s="17"/>
      <c r="F9" s="17"/>
      <c r="G9" s="17"/>
      <c r="H9" s="17"/>
      <c r="I9" s="17"/>
      <c r="J9" s="17"/>
      <c r="K9" s="17"/>
      <c r="L9" s="17"/>
      <c r="M9" s="17"/>
      <c r="N9" s="17"/>
      <c r="O9" s="17"/>
      <c r="AW9" s="39"/>
      <c r="AX9" s="39"/>
      <c r="AY9" s="39"/>
      <c r="AZ9" s="39"/>
      <c r="BA9" s="39"/>
      <c r="BB9" s="39"/>
      <c r="BC9" s="39"/>
      <c r="BD9" s="39"/>
    </row>
    <row r="10" spans="2:60" ht="24.6">
      <c r="B10" s="19" t="s">
        <v>101</v>
      </c>
      <c r="C10" s="1585">
        <v>2021</v>
      </c>
      <c r="D10" s="1586"/>
      <c r="E10" s="17"/>
      <c r="F10" s="17"/>
      <c r="G10" s="17"/>
      <c r="H10" s="17"/>
      <c r="I10" s="17"/>
      <c r="J10" s="17"/>
      <c r="K10" s="17"/>
      <c r="L10" s="17"/>
      <c r="M10" s="17"/>
      <c r="N10" s="17"/>
      <c r="O10" s="17"/>
      <c r="AW10" s="39"/>
      <c r="AX10" s="39"/>
      <c r="AY10" s="39"/>
      <c r="AZ10" s="39"/>
      <c r="BA10" s="39"/>
      <c r="BB10" s="39"/>
      <c r="BC10" s="39"/>
      <c r="BD10" s="39"/>
    </row>
    <row r="11" spans="2:60">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1253" t="s">
        <v>0</v>
      </c>
      <c r="C12" s="1253" t="s">
        <v>52</v>
      </c>
      <c r="D12" s="1253" t="s">
        <v>761</v>
      </c>
      <c r="E12" s="1253" t="s">
        <v>61</v>
      </c>
      <c r="F12" s="1253" t="s">
        <v>732</v>
      </c>
      <c r="G12" s="1253" t="s">
        <v>58</v>
      </c>
      <c r="H12" s="1253" t="s">
        <v>25</v>
      </c>
      <c r="I12" s="1253" t="s">
        <v>60</v>
      </c>
      <c r="J12" s="1253" t="s">
        <v>39</v>
      </c>
      <c r="K12" s="1253" t="s">
        <v>36</v>
      </c>
      <c r="L12" s="1253" t="s">
        <v>20</v>
      </c>
      <c r="M12" s="1253" t="s">
        <v>51</v>
      </c>
      <c r="N12" s="1253" t="s">
        <v>40</v>
      </c>
      <c r="O12" s="1253" t="s">
        <v>42</v>
      </c>
      <c r="P12" s="1240" t="s">
        <v>112</v>
      </c>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598" t="s">
        <v>62</v>
      </c>
      <c r="AW12" s="1550" t="s">
        <v>733</v>
      </c>
      <c r="AX12" s="1551"/>
      <c r="AY12" s="1551"/>
      <c r="AZ12" s="1552"/>
      <c r="BA12" s="1556" t="s">
        <v>734</v>
      </c>
      <c r="BB12" s="1557"/>
      <c r="BC12" s="1557"/>
      <c r="BD12" s="1558"/>
      <c r="BE12" s="1543" t="s">
        <v>735</v>
      </c>
      <c r="BF12" s="1544"/>
      <c r="BG12" s="1544"/>
      <c r="BH12" s="1545"/>
    </row>
    <row r="13" spans="2:60" ht="15.6">
      <c r="B13" s="1253"/>
      <c r="C13" s="1253"/>
      <c r="D13" s="1253"/>
      <c r="E13" s="1253"/>
      <c r="F13" s="1253"/>
      <c r="G13" s="1253"/>
      <c r="H13" s="1253"/>
      <c r="I13" s="1253"/>
      <c r="J13" s="1253"/>
      <c r="K13" s="1253"/>
      <c r="L13" s="1253"/>
      <c r="M13" s="1253"/>
      <c r="N13" s="1253"/>
      <c r="O13" s="1253"/>
      <c r="P13" s="1597" t="s">
        <v>21</v>
      </c>
      <c r="Q13" s="1597"/>
      <c r="R13" s="1597"/>
      <c r="S13" s="1597"/>
      <c r="T13" s="1597"/>
      <c r="U13" s="1597"/>
      <c r="V13" s="1597"/>
      <c r="W13" s="1597"/>
      <c r="X13" s="1597" t="s">
        <v>22</v>
      </c>
      <c r="Y13" s="1597"/>
      <c r="Z13" s="1597"/>
      <c r="AA13" s="1597"/>
      <c r="AB13" s="1597"/>
      <c r="AC13" s="1597"/>
      <c r="AD13" s="1597"/>
      <c r="AE13" s="1597"/>
      <c r="AF13" s="1597" t="s">
        <v>23</v>
      </c>
      <c r="AG13" s="1597"/>
      <c r="AH13" s="1597"/>
      <c r="AI13" s="1597"/>
      <c r="AJ13" s="1597"/>
      <c r="AK13" s="1597"/>
      <c r="AL13" s="1597"/>
      <c r="AM13" s="1597"/>
      <c r="AN13" s="1597" t="s">
        <v>24</v>
      </c>
      <c r="AO13" s="1597"/>
      <c r="AP13" s="1597"/>
      <c r="AQ13" s="1597"/>
      <c r="AR13" s="1597"/>
      <c r="AS13" s="1597"/>
      <c r="AT13" s="1597"/>
      <c r="AU13" s="1597"/>
      <c r="AV13" s="1598"/>
      <c r="AW13" s="1608" t="s">
        <v>119</v>
      </c>
      <c r="AX13" s="1608" t="s">
        <v>22</v>
      </c>
      <c r="AY13" s="1608" t="s">
        <v>120</v>
      </c>
      <c r="AZ13" s="1608" t="s">
        <v>121</v>
      </c>
      <c r="BA13" s="1611" t="s">
        <v>119</v>
      </c>
      <c r="BB13" s="1611" t="s">
        <v>122</v>
      </c>
      <c r="BC13" s="1611" t="s">
        <v>123</v>
      </c>
      <c r="BD13" s="1611" t="s">
        <v>124</v>
      </c>
      <c r="BE13" s="1599" t="s">
        <v>21</v>
      </c>
      <c r="BF13" s="1599" t="s">
        <v>22</v>
      </c>
      <c r="BG13" s="1599" t="s">
        <v>23</v>
      </c>
      <c r="BH13" s="1599" t="s">
        <v>24</v>
      </c>
    </row>
    <row r="14" spans="2:60" ht="15.6">
      <c r="B14" s="1253"/>
      <c r="C14" s="1253"/>
      <c r="D14" s="1253"/>
      <c r="E14" s="1253"/>
      <c r="F14" s="1253"/>
      <c r="G14" s="1253"/>
      <c r="H14" s="1253"/>
      <c r="I14" s="1253"/>
      <c r="J14" s="1253"/>
      <c r="K14" s="1253"/>
      <c r="L14" s="1253"/>
      <c r="M14" s="1253"/>
      <c r="N14" s="1253"/>
      <c r="O14" s="1253"/>
      <c r="P14" s="1596" t="s">
        <v>5</v>
      </c>
      <c r="Q14" s="1596"/>
      <c r="R14" s="1596" t="s">
        <v>6</v>
      </c>
      <c r="S14" s="1596"/>
      <c r="T14" s="1596" t="s">
        <v>7</v>
      </c>
      <c r="U14" s="1596"/>
      <c r="V14" s="1240" t="s">
        <v>8</v>
      </c>
      <c r="W14" s="1240"/>
      <c r="X14" s="1596" t="s">
        <v>27</v>
      </c>
      <c r="Y14" s="1596"/>
      <c r="Z14" s="1596" t="s">
        <v>9</v>
      </c>
      <c r="AA14" s="1596"/>
      <c r="AB14" s="1596" t="s">
        <v>10</v>
      </c>
      <c r="AC14" s="1596"/>
      <c r="AD14" s="1240" t="s">
        <v>8</v>
      </c>
      <c r="AE14" s="1240"/>
      <c r="AF14" s="1596" t="s">
        <v>11</v>
      </c>
      <c r="AG14" s="1596"/>
      <c r="AH14" s="1596" t="s">
        <v>12</v>
      </c>
      <c r="AI14" s="1596"/>
      <c r="AJ14" s="1596" t="s">
        <v>13</v>
      </c>
      <c r="AK14" s="1596"/>
      <c r="AL14" s="1240" t="s">
        <v>8</v>
      </c>
      <c r="AM14" s="1240"/>
      <c r="AN14" s="1596" t="s">
        <v>14</v>
      </c>
      <c r="AO14" s="1596"/>
      <c r="AP14" s="1596" t="s">
        <v>15</v>
      </c>
      <c r="AQ14" s="1596"/>
      <c r="AR14" s="1596" t="s">
        <v>16</v>
      </c>
      <c r="AS14" s="1596"/>
      <c r="AT14" s="1240" t="s">
        <v>8</v>
      </c>
      <c r="AU14" s="1240"/>
      <c r="AV14" s="1598"/>
      <c r="AW14" s="1609"/>
      <c r="AX14" s="1609"/>
      <c r="AY14" s="1609"/>
      <c r="AZ14" s="1609"/>
      <c r="BA14" s="1612"/>
      <c r="BB14" s="1612"/>
      <c r="BC14" s="1612"/>
      <c r="BD14" s="1612"/>
      <c r="BE14" s="1600"/>
      <c r="BF14" s="1600"/>
      <c r="BG14" s="1600"/>
      <c r="BH14" s="1600"/>
    </row>
    <row r="15" spans="2:60" ht="13.2" customHeight="1">
      <c r="B15" s="1253"/>
      <c r="C15" s="1253"/>
      <c r="D15" s="1253"/>
      <c r="E15" s="1253"/>
      <c r="F15" s="1253"/>
      <c r="G15" s="1253"/>
      <c r="H15" s="1253"/>
      <c r="I15" s="1253"/>
      <c r="J15" s="1253"/>
      <c r="K15" s="1253"/>
      <c r="L15" s="1253"/>
      <c r="M15" s="1253"/>
      <c r="N15" s="1253"/>
      <c r="O15" s="1253"/>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598"/>
      <c r="AW15" s="1610"/>
      <c r="AX15" s="1610"/>
      <c r="AY15" s="1610"/>
      <c r="AZ15" s="1610"/>
      <c r="BA15" s="1613"/>
      <c r="BB15" s="1613"/>
      <c r="BC15" s="1613"/>
      <c r="BD15" s="1613"/>
      <c r="BE15" s="1601"/>
      <c r="BF15" s="1601"/>
      <c r="BG15" s="1601"/>
      <c r="BH15" s="1601"/>
    </row>
    <row r="16" spans="2:60" ht="81.599999999999994" customHeight="1">
      <c r="B16" s="151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13" t="str">
        <f>+'01-FR-03 POA INSTITUCIONAL'!C94</f>
        <v>4.6. Desarrollar el 100% de las estrategias de comunicación organizacional y de medios que contribuyan al logro de los objetivos institucionales y al posicionamiento de la Entidad.</v>
      </c>
      <c r="D16" s="51" t="str">
        <f>+'01-FR-03 POA INSTITUCIONAL'!D94</f>
        <v>4.6.1  Desarrollar el 100% de los productos para comunicación y divulgación externa que promuevan y difundan la gestión institucional</v>
      </c>
      <c r="E16" s="52">
        <f>+'01-FR-03 POA INSTITUCIONAL'!E94</f>
        <v>0.5</v>
      </c>
      <c r="F16" s="52">
        <f>+'01-FR-03 POA INSTITUCIONAL'!F94</f>
        <v>1</v>
      </c>
      <c r="G16" s="52">
        <f>+'01-FR-03 POA INSTITUCIONAL'!K94</f>
        <v>1</v>
      </c>
      <c r="H16" s="52">
        <f>+'01-FR-03 POA INSTITUCIONAL'!G94</f>
        <v>1</v>
      </c>
      <c r="I16" s="40" t="str">
        <f>+'01-FR-03 POA INSTITUCIONAL'!H94</f>
        <v>Productos de comunicación externa desarrollados</v>
      </c>
      <c r="J16" s="72" t="s">
        <v>629</v>
      </c>
      <c r="K16" s="61" t="s">
        <v>635</v>
      </c>
      <c r="L16" s="71" t="s">
        <v>630</v>
      </c>
      <c r="M16" s="71" t="s">
        <v>631</v>
      </c>
      <c r="N16" s="71" t="s">
        <v>632</v>
      </c>
      <c r="O16" s="62" t="str">
        <f>+'01-FR-03 POA INSTITUCIONAL'!J94</f>
        <v>Oficina Asesora de Comunicaciones</v>
      </c>
      <c r="P16" s="92">
        <v>1</v>
      </c>
      <c r="Q16" s="337">
        <v>1</v>
      </c>
      <c r="R16" s="92">
        <v>1</v>
      </c>
      <c r="S16" s="337">
        <v>1</v>
      </c>
      <c r="T16" s="92">
        <v>1</v>
      </c>
      <c r="U16" s="337">
        <v>1</v>
      </c>
      <c r="V16" s="89">
        <f>AVERAGE(P16,R16,T16)</f>
        <v>1</v>
      </c>
      <c r="W16" s="89">
        <f>IFERROR(AVERAGE(Q16,S16,U16),0)</f>
        <v>1</v>
      </c>
      <c r="X16" s="92">
        <v>1</v>
      </c>
      <c r="Y16" s="337">
        <v>1</v>
      </c>
      <c r="Z16" s="92">
        <v>1</v>
      </c>
      <c r="AA16" s="337">
        <v>1</v>
      </c>
      <c r="AB16" s="92">
        <v>1</v>
      </c>
      <c r="AC16" s="337">
        <v>1</v>
      </c>
      <c r="AD16" s="89">
        <f>AVERAGE(X16,Z16,AB16)</f>
        <v>1</v>
      </c>
      <c r="AE16" s="89">
        <f>IFERROR(AVERAGE(Y16,AA16,AC16),0)</f>
        <v>1</v>
      </c>
      <c r="AF16" s="92">
        <v>1</v>
      </c>
      <c r="AG16" s="337">
        <v>1</v>
      </c>
      <c r="AH16" s="92">
        <v>1</v>
      </c>
      <c r="AI16" s="337">
        <v>1</v>
      </c>
      <c r="AJ16" s="92">
        <v>1</v>
      </c>
      <c r="AK16" s="1004">
        <v>1</v>
      </c>
      <c r="AL16" s="89">
        <f>AVERAGE(AF16,AH16,AJ16)</f>
        <v>1</v>
      </c>
      <c r="AM16" s="89">
        <f>IFERROR(AVERAGE(AG16,AI16,AK16),0)</f>
        <v>1</v>
      </c>
      <c r="AN16" s="92">
        <v>1</v>
      </c>
      <c r="AO16" s="393">
        <v>0</v>
      </c>
      <c r="AP16" s="92">
        <v>1</v>
      </c>
      <c r="AQ16" s="393">
        <v>0</v>
      </c>
      <c r="AR16" s="92">
        <v>1</v>
      </c>
      <c r="AS16" s="393">
        <v>0</v>
      </c>
      <c r="AT16" s="89">
        <f>AVERAGE(AN16,AP16,AR16)</f>
        <v>1</v>
      </c>
      <c r="AU16" s="89">
        <f>IFERROR(AVERAGE(AO16,AQ16,AS16),0)</f>
        <v>0</v>
      </c>
      <c r="AV16" s="89">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377">
        <f t="shared" ref="AZ16" si="0">IFERROR(IF(OR($AV$16="",$AV$16=0),0,ROUNDDOWN(AVERAGE($Q16,$S16,$U16,$Y16,$AA16,$AC16,$AG16,$AI16,$AK16,$AO16,$AQ16,$AS16),3)),0)</f>
        <v>0.75</v>
      </c>
      <c r="BA16" s="382">
        <f>(IF(AND(AW16&gt;0,$AV16&gt;0),AW16/$AV16,0))*0.25</f>
        <v>0.25</v>
      </c>
      <c r="BB16" s="382">
        <f>(IF(AND(AX16&gt;0,$AV16&gt;0),AX16/$AV16,0))*0.5</f>
        <v>0.5</v>
      </c>
      <c r="BC16" s="382">
        <f>(IF(AND(AY16&gt;0,$AV16&gt;0),AY16/$AV16,0))*0.75</f>
        <v>0.75</v>
      </c>
      <c r="BD16" s="382">
        <f t="shared" ref="BD16" si="1">(IF(AND(AZ16&gt;0,$AV16&gt;0),AZ16/$AV16,0))</f>
        <v>0.75</v>
      </c>
      <c r="BE16" s="394">
        <f>((IF(AND(AW16&gt;0,$F16&gt;0),AW16/$F16,0))/4)*0.25</f>
        <v>6.25E-2</v>
      </c>
      <c r="BF16" s="394">
        <f>((IF(AND(AX16&gt;0,$F16&gt;0),AX16/$F16,0))/4)*0.5</f>
        <v>0.125</v>
      </c>
      <c r="BG16" s="394">
        <f>((IF(AND(AY16&gt;0,$F16&gt;0),AY16/$F16,0))/4)*0.75</f>
        <v>0.1875</v>
      </c>
      <c r="BH16" s="395">
        <f>((IF(AND(AZ16&gt;0,$F16&gt;0),AZ16/$F16,0))/4)</f>
        <v>0.1875</v>
      </c>
    </row>
    <row r="17" spans="2:60" ht="78.599999999999994" customHeight="1">
      <c r="B17" s="1281"/>
      <c r="C17" s="1281"/>
      <c r="D17" s="51" t="str">
        <f>+'01-FR-03 POA INSTITUCIONAL'!D95</f>
        <v>4.6.2 Desarrollar el 100% de los productos para comunicación y divulgación interna que contribuyan a la consecución de objetivos institucionales</v>
      </c>
      <c r="E17" s="52">
        <f>+'01-FR-03 POA INSTITUCIONAL'!E95</f>
        <v>0.5</v>
      </c>
      <c r="F17" s="52">
        <f>+'01-FR-03 POA INSTITUCIONAL'!F95</f>
        <v>1</v>
      </c>
      <c r="G17" s="52">
        <f>+'01-FR-03 POA INSTITUCIONAL'!K95</f>
        <v>1</v>
      </c>
      <c r="H17" s="52">
        <f>+'01-FR-03 POA INSTITUCIONAL'!G95</f>
        <v>1</v>
      </c>
      <c r="I17" s="40" t="str">
        <f>+'01-FR-03 POA INSTITUCIONAL'!H95</f>
        <v>Productos  de comunicación interna
desarrollados</v>
      </c>
      <c r="J17" s="72" t="s">
        <v>633</v>
      </c>
      <c r="K17" s="61" t="s">
        <v>636</v>
      </c>
      <c r="L17" s="71" t="s">
        <v>634</v>
      </c>
      <c r="M17" s="71" t="s">
        <v>631</v>
      </c>
      <c r="N17" s="71" t="s">
        <v>632</v>
      </c>
      <c r="O17" s="62" t="str">
        <f>+'01-FR-03 POA INSTITUCIONAL'!J95</f>
        <v>Oficina Asesora de Comunicaciones</v>
      </c>
      <c r="P17" s="92">
        <v>1</v>
      </c>
      <c r="Q17" s="337">
        <v>1</v>
      </c>
      <c r="R17" s="92">
        <v>1</v>
      </c>
      <c r="S17" s="337">
        <v>1</v>
      </c>
      <c r="T17" s="92">
        <v>1</v>
      </c>
      <c r="U17" s="337">
        <v>1</v>
      </c>
      <c r="V17" s="89">
        <f t="shared" ref="V17" si="2">AVERAGE(P17,R17,T17)</f>
        <v>1</v>
      </c>
      <c r="W17" s="89">
        <f t="shared" ref="W17" si="3">IFERROR(AVERAGE(Q17,S17,U17),0)</f>
        <v>1</v>
      </c>
      <c r="X17" s="92">
        <v>1</v>
      </c>
      <c r="Y17" s="337">
        <v>1</v>
      </c>
      <c r="Z17" s="92">
        <v>1</v>
      </c>
      <c r="AA17" s="337">
        <v>1</v>
      </c>
      <c r="AB17" s="92">
        <v>1</v>
      </c>
      <c r="AC17" s="337">
        <v>1</v>
      </c>
      <c r="AD17" s="89">
        <f t="shared" ref="AD17" si="4">AVERAGE(X17,Z17,AB17)</f>
        <v>1</v>
      </c>
      <c r="AE17" s="89">
        <f t="shared" ref="AE17" si="5">IFERROR(AVERAGE(Y17,AA17,AC17),0)</f>
        <v>1</v>
      </c>
      <c r="AF17" s="92">
        <v>1</v>
      </c>
      <c r="AG17" s="337">
        <v>1</v>
      </c>
      <c r="AH17" s="92">
        <v>1</v>
      </c>
      <c r="AI17" s="337">
        <v>1</v>
      </c>
      <c r="AJ17" s="92">
        <v>1</v>
      </c>
      <c r="AK17" s="1004">
        <v>1</v>
      </c>
      <c r="AL17" s="89">
        <f t="shared" ref="AL17" si="6">AVERAGE(AF17,AH17,AJ17)</f>
        <v>1</v>
      </c>
      <c r="AM17" s="89">
        <f t="shared" ref="AM17" si="7">IFERROR(AVERAGE(AG17,AI17,AK17),0)</f>
        <v>1</v>
      </c>
      <c r="AN17" s="92">
        <v>1</v>
      </c>
      <c r="AO17" s="393">
        <v>0</v>
      </c>
      <c r="AP17" s="92">
        <v>1</v>
      </c>
      <c r="AQ17" s="393">
        <v>0</v>
      </c>
      <c r="AR17" s="92">
        <v>1</v>
      </c>
      <c r="AS17" s="393">
        <v>0</v>
      </c>
      <c r="AT17" s="89">
        <f t="shared" ref="AT17" si="8">AVERAGE(AN17,AP17,AR17)</f>
        <v>1</v>
      </c>
      <c r="AU17" s="89">
        <f t="shared" ref="AU17" si="9">IFERROR(AVERAGE(AO17,AQ17,AS17),0)</f>
        <v>0</v>
      </c>
      <c r="AV17" s="89">
        <f t="shared" ref="AV17" si="10">AVERAGE(P17,R17,T17,X17,Z17,AB17,AF17,AH17,AJ17,AN17,AP17,AR17)</f>
        <v>1</v>
      </c>
      <c r="AW17" s="65">
        <f>IFERROR(IF(OR($AV$17="",$AV$17=0),0,ROUNDDOWN(AVERAGE($Q17,$S17,$U17),3)),0)</f>
        <v>1</v>
      </c>
      <c r="AX17" s="65">
        <f>IFERROR(IF(OR($AV$17="",$AV$17=0),0,ROUNDDOWN(AVERAGE($Q17,$S17,$U17,$Y17,$AA17,$AC17),3)),0)</f>
        <v>1</v>
      </c>
      <c r="AY17" s="65">
        <f>IFERROR(IF(OR($AV$17="",$AV$17=0),0,ROUNDDOWN(AVERAGE($Q17,$S17,$U17,$Y17,$AA17,$AC17,$AG17,$AI17,$AK17),3)),0)</f>
        <v>1</v>
      </c>
      <c r="AZ17" s="377">
        <f>IFERROR(IF(OR($AV$17="",$AV$17=0),0,ROUNDDOWN(AVERAGE($Q17,$S17,$U17,$Y17,$AA17,$AC17,$AG17,$AI17,$AK17,$AO17,$AQ17,$AS17),3)),0)</f>
        <v>0.75</v>
      </c>
      <c r="BA17" s="382">
        <f>(IF(AND(AW17&gt;0,$AV17&gt;0),AW17/$AV17,0))*0.25</f>
        <v>0.25</v>
      </c>
      <c r="BB17" s="382">
        <f>(IF(AND(AX17&gt;0,$AV17&gt;0),AX17/$AV17,0))*0.5</f>
        <v>0.5</v>
      </c>
      <c r="BC17" s="382">
        <f>(IF(AND(AY17&gt;0,$AV17&gt;0),AY17/$AV17,0))*0.75</f>
        <v>0.75</v>
      </c>
      <c r="BD17" s="382">
        <f t="shared" ref="BD17" si="11">(IF(AND(AZ17&gt;0,$AV17&gt;0),AZ17/$AV17,0))</f>
        <v>0.75</v>
      </c>
      <c r="BE17" s="394">
        <f>((IF(AND(AW17&gt;0,$F17&gt;0),AW17/$F17,0))*0.25)*0.25</f>
        <v>6.25E-2</v>
      </c>
      <c r="BF17" s="394">
        <f>((IF(AND(AX17&gt;0,$F17&gt;0),AX17/$F17,0))/4)*0.5</f>
        <v>0.125</v>
      </c>
      <c r="BG17" s="394">
        <f>((IF(AND(AY17&gt;0,$F17&gt;0),AY17/$F17,0))/4)*0.75</f>
        <v>0.1875</v>
      </c>
      <c r="BH17" s="395">
        <f>((IF(AND(AZ17&gt;0,$F17&gt;0),AZ17/$F17,0))/4)</f>
        <v>0.1875</v>
      </c>
    </row>
    <row r="18" spans="2:60" ht="22.8">
      <c r="B18" s="1619"/>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0"/>
      <c r="AK18" s="1620"/>
      <c r="AL18" s="1620"/>
      <c r="AM18" s="1620"/>
      <c r="AN18" s="1620"/>
      <c r="AO18" s="1620"/>
      <c r="AP18" s="1620"/>
      <c r="AQ18" s="1620"/>
      <c r="AR18" s="1620"/>
      <c r="AS18" s="1620"/>
      <c r="AT18" s="1620"/>
      <c r="AU18" s="1620"/>
      <c r="AV18" s="1620"/>
      <c r="AW18" s="1621"/>
      <c r="AX18" s="1622" t="s">
        <v>19</v>
      </c>
      <c r="AY18" s="1623"/>
      <c r="AZ18" s="1623"/>
      <c r="BA18" s="70">
        <f t="shared" ref="BA18:BD18" si="12">AVERAGE(BA16:BA17)</f>
        <v>0.25</v>
      </c>
      <c r="BB18" s="70">
        <f t="shared" si="12"/>
        <v>0.5</v>
      </c>
      <c r="BC18" s="70">
        <f t="shared" si="12"/>
        <v>0.75</v>
      </c>
      <c r="BD18" s="70">
        <f t="shared" si="12"/>
        <v>0.75</v>
      </c>
      <c r="BE18" s="1614"/>
      <c r="BF18" s="1615"/>
      <c r="BG18" s="1615"/>
      <c r="BH18" s="1616"/>
    </row>
    <row r="19" spans="2:60">
      <c r="B19" s="1618"/>
      <c r="C19" s="1618"/>
      <c r="D19" s="1618"/>
      <c r="E19" s="1618"/>
      <c r="F19" s="1618"/>
      <c r="G19" s="1618"/>
      <c r="H19" s="44"/>
      <c r="I19" s="43"/>
      <c r="J19" s="43"/>
      <c r="K19" s="43"/>
      <c r="L19" s="43"/>
      <c r="M19" s="43"/>
      <c r="N19" s="43"/>
      <c r="O19" s="43"/>
    </row>
    <row r="20" spans="2:60">
      <c r="B20" s="43"/>
      <c r="C20" s="43"/>
      <c r="D20" s="1624"/>
      <c r="E20" s="1624"/>
      <c r="F20" s="1624"/>
      <c r="G20" s="1624"/>
      <c r="H20" s="1624"/>
      <c r="I20" s="1624"/>
      <c r="J20" s="1624"/>
      <c r="K20" s="1624"/>
      <c r="L20" s="1624"/>
      <c r="M20" s="1624"/>
      <c r="N20" s="1624"/>
      <c r="O20" s="1624"/>
    </row>
    <row r="21" spans="2:60" ht="15.6" customHeight="1">
      <c r="B21" s="45" t="s">
        <v>26</v>
      </c>
      <c r="C21" s="46">
        <v>44224</v>
      </c>
      <c r="D21" s="47"/>
      <c r="E21" s="1625" t="s">
        <v>50</v>
      </c>
      <c r="F21" s="1628" t="s">
        <v>724</v>
      </c>
      <c r="G21" s="1629"/>
      <c r="H21" s="1629"/>
      <c r="I21" s="1629"/>
      <c r="J21" s="1630"/>
      <c r="K21" s="48"/>
      <c r="L21" s="1626"/>
      <c r="M21" s="1626"/>
      <c r="N21" s="1626"/>
      <c r="O21" s="1627"/>
      <c r="T21" s="392"/>
    </row>
    <row r="22" spans="2:60" ht="15.6">
      <c r="B22" s="43"/>
      <c r="C22" s="43"/>
      <c r="D22" s="48"/>
      <c r="E22" s="1625"/>
      <c r="F22" s="1631"/>
      <c r="G22" s="1632"/>
      <c r="H22" s="1632"/>
      <c r="I22" s="1632"/>
      <c r="J22" s="1633"/>
      <c r="K22" s="43"/>
      <c r="L22" s="43"/>
      <c r="M22" s="43"/>
      <c r="N22" s="43"/>
      <c r="O22" s="43"/>
    </row>
    <row r="23" spans="2:60" ht="15.6">
      <c r="B23" s="45" t="s">
        <v>49</v>
      </c>
      <c r="C23" s="46"/>
      <c r="D23" s="43"/>
      <c r="E23" s="43"/>
      <c r="F23" s="43"/>
      <c r="K23" s="43"/>
      <c r="L23" s="43"/>
      <c r="M23" s="43"/>
      <c r="N23" s="43"/>
      <c r="O23" s="43"/>
    </row>
    <row r="24" spans="2:60">
      <c r="B24" s="43"/>
      <c r="C24" s="43"/>
      <c r="D24" s="43"/>
      <c r="E24" s="43"/>
      <c r="F24" s="43"/>
      <c r="K24" s="43"/>
      <c r="L24" s="43"/>
      <c r="M24" s="43"/>
      <c r="N24" s="43"/>
      <c r="O24" s="43"/>
    </row>
    <row r="25" spans="2:60">
      <c r="B25" s="688" t="s">
        <v>731</v>
      </c>
      <c r="C25" s="43"/>
      <c r="D25" s="43"/>
      <c r="E25" s="43"/>
      <c r="F25" s="43"/>
      <c r="G25" s="44"/>
      <c r="H25" s="44"/>
      <c r="I25" s="1617"/>
      <c r="J25" s="1617"/>
      <c r="K25" s="1617"/>
      <c r="L25" s="1617"/>
      <c r="M25" s="49"/>
      <c r="N25" s="49"/>
      <c r="O25" s="49"/>
    </row>
    <row r="26" spans="2:60">
      <c r="B26" s="43"/>
      <c r="C26" s="43"/>
      <c r="D26" s="43"/>
      <c r="E26" s="43"/>
      <c r="F26" s="43"/>
      <c r="G26" s="44"/>
      <c r="H26" s="44"/>
      <c r="I26" s="43"/>
      <c r="J26" s="43"/>
      <c r="K26" s="50"/>
      <c r="L26" s="43"/>
      <c r="M26" s="43"/>
      <c r="N26" s="43"/>
      <c r="O26" s="43"/>
    </row>
    <row r="27" spans="2:60">
      <c r="B27" s="43"/>
      <c r="C27" s="43"/>
      <c r="D27" s="43"/>
      <c r="E27" s="43"/>
      <c r="F27" s="43"/>
      <c r="G27" s="44"/>
      <c r="H27" s="44"/>
      <c r="I27" s="1617"/>
      <c r="J27" s="1617"/>
      <c r="K27" s="1617"/>
      <c r="L27" s="1617"/>
      <c r="M27" s="49"/>
      <c r="N27" s="49"/>
      <c r="O27" s="49"/>
    </row>
    <row r="28" spans="2:60">
      <c r="B28" s="43"/>
      <c r="C28" s="43"/>
      <c r="D28" s="43"/>
      <c r="E28" s="43"/>
      <c r="F28" s="43"/>
      <c r="G28" s="44"/>
      <c r="H28" s="44"/>
      <c r="I28" s="43"/>
      <c r="J28" s="43"/>
      <c r="K28" s="50"/>
      <c r="L28" s="43"/>
      <c r="M28" s="43"/>
      <c r="N28" s="43"/>
      <c r="O28" s="43"/>
    </row>
    <row r="29" spans="2:60">
      <c r="B29" s="43"/>
      <c r="C29" s="43"/>
      <c r="D29" s="43"/>
      <c r="E29" s="43"/>
      <c r="F29" s="43"/>
      <c r="G29" s="44"/>
      <c r="H29" s="44"/>
      <c r="I29" s="1617"/>
      <c r="J29" s="1617"/>
      <c r="K29" s="1617"/>
      <c r="L29" s="1617"/>
      <c r="M29" s="49"/>
      <c r="N29" s="49"/>
      <c r="O29" s="49"/>
    </row>
  </sheetData>
  <sheetProtection algorithmName="SHA-512" hashValue="ZGYNVbl0GHI86fgXtEBGoOrLg0JyEpNVsuIHfS3PlDy76hgzgVxCvKyGCZI84pePVYGStdhNp/tch7pAOK6lEg==" saltValue="yEgZ52vGtL81yMCh3hZSGA==" spinCount="100000" sheet="1" objects="1" scenarios="1"/>
  <mergeCells count="71">
    <mergeCell ref="BE18:BH18"/>
    <mergeCell ref="I25:L25"/>
    <mergeCell ref="I27:L27"/>
    <mergeCell ref="I29:L29"/>
    <mergeCell ref="B19:G19"/>
    <mergeCell ref="B18:AW18"/>
    <mergeCell ref="AX18:AZ18"/>
    <mergeCell ref="D20:O20"/>
    <mergeCell ref="E21:E22"/>
    <mergeCell ref="L21:O21"/>
    <mergeCell ref="F21:J22"/>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G13:BG15"/>
    <mergeCell ref="BE12:BH12"/>
    <mergeCell ref="BH13:BH15"/>
    <mergeCell ref="AW13:AW15"/>
    <mergeCell ref="AX13:AX15"/>
    <mergeCell ref="AY13:AY15"/>
    <mergeCell ref="AZ13:AZ15"/>
    <mergeCell ref="BA13:BA15"/>
    <mergeCell ref="BB13:BB15"/>
    <mergeCell ref="BC13:BC15"/>
    <mergeCell ref="BD13:BD15"/>
    <mergeCell ref="BE13:BE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K12:K15"/>
    <mergeCell ref="C2:BF6"/>
    <mergeCell ref="AJ14:AK14"/>
    <mergeCell ref="AL14:AM14"/>
    <mergeCell ref="P13:W13"/>
    <mergeCell ref="AV12:AV15"/>
    <mergeCell ref="AW12:AZ12"/>
    <mergeCell ref="BA12:BD12"/>
    <mergeCell ref="BF13:BF15"/>
    <mergeCell ref="F12:F15"/>
    <mergeCell ref="B2:B6"/>
    <mergeCell ref="B12:B15"/>
    <mergeCell ref="C12:C15"/>
    <mergeCell ref="D12:D15"/>
    <mergeCell ref="E12:E15"/>
    <mergeCell ref="C10:D10"/>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00B050"/>
  </sheetPr>
  <dimension ref="B1:BH48"/>
  <sheetViews>
    <sheetView showGridLines="0" zoomScale="55" zoomScaleNormal="55" workbookViewId="0">
      <selection activeCell="C9" sqref="C9:D9"/>
    </sheetView>
  </sheetViews>
  <sheetFormatPr baseColWidth="10" defaultColWidth="17.33203125" defaultRowHeight="15" customHeight="1"/>
  <cols>
    <col min="1" max="1" width="4.33203125" style="135" customWidth="1"/>
    <col min="2" max="2" width="50.44140625" style="133" customWidth="1"/>
    <col min="3" max="3" width="39.6640625" style="133" customWidth="1"/>
    <col min="4" max="4" width="66.109375" style="133" customWidth="1"/>
    <col min="5" max="6" width="27.88671875" style="133" customWidth="1"/>
    <col min="7" max="7" width="23.5546875" style="134" customWidth="1"/>
    <col min="8" max="8" width="13.33203125" style="134" customWidth="1"/>
    <col min="9" max="9" width="46.88671875" style="133" customWidth="1"/>
    <col min="10" max="10" width="63" style="133" customWidth="1"/>
    <col min="11" max="11" width="69.33203125" style="133" customWidth="1"/>
    <col min="12" max="12" width="48.44140625" style="133" customWidth="1"/>
    <col min="13" max="13" width="28.5546875" style="133" customWidth="1"/>
    <col min="14" max="14" width="30.6640625" style="133" customWidth="1"/>
    <col min="15" max="15" width="60.44140625" style="133" customWidth="1"/>
    <col min="16" max="47" width="15.88671875" style="135" customWidth="1"/>
    <col min="48" max="48" width="24.5546875" style="135" customWidth="1"/>
    <col min="49" max="52" width="17.88671875" style="135" customWidth="1"/>
    <col min="53" max="56" width="18.88671875" style="135" customWidth="1"/>
    <col min="57" max="60" width="18.44140625" style="135" customWidth="1"/>
    <col min="61" max="16384" width="17.33203125" style="135"/>
  </cols>
  <sheetData>
    <row r="1" spans="2:60" ht="15" customHeight="1" thickBot="1"/>
    <row r="2" spans="2:60" ht="16.5"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6.5"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6.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6.5"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6.5"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8.5" customHeight="1">
      <c r="B8" s="216" t="s">
        <v>45</v>
      </c>
      <c r="C8" s="1534" t="s">
        <v>88</v>
      </c>
      <c r="D8" s="1534"/>
      <c r="E8" s="217"/>
      <c r="F8" s="217"/>
      <c r="G8" s="217"/>
      <c r="H8" s="217"/>
      <c r="I8" s="217"/>
      <c r="J8" s="217"/>
      <c r="K8" s="217"/>
      <c r="L8" s="217"/>
      <c r="M8" s="217"/>
      <c r="N8" s="217"/>
      <c r="O8" s="217"/>
      <c r="AW8" s="238"/>
      <c r="AX8" s="238"/>
      <c r="AY8" s="238"/>
      <c r="AZ8" s="238"/>
      <c r="BA8" s="238"/>
      <c r="BB8" s="238"/>
      <c r="BC8" s="238"/>
      <c r="BD8" s="238"/>
    </row>
    <row r="9" spans="2:60" ht="98.25" customHeight="1">
      <c r="B9" s="216" t="s">
        <v>34</v>
      </c>
      <c r="C9" s="1571" t="s">
        <v>207</v>
      </c>
      <c r="D9" s="1572"/>
      <c r="E9" s="217"/>
      <c r="F9" s="217"/>
      <c r="G9" s="217"/>
      <c r="H9" s="217"/>
      <c r="I9" s="217"/>
      <c r="J9" s="217"/>
      <c r="K9" s="217"/>
      <c r="L9" s="217"/>
      <c r="M9" s="217"/>
      <c r="N9" s="217"/>
      <c r="O9" s="217"/>
      <c r="AW9" s="238"/>
      <c r="AX9" s="238"/>
      <c r="AY9" s="238"/>
      <c r="AZ9" s="238"/>
      <c r="BA9" s="238"/>
      <c r="BB9" s="238"/>
      <c r="BC9" s="238"/>
      <c r="BD9" s="238"/>
    </row>
    <row r="10" spans="2:60" ht="30" customHeight="1">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ht="14.25" customHeight="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3"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21.75" customHeight="1">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21.75" customHeight="1">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21.75" customHeight="1">
      <c r="B15" s="1442"/>
      <c r="C15" s="1442"/>
      <c r="D15" s="1253"/>
      <c r="E15" s="1442"/>
      <c r="F15" s="1253"/>
      <c r="G15" s="1442"/>
      <c r="H15" s="1442"/>
      <c r="I15" s="1442"/>
      <c r="J15" s="1442"/>
      <c r="K15" s="1442"/>
      <c r="L15" s="1442"/>
      <c r="M15" s="1442"/>
      <c r="N15" s="1442"/>
      <c r="O15" s="1442"/>
      <c r="P15" s="256" t="s">
        <v>17</v>
      </c>
      <c r="Q15" s="257" t="s">
        <v>18</v>
      </c>
      <c r="R15" s="256" t="s">
        <v>17</v>
      </c>
      <c r="S15" s="257" t="s">
        <v>18</v>
      </c>
      <c r="T15" s="256" t="s">
        <v>17</v>
      </c>
      <c r="U15" s="257" t="s">
        <v>18</v>
      </c>
      <c r="V15" s="258" t="s">
        <v>17</v>
      </c>
      <c r="W15" s="259" t="s">
        <v>18</v>
      </c>
      <c r="X15" s="256" t="s">
        <v>17</v>
      </c>
      <c r="Y15" s="257" t="s">
        <v>18</v>
      </c>
      <c r="Z15" s="256" t="s">
        <v>17</v>
      </c>
      <c r="AA15" s="257" t="s">
        <v>18</v>
      </c>
      <c r="AB15" s="256" t="s">
        <v>17</v>
      </c>
      <c r="AC15" s="257" t="s">
        <v>18</v>
      </c>
      <c r="AD15" s="258" t="s">
        <v>17</v>
      </c>
      <c r="AE15" s="259" t="s">
        <v>18</v>
      </c>
      <c r="AF15" s="256" t="s">
        <v>17</v>
      </c>
      <c r="AG15" s="257" t="s">
        <v>18</v>
      </c>
      <c r="AH15" s="256" t="s">
        <v>17</v>
      </c>
      <c r="AI15" s="257" t="s">
        <v>18</v>
      </c>
      <c r="AJ15" s="256" t="s">
        <v>17</v>
      </c>
      <c r="AK15" s="257" t="s">
        <v>18</v>
      </c>
      <c r="AL15" s="258" t="s">
        <v>17</v>
      </c>
      <c r="AM15" s="259" t="s">
        <v>18</v>
      </c>
      <c r="AN15" s="256" t="s">
        <v>17</v>
      </c>
      <c r="AO15" s="257" t="s">
        <v>18</v>
      </c>
      <c r="AP15" s="256" t="s">
        <v>17</v>
      </c>
      <c r="AQ15" s="257" t="s">
        <v>18</v>
      </c>
      <c r="AR15" s="256" t="s">
        <v>17</v>
      </c>
      <c r="AS15" s="257" t="s">
        <v>18</v>
      </c>
      <c r="AT15" s="258" t="s">
        <v>17</v>
      </c>
      <c r="AU15" s="259" t="s">
        <v>18</v>
      </c>
      <c r="AV15" s="1549"/>
      <c r="AW15" s="1555"/>
      <c r="AX15" s="1555"/>
      <c r="AY15" s="1555"/>
      <c r="AZ15" s="1555"/>
      <c r="BA15" s="1561"/>
      <c r="BB15" s="1561"/>
      <c r="BC15" s="1561"/>
      <c r="BD15" s="1561"/>
      <c r="BE15" s="1564"/>
      <c r="BF15" s="1564"/>
      <c r="BG15" s="1564"/>
      <c r="BH15" s="1564"/>
    </row>
    <row r="16" spans="2:60" ht="92.25" customHeight="1">
      <c r="B16" s="1635" t="str" cm="1">
        <f t="array" ref="B16">'[4]POA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487" t="str" cm="1">
        <f t="array" ref="C16">'[4]POA Anualizado (Pág 1 de 3)'!C13:C13</f>
        <v>1.1. Realizar 884.816 acciones que promuevan la defensa, garantía y restablecimiento de los derechos de las personas en el Distrito Capital.</v>
      </c>
      <c r="D16" s="333" t="str">
        <f>+'01-FR-03 POA INSTITUCIONAL'!D13</f>
        <v>1.1.1 Realizar 347.900 intervenciones dentro del ejercicio del Ministerio Público para prevenir la vulneración de derechos y/o lograr el  restablecimiento de los mismos.</v>
      </c>
      <c r="E16" s="52">
        <f>+'01-FR-03 POA INSTITUCIONAL'!E13</f>
        <v>0.38</v>
      </c>
      <c r="F16" s="139">
        <f>+'01-FR-03 POA INSTITUCIONAL'!F13</f>
        <v>347900</v>
      </c>
      <c r="G16" s="139">
        <f>+'01-FR-03 POA INSTITUCIONAL'!K13</f>
        <v>102150</v>
      </c>
      <c r="H16" s="140" t="str">
        <f>+'01-FR-03 POA INSTITUCIONAL'!G13</f>
        <v>S.I.</v>
      </c>
      <c r="I16" s="140" t="str">
        <f>+'01-FR-03 POA INSTITUCIONAL'!H13</f>
        <v>Intervenciones realizadas en defensa de los derechos</v>
      </c>
      <c r="J16" s="140" t="s">
        <v>248</v>
      </c>
      <c r="K16" s="148" t="s">
        <v>208</v>
      </c>
      <c r="L16" s="260" t="s">
        <v>209</v>
      </c>
      <c r="M16" s="220" t="s">
        <v>210</v>
      </c>
      <c r="N16" s="220" t="s">
        <v>211</v>
      </c>
      <c r="O16" s="34" t="str">
        <f>+'01-FR-03 POA INSTITUCIONAL'!J13</f>
        <v>P.D. para Asuntos Penales I, Penales II, Derechos Humanos y Policivos y Civiles
P.D. para los Sectores Planeación y Movilidad y la P.D. para los Sectores Educación y Cultura, Recreación y Deporte</v>
      </c>
      <c r="P16" s="261">
        <f>4000+0</f>
        <v>4000</v>
      </c>
      <c r="Q16" s="261">
        <v>9087</v>
      </c>
      <c r="R16" s="261">
        <f>9000+25</f>
        <v>9025</v>
      </c>
      <c r="S16" s="261">
        <v>9923</v>
      </c>
      <c r="T16" s="261">
        <f>9000+25</f>
        <v>9025</v>
      </c>
      <c r="U16" s="261">
        <v>10978</v>
      </c>
      <c r="V16" s="53">
        <f>P16+R16+T16</f>
        <v>22050</v>
      </c>
      <c r="W16" s="53">
        <f>Q16+S16+U16</f>
        <v>29988</v>
      </c>
      <c r="X16" s="261">
        <f>9000+25</f>
        <v>9025</v>
      </c>
      <c r="Y16" s="261">
        <v>10568</v>
      </c>
      <c r="Z16" s="261">
        <f>9000+25</f>
        <v>9025</v>
      </c>
      <c r="AA16" s="261">
        <v>10791</v>
      </c>
      <c r="AB16" s="261">
        <f>9000+25</f>
        <v>9025</v>
      </c>
      <c r="AC16" s="261">
        <v>8995</v>
      </c>
      <c r="AD16" s="53">
        <f>X16+Z16+AB16</f>
        <v>27075</v>
      </c>
      <c r="AE16" s="53">
        <f>Y16+AA16+AC16</f>
        <v>30354</v>
      </c>
      <c r="AF16" s="261">
        <f>9000+25</f>
        <v>9025</v>
      </c>
      <c r="AG16" s="261">
        <v>11097</v>
      </c>
      <c r="AH16" s="1002">
        <f>9780+25</f>
        <v>9805</v>
      </c>
      <c r="AI16" s="261">
        <v>10248</v>
      </c>
      <c r="AJ16" s="1002">
        <f>9780+25</f>
        <v>9805</v>
      </c>
      <c r="AK16" s="262">
        <v>15515</v>
      </c>
      <c r="AL16" s="53">
        <f>AF16+AH16+AJ16</f>
        <v>28635</v>
      </c>
      <c r="AM16" s="53">
        <f>AG16+AI16+AK16</f>
        <v>36860</v>
      </c>
      <c r="AN16" s="1002">
        <f>9780+25</f>
        <v>9805</v>
      </c>
      <c r="AO16" s="261"/>
      <c r="AP16" s="1002">
        <f>9780+25</f>
        <v>9805</v>
      </c>
      <c r="AQ16" s="261"/>
      <c r="AR16" s="1002">
        <f>4780+0</f>
        <v>4780</v>
      </c>
      <c r="AS16" s="261"/>
      <c r="AT16" s="53">
        <f>AN16+AP16+AR16</f>
        <v>24390</v>
      </c>
      <c r="AU16" s="53">
        <f>AO16+AQ16+AS16</f>
        <v>0</v>
      </c>
      <c r="AV16" s="263">
        <f>V16+AD16+AL16+AT16</f>
        <v>102150</v>
      </c>
      <c r="AW16" s="81">
        <f>+W16</f>
        <v>29988</v>
      </c>
      <c r="AX16" s="685">
        <f>+W16+AE16</f>
        <v>60342</v>
      </c>
      <c r="AY16" s="81">
        <f>+W16+AE16+AM16</f>
        <v>97202</v>
      </c>
      <c r="AZ16" s="386">
        <f>+W16+AE16+AM16+AU16</f>
        <v>97202</v>
      </c>
      <c r="BA16" s="347">
        <f>IF(AND(AW16&gt;0,$AV16&gt;0),AW16/$AV16,0)</f>
        <v>0.29356828193832601</v>
      </c>
      <c r="BB16" s="347">
        <f t="shared" ref="BB16:BD16" si="0">IF(AND(AX16&gt;0,$AV16&gt;0),AX16/$AV16,0)</f>
        <v>0.59071953010278999</v>
      </c>
      <c r="BC16" s="347">
        <f t="shared" si="0"/>
        <v>0.95156142927068033</v>
      </c>
      <c r="BD16" s="347">
        <f t="shared" si="0"/>
        <v>0.95156142927068033</v>
      </c>
      <c r="BE16" s="390">
        <f>(IF(AND(AW16&gt;0,$F16&gt;0),AW16/$F16,0))</f>
        <v>8.6197183098591548E-2</v>
      </c>
      <c r="BF16" s="390">
        <f t="shared" ref="BF16:BH20" si="1">(IF(AND(AX16&gt;0,$F16&gt;0),AX16/$F16,0))</f>
        <v>0.17344639264156367</v>
      </c>
      <c r="BG16" s="390">
        <f t="shared" si="1"/>
        <v>0.27939637826961772</v>
      </c>
      <c r="BH16" s="391">
        <f t="shared" si="1"/>
        <v>0.27939637826961772</v>
      </c>
    </row>
    <row r="17" spans="2:60" ht="111.75" customHeight="1">
      <c r="B17" s="1636"/>
      <c r="C17" s="1488"/>
      <c r="D17" s="333" t="str">
        <f>+'01-FR-03 POA INSTITUCIONAL'!D14</f>
        <v>1.1.2 Orientar 269.700 personas en garantía de derechos.</v>
      </c>
      <c r="E17" s="52">
        <f>+'01-FR-03 POA INSTITUCIONAL'!E14</f>
        <v>0.3</v>
      </c>
      <c r="F17" s="139">
        <f>+'01-FR-03 POA INSTITUCIONAL'!F14</f>
        <v>269700</v>
      </c>
      <c r="G17" s="139">
        <f>+'01-FR-03 POA INSTITUCIONAL'!K14</f>
        <v>76200</v>
      </c>
      <c r="H17" s="140" t="str">
        <f>+'01-FR-03 POA INSTITUCIONAL'!G14</f>
        <v>S.I.</v>
      </c>
      <c r="I17" s="140" t="str">
        <f>+'01-FR-03 POA INSTITUCIONAL'!H14</f>
        <v>Personas orientadas en garantía de derechos</v>
      </c>
      <c r="J17" s="140" t="s">
        <v>249</v>
      </c>
      <c r="K17" s="148" t="s">
        <v>212</v>
      </c>
      <c r="L17" s="260" t="s">
        <v>213</v>
      </c>
      <c r="M17" s="220" t="s">
        <v>210</v>
      </c>
      <c r="N17" s="220" t="s">
        <v>211</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261">
        <f>4000+500+0</f>
        <v>4500</v>
      </c>
      <c r="Q17" s="261">
        <v>4806</v>
      </c>
      <c r="R17" s="261">
        <f>4660+800+1000</f>
        <v>6460</v>
      </c>
      <c r="S17" s="261">
        <v>6540</v>
      </c>
      <c r="T17" s="261">
        <f>4660+800+1000</f>
        <v>6460</v>
      </c>
      <c r="U17" s="261">
        <v>5962</v>
      </c>
      <c r="V17" s="53">
        <f t="shared" ref="V17:W36" si="2">P17+R17+T17</f>
        <v>17420</v>
      </c>
      <c r="W17" s="53">
        <f t="shared" si="2"/>
        <v>17308</v>
      </c>
      <c r="X17" s="261">
        <f>4660+800+1000</f>
        <v>6460</v>
      </c>
      <c r="Y17" s="261">
        <v>6006</v>
      </c>
      <c r="Z17" s="261">
        <f>4660+800+1000</f>
        <v>6460</v>
      </c>
      <c r="AA17" s="261">
        <v>6092</v>
      </c>
      <c r="AB17" s="261">
        <f>4660+800+1000</f>
        <v>6460</v>
      </c>
      <c r="AC17" s="262">
        <v>6333</v>
      </c>
      <c r="AD17" s="53">
        <f t="shared" ref="AD17:AE36" si="3">X17+Z17+AB17</f>
        <v>19380</v>
      </c>
      <c r="AE17" s="53">
        <f t="shared" si="3"/>
        <v>18431</v>
      </c>
      <c r="AF17" s="261">
        <f>4660+800+1000</f>
        <v>6460</v>
      </c>
      <c r="AG17" s="261">
        <v>7607</v>
      </c>
      <c r="AH17" s="1002">
        <f>5192+800+1000</f>
        <v>6992</v>
      </c>
      <c r="AI17" s="261">
        <v>8846</v>
      </c>
      <c r="AJ17" s="1002">
        <f>5192+800+1000</f>
        <v>6992</v>
      </c>
      <c r="AK17" s="262">
        <v>11842</v>
      </c>
      <c r="AL17" s="53">
        <f t="shared" ref="AL17:AM36" si="4">AF17+AH17+AJ17</f>
        <v>20444</v>
      </c>
      <c r="AM17" s="53">
        <f t="shared" si="4"/>
        <v>28295</v>
      </c>
      <c r="AN17" s="1002">
        <f>5192+800+1000</f>
        <v>6992</v>
      </c>
      <c r="AO17" s="261"/>
      <c r="AP17" s="1002">
        <f>5192+800+1000</f>
        <v>6992</v>
      </c>
      <c r="AQ17" s="261"/>
      <c r="AR17" s="1002">
        <f>4472+500+0</f>
        <v>4972</v>
      </c>
      <c r="AS17" s="261"/>
      <c r="AT17" s="53">
        <f t="shared" ref="AT17:AU36" si="5">AN17+AP17+AR17</f>
        <v>18956</v>
      </c>
      <c r="AU17" s="53">
        <f t="shared" si="5"/>
        <v>0</v>
      </c>
      <c r="AV17" s="263">
        <f t="shared" ref="AV17:AV36" si="6">V17+AD17+AL17+AT17</f>
        <v>76200</v>
      </c>
      <c r="AW17" s="81">
        <f t="shared" ref="AW17:AW36" si="7">+W17</f>
        <v>17308</v>
      </c>
      <c r="AX17" s="685">
        <f t="shared" ref="AX17:AX36" si="8">+W17+AE17</f>
        <v>35739</v>
      </c>
      <c r="AY17" s="81">
        <f t="shared" ref="AY17:AY36" si="9">+W17+AE17+AM17</f>
        <v>64034</v>
      </c>
      <c r="AZ17" s="386">
        <f t="shared" ref="AZ17:AZ36" si="10">+W17+AE17+AM17+AU17</f>
        <v>64034</v>
      </c>
      <c r="BA17" s="347">
        <f t="shared" ref="BA17:BA18" si="11">IF(AND(AW17&gt;0,$AV17&gt;0),AW17/$AV17,0)</f>
        <v>0.22713910761154857</v>
      </c>
      <c r="BB17" s="347">
        <f t="shared" ref="BB17:BB19" si="12">IF(AND(AX17&gt;0,$AV17&gt;0),AX17/$AV17,0)</f>
        <v>0.46901574803149604</v>
      </c>
      <c r="BC17" s="347">
        <f t="shared" ref="BC17:BC19" si="13">IF(AND(AY17&gt;0,$AV17&gt;0),AY17/$AV17,0)</f>
        <v>0.84034120734908135</v>
      </c>
      <c r="BD17" s="347">
        <f t="shared" ref="BD17:BD19" si="14">IF(AND(AZ17&gt;0,$AV17&gt;0),AZ17/$AV17,0)</f>
        <v>0.84034120734908135</v>
      </c>
      <c r="BE17" s="390">
        <f t="shared" ref="BE17:BE20" si="15">(IF(AND(AW17&gt;0,$F17&gt;0),AW17/$F17,0))</f>
        <v>6.4175009269558769E-2</v>
      </c>
      <c r="BF17" s="390">
        <f t="shared" si="1"/>
        <v>0.13251390433815349</v>
      </c>
      <c r="BG17" s="390">
        <f t="shared" si="1"/>
        <v>0.23742677048572489</v>
      </c>
      <c r="BH17" s="391">
        <f t="shared" si="1"/>
        <v>0.23742677048572489</v>
      </c>
    </row>
    <row r="18" spans="2:60" ht="138.75" customHeight="1">
      <c r="B18" s="1636"/>
      <c r="C18" s="1488"/>
      <c r="D18" s="333" t="str">
        <f>+'01-FR-03 POA INSTITUCIONAL'!D15</f>
        <v>1.1.3 Asistir 130.545 personas en garantía de derechos.</v>
      </c>
      <c r="E18" s="52">
        <f>+'01-FR-03 POA INSTITUCIONAL'!E15</f>
        <v>0.15</v>
      </c>
      <c r="F18" s="139">
        <f>+'01-FR-03 POA INSTITUCIONAL'!F15</f>
        <v>130545</v>
      </c>
      <c r="G18" s="139">
        <f>+'01-FR-03 POA INSTITUCIONAL'!K15</f>
        <v>28545</v>
      </c>
      <c r="H18" s="140" t="str">
        <f>+'01-FR-03 POA INSTITUCIONAL'!G15</f>
        <v>S.I.</v>
      </c>
      <c r="I18" s="140" t="str">
        <f>+'01-FR-03 POA INSTITUCIONAL'!H15</f>
        <v>Personas asistidas en garantía de derechos</v>
      </c>
      <c r="J18" s="140" t="s">
        <v>250</v>
      </c>
      <c r="K18" s="148" t="s">
        <v>214</v>
      </c>
      <c r="L18" s="260" t="s">
        <v>215</v>
      </c>
      <c r="M18" s="220" t="s">
        <v>210</v>
      </c>
      <c r="N18" s="220" t="s">
        <v>211</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261">
        <f>1600+250+0</f>
        <v>1850</v>
      </c>
      <c r="Q18" s="261">
        <v>1453</v>
      </c>
      <c r="R18" s="261">
        <f>2180+270+1000</f>
        <v>3450</v>
      </c>
      <c r="S18" s="261">
        <v>1540</v>
      </c>
      <c r="T18" s="261">
        <f>2180+270+1000</f>
        <v>3450</v>
      </c>
      <c r="U18" s="261">
        <v>1421</v>
      </c>
      <c r="V18" s="53">
        <f t="shared" si="2"/>
        <v>8750</v>
      </c>
      <c r="W18" s="53">
        <f t="shared" si="2"/>
        <v>4414</v>
      </c>
      <c r="X18" s="261">
        <f>2180+270+1000</f>
        <v>3450</v>
      </c>
      <c r="Y18" s="261">
        <v>1699</v>
      </c>
      <c r="Z18" s="261">
        <f>2180+270+1000</f>
        <v>3450</v>
      </c>
      <c r="AA18" s="261">
        <v>2025</v>
      </c>
      <c r="AB18" s="261">
        <f>2180+270+1000</f>
        <v>3450</v>
      </c>
      <c r="AC18" s="261">
        <v>2294</v>
      </c>
      <c r="AD18" s="53">
        <f t="shared" si="3"/>
        <v>10350</v>
      </c>
      <c r="AE18" s="53">
        <f t="shared" si="3"/>
        <v>6018</v>
      </c>
      <c r="AF18" s="261">
        <f>2180+270+1000</f>
        <v>3450</v>
      </c>
      <c r="AG18" s="261">
        <v>2494</v>
      </c>
      <c r="AH18" s="1002">
        <f>155+250+1000</f>
        <v>1405</v>
      </c>
      <c r="AI18" s="261">
        <v>2729</v>
      </c>
      <c r="AJ18" s="1002">
        <f>155+250+1000</f>
        <v>1405</v>
      </c>
      <c r="AK18" s="261">
        <v>3414</v>
      </c>
      <c r="AL18" s="53">
        <f t="shared" si="4"/>
        <v>6260</v>
      </c>
      <c r="AM18" s="53">
        <f t="shared" si="4"/>
        <v>8637</v>
      </c>
      <c r="AN18" s="1002">
        <f>160+250+1000</f>
        <v>1410</v>
      </c>
      <c r="AO18" s="261"/>
      <c r="AP18" s="1002">
        <f>160+250+1000</f>
        <v>1410</v>
      </c>
      <c r="AQ18" s="261"/>
      <c r="AR18" s="1002">
        <f>115+250+0</f>
        <v>365</v>
      </c>
      <c r="AS18" s="261"/>
      <c r="AT18" s="53">
        <f t="shared" si="5"/>
        <v>3185</v>
      </c>
      <c r="AU18" s="53">
        <f t="shared" si="5"/>
        <v>0</v>
      </c>
      <c r="AV18" s="263">
        <f t="shared" si="6"/>
        <v>28545</v>
      </c>
      <c r="AW18" s="81">
        <f t="shared" si="7"/>
        <v>4414</v>
      </c>
      <c r="AX18" s="685">
        <f t="shared" si="8"/>
        <v>10432</v>
      </c>
      <c r="AY18" s="81">
        <f t="shared" si="9"/>
        <v>19069</v>
      </c>
      <c r="AZ18" s="386">
        <f t="shared" si="10"/>
        <v>19069</v>
      </c>
      <c r="BA18" s="347">
        <f t="shared" si="11"/>
        <v>0.15463303555789104</v>
      </c>
      <c r="BB18" s="347">
        <f t="shared" si="12"/>
        <v>0.36545804869504289</v>
      </c>
      <c r="BC18" s="347">
        <f t="shared" si="13"/>
        <v>0.66803293046067613</v>
      </c>
      <c r="BD18" s="347">
        <f t="shared" si="14"/>
        <v>0.66803293046067613</v>
      </c>
      <c r="BE18" s="390">
        <f t="shared" si="15"/>
        <v>3.3812095446014781E-2</v>
      </c>
      <c r="BF18" s="390">
        <f t="shared" si="1"/>
        <v>7.9911141751886322E-2</v>
      </c>
      <c r="BG18" s="390">
        <f t="shared" si="1"/>
        <v>0.14607223562756139</v>
      </c>
      <c r="BH18" s="391">
        <f t="shared" si="1"/>
        <v>0.14607223562756139</v>
      </c>
    </row>
    <row r="19" spans="2:60" ht="84" customHeight="1">
      <c r="B19" s="1636"/>
      <c r="C19" s="1488"/>
      <c r="D19" s="333" t="str">
        <f>+'01-FR-03 POA INSTITUCIONAL'!D16</f>
        <v>1.1.4 Asistir a 32.186 personas en mecanismos alternativos de solución de conflictos.</v>
      </c>
      <c r="E19" s="52">
        <f>+'01-FR-03 POA INSTITUCIONAL'!E16</f>
        <v>0.04</v>
      </c>
      <c r="F19" s="139">
        <f>+'01-FR-03 POA INSTITUCIONAL'!F16</f>
        <v>32186</v>
      </c>
      <c r="G19" s="139">
        <f>+'01-FR-03 POA INSTITUCIONAL'!K16</f>
        <v>6810</v>
      </c>
      <c r="H19" s="140" t="str">
        <f>+'01-FR-03 POA INSTITUCIONAL'!G16</f>
        <v>S.I.</v>
      </c>
      <c r="I19" s="140" t="str">
        <f>+'01-FR-03 POA INSTITUCIONAL'!H16</f>
        <v>Personas asistidas en Mecanismos Alternativos de Solución de Conflictos</v>
      </c>
      <c r="J19" s="140" t="s">
        <v>251</v>
      </c>
      <c r="K19" s="148" t="s">
        <v>216</v>
      </c>
      <c r="L19" s="264" t="s">
        <v>217</v>
      </c>
      <c r="M19" s="220" t="s">
        <v>210</v>
      </c>
      <c r="N19" s="220" t="s">
        <v>211</v>
      </c>
      <c r="O19" s="34" t="str">
        <f>+'01-FR-03 POA INSTITUCIONAL'!J16</f>
        <v>Dirección de Conciliación y M.A.S.C.</v>
      </c>
      <c r="P19" s="261">
        <v>600</v>
      </c>
      <c r="Q19" s="261">
        <v>323</v>
      </c>
      <c r="R19" s="261">
        <v>910</v>
      </c>
      <c r="S19" s="261">
        <v>452</v>
      </c>
      <c r="T19" s="261">
        <v>910</v>
      </c>
      <c r="U19" s="261">
        <v>563</v>
      </c>
      <c r="V19" s="53">
        <f t="shared" si="2"/>
        <v>2420</v>
      </c>
      <c r="W19" s="53">
        <f t="shared" si="2"/>
        <v>1338</v>
      </c>
      <c r="X19" s="261">
        <v>910</v>
      </c>
      <c r="Y19" s="261">
        <v>461</v>
      </c>
      <c r="Z19" s="261">
        <v>910</v>
      </c>
      <c r="AA19" s="261">
        <v>609</v>
      </c>
      <c r="AB19" s="261">
        <v>910</v>
      </c>
      <c r="AC19" s="261">
        <v>744</v>
      </c>
      <c r="AD19" s="53">
        <f t="shared" si="3"/>
        <v>2730</v>
      </c>
      <c r="AE19" s="53">
        <f t="shared" si="3"/>
        <v>1814</v>
      </c>
      <c r="AF19" s="261">
        <v>910</v>
      </c>
      <c r="AG19" s="261">
        <v>773</v>
      </c>
      <c r="AH19" s="1002">
        <v>150</v>
      </c>
      <c r="AI19" s="261">
        <v>765</v>
      </c>
      <c r="AJ19" s="1002">
        <v>150</v>
      </c>
      <c r="AK19" s="261">
        <v>946</v>
      </c>
      <c r="AL19" s="53">
        <f t="shared" si="4"/>
        <v>1210</v>
      </c>
      <c r="AM19" s="53">
        <f t="shared" si="4"/>
        <v>2484</v>
      </c>
      <c r="AN19" s="1002">
        <v>150</v>
      </c>
      <c r="AO19" s="261"/>
      <c r="AP19" s="1002">
        <v>150</v>
      </c>
      <c r="AQ19" s="261"/>
      <c r="AR19" s="1002">
        <v>150</v>
      </c>
      <c r="AS19" s="261"/>
      <c r="AT19" s="53">
        <f t="shared" si="5"/>
        <v>450</v>
      </c>
      <c r="AU19" s="53">
        <f t="shared" si="5"/>
        <v>0</v>
      </c>
      <c r="AV19" s="263">
        <f t="shared" si="6"/>
        <v>6810</v>
      </c>
      <c r="AW19" s="81">
        <f t="shared" si="7"/>
        <v>1338</v>
      </c>
      <c r="AX19" s="685">
        <f t="shared" si="8"/>
        <v>3152</v>
      </c>
      <c r="AY19" s="81">
        <f t="shared" si="9"/>
        <v>5636</v>
      </c>
      <c r="AZ19" s="386">
        <f t="shared" si="10"/>
        <v>5636</v>
      </c>
      <c r="BA19" s="347">
        <f>IF(AND(AW19&gt;0,$AV19&gt;0),AW19/$AV19,0)</f>
        <v>0.19647577092511012</v>
      </c>
      <c r="BB19" s="347">
        <f t="shared" si="12"/>
        <v>0.46284875183553598</v>
      </c>
      <c r="BC19" s="347">
        <f t="shared" si="13"/>
        <v>0.82760646108663727</v>
      </c>
      <c r="BD19" s="347">
        <f t="shared" si="14"/>
        <v>0.82760646108663727</v>
      </c>
      <c r="BE19" s="390">
        <f t="shared" si="15"/>
        <v>4.1570869322065496E-2</v>
      </c>
      <c r="BF19" s="390">
        <f t="shared" si="1"/>
        <v>9.7930777356614679E-2</v>
      </c>
      <c r="BG19" s="390">
        <f t="shared" si="1"/>
        <v>0.17510718946125645</v>
      </c>
      <c r="BH19" s="391">
        <f t="shared" si="1"/>
        <v>0.17510718946125645</v>
      </c>
    </row>
    <row r="20" spans="2:60" ht="144.75" customHeight="1">
      <c r="B20" s="1636"/>
      <c r="C20" s="1488"/>
      <c r="D20" s="333" t="str">
        <f>+'01-FR-03 POA INSTITUCIONAL'!D17</f>
        <v>1.1.5 Atender y gestionar 64.307 peticiones y/o requerimientos presentados por la comunidad en garantía de derechos.</v>
      </c>
      <c r="E20" s="52">
        <f>+'01-FR-03 POA INSTITUCIONAL'!E17</f>
        <v>0.06</v>
      </c>
      <c r="F20" s="139">
        <f>+'01-FR-03 POA INSTITUCIONAL'!F17</f>
        <v>64307</v>
      </c>
      <c r="G20" s="139">
        <f>+'01-FR-03 POA INSTITUCIONAL'!K17</f>
        <v>17807</v>
      </c>
      <c r="H20" s="140" t="str">
        <f>+'01-FR-03 POA INSTITUCIONAL'!G17</f>
        <v>S.I.</v>
      </c>
      <c r="I20" s="140" t="str">
        <f>+'01-FR-03 POA INSTITUCIONAL'!H17</f>
        <v>Peticiones o requerimientos ciudadanos atendidos en garantía de derechos</v>
      </c>
      <c r="J20" s="140" t="s">
        <v>261</v>
      </c>
      <c r="K20" s="148" t="s">
        <v>214</v>
      </c>
      <c r="L20" s="260" t="s">
        <v>218</v>
      </c>
      <c r="M20" s="220" t="s">
        <v>210</v>
      </c>
      <c r="N20" s="220" t="s">
        <v>211</v>
      </c>
      <c r="O20" s="34" t="str">
        <f>+'01-FR-03 POA INSTITUCIONAL'!J17</f>
        <v>P.D. para la Coordinación del MP y DDHH, P.D. para Asuntos Penales I, Penales II, Policivos y Civiles, Derechos Humanos, Familia y Orientación y Asistencia.
P.D. para la Coordinación de la Gestión de Personerías Locales y sus Personerías Locales adscritas</v>
      </c>
      <c r="P20" s="261">
        <f>250+250</f>
        <v>500</v>
      </c>
      <c r="Q20" s="261">
        <v>692</v>
      </c>
      <c r="R20" s="261">
        <f>360+1150</f>
        <v>1510</v>
      </c>
      <c r="S20" s="261">
        <v>901</v>
      </c>
      <c r="T20" s="261">
        <f>360+1150</f>
        <v>1510</v>
      </c>
      <c r="U20" s="261">
        <v>1009</v>
      </c>
      <c r="V20" s="53">
        <f t="shared" si="2"/>
        <v>3520</v>
      </c>
      <c r="W20" s="53">
        <f t="shared" si="2"/>
        <v>2602</v>
      </c>
      <c r="X20" s="261">
        <f>360+1150</f>
        <v>1510</v>
      </c>
      <c r="Y20" s="261">
        <v>1521</v>
      </c>
      <c r="Z20" s="261">
        <f>360+1150</f>
        <v>1510</v>
      </c>
      <c r="AA20" s="261">
        <v>1667</v>
      </c>
      <c r="AB20" s="261">
        <f>360+1150</f>
        <v>1510</v>
      </c>
      <c r="AC20" s="261">
        <v>1659</v>
      </c>
      <c r="AD20" s="53">
        <f t="shared" si="3"/>
        <v>4530</v>
      </c>
      <c r="AE20" s="53">
        <f t="shared" si="3"/>
        <v>4847</v>
      </c>
      <c r="AF20" s="261">
        <f>370+1150</f>
        <v>1520</v>
      </c>
      <c r="AG20" s="261">
        <v>1118</v>
      </c>
      <c r="AH20" s="1002">
        <f>681+1150</f>
        <v>1831</v>
      </c>
      <c r="AI20" s="261">
        <v>1187</v>
      </c>
      <c r="AJ20" s="1002">
        <f>681+1150</f>
        <v>1831</v>
      </c>
      <c r="AK20" s="261">
        <v>1488</v>
      </c>
      <c r="AL20" s="53">
        <f t="shared" si="4"/>
        <v>5182</v>
      </c>
      <c r="AM20" s="53">
        <f t="shared" si="4"/>
        <v>3793</v>
      </c>
      <c r="AN20" s="1002">
        <f>681+1150</f>
        <v>1831</v>
      </c>
      <c r="AO20" s="261"/>
      <c r="AP20" s="1002">
        <f>681+1150</f>
        <v>1831</v>
      </c>
      <c r="AQ20" s="261"/>
      <c r="AR20" s="1002">
        <f>663+250</f>
        <v>913</v>
      </c>
      <c r="AS20" s="261"/>
      <c r="AT20" s="53">
        <f t="shared" si="5"/>
        <v>4575</v>
      </c>
      <c r="AU20" s="53">
        <f t="shared" si="5"/>
        <v>0</v>
      </c>
      <c r="AV20" s="263">
        <f t="shared" si="6"/>
        <v>17807</v>
      </c>
      <c r="AW20" s="81">
        <f t="shared" si="7"/>
        <v>2602</v>
      </c>
      <c r="AX20" s="685">
        <f t="shared" si="8"/>
        <v>7449</v>
      </c>
      <c r="AY20" s="81">
        <f t="shared" si="9"/>
        <v>11242</v>
      </c>
      <c r="AZ20" s="386">
        <f t="shared" si="10"/>
        <v>11242</v>
      </c>
      <c r="BA20" s="347">
        <f t="shared" ref="BA20:BA21" si="16">IF(AND(AW20&gt;0,$AV20&gt;0),AW20/$AV20,0)</f>
        <v>0.14612231145055316</v>
      </c>
      <c r="BB20" s="347">
        <f t="shared" ref="BB20:BB21" si="17">IF(AND(AX20&gt;0,$AV20&gt;0),AX20/$AV20,0)</f>
        <v>0.41831863873757513</v>
      </c>
      <c r="BC20" s="347">
        <f t="shared" ref="BC20:BC21" si="18">IF(AND(AY20&gt;0,$AV20&gt;0),AY20/$AV20,0)</f>
        <v>0.63132475992587189</v>
      </c>
      <c r="BD20" s="347">
        <f t="shared" ref="BD20:BD21" si="19">IF(AND(AZ20&gt;0,$AV20&gt;0),AZ20/$AV20,0)</f>
        <v>0.63132475992587189</v>
      </c>
      <c r="BE20" s="390">
        <f t="shared" si="15"/>
        <v>4.0462158085433936E-2</v>
      </c>
      <c r="BF20" s="390">
        <f t="shared" si="1"/>
        <v>0.11583497908470307</v>
      </c>
      <c r="BG20" s="390">
        <f t="shared" si="1"/>
        <v>0.17481767148210925</v>
      </c>
      <c r="BH20" s="391">
        <f t="shared" si="1"/>
        <v>0.17481767148210925</v>
      </c>
    </row>
    <row r="21" spans="2:60" ht="189.75" customHeight="1">
      <c r="B21" s="1636"/>
      <c r="C21" s="1488"/>
      <c r="D21" s="333"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9">
        <f>+'01-FR-03 POA INSTITUCIONAL'!F18</f>
        <v>80</v>
      </c>
      <c r="G21" s="139">
        <f>+'01-FR-03 POA INSTITUCIONAL'!K18</f>
        <v>20</v>
      </c>
      <c r="H21" s="140" t="str">
        <f>+'01-FR-03 POA INSTITUCIONAL'!G18</f>
        <v>S.I.</v>
      </c>
      <c r="I21" s="140" t="str">
        <f>+'01-FR-03 POA INSTITUCIONAL'!H18</f>
        <v>Espacios de mejora y transferencia de conocimiento realizados</v>
      </c>
      <c r="J21" s="140" t="s">
        <v>252</v>
      </c>
      <c r="K21" s="148" t="s">
        <v>219</v>
      </c>
      <c r="L21" s="260" t="s">
        <v>220</v>
      </c>
      <c r="M21" s="220" t="s">
        <v>210</v>
      </c>
      <c r="N21" s="220" t="s">
        <v>211</v>
      </c>
      <c r="O21" s="34" t="str">
        <f>+'01-FR-03 POA INSTITUCIONAL'!J18</f>
        <v>P.D. para la Coordinación del MP y DDHH y sus dependencias adscritas.</v>
      </c>
      <c r="P21" s="261">
        <v>0</v>
      </c>
      <c r="Q21" s="261">
        <v>0</v>
      </c>
      <c r="R21" s="261">
        <v>0</v>
      </c>
      <c r="S21" s="261">
        <v>0</v>
      </c>
      <c r="T21" s="261">
        <v>5</v>
      </c>
      <c r="U21" s="261">
        <v>1</v>
      </c>
      <c r="V21" s="53">
        <f t="shared" si="2"/>
        <v>5</v>
      </c>
      <c r="W21" s="53">
        <f t="shared" si="2"/>
        <v>1</v>
      </c>
      <c r="X21" s="261">
        <v>5</v>
      </c>
      <c r="Y21" s="261">
        <v>0</v>
      </c>
      <c r="Z21" s="261">
        <v>5</v>
      </c>
      <c r="AA21" s="261">
        <v>2</v>
      </c>
      <c r="AB21" s="261">
        <v>5</v>
      </c>
      <c r="AC21" s="261">
        <v>8</v>
      </c>
      <c r="AD21" s="53">
        <f t="shared" si="3"/>
        <v>15</v>
      </c>
      <c r="AE21" s="53">
        <f t="shared" si="3"/>
        <v>10</v>
      </c>
      <c r="AF21" s="261">
        <v>0</v>
      </c>
      <c r="AG21" s="261">
        <v>4</v>
      </c>
      <c r="AH21" s="261">
        <v>0</v>
      </c>
      <c r="AI21" s="261">
        <v>1</v>
      </c>
      <c r="AJ21" s="262">
        <v>0</v>
      </c>
      <c r="AK21" s="262">
        <v>1</v>
      </c>
      <c r="AL21" s="53">
        <f t="shared" si="4"/>
        <v>0</v>
      </c>
      <c r="AM21" s="53">
        <f t="shared" si="4"/>
        <v>6</v>
      </c>
      <c r="AN21" s="261">
        <v>0</v>
      </c>
      <c r="AO21" s="261"/>
      <c r="AP21" s="261">
        <v>0</v>
      </c>
      <c r="AQ21" s="261"/>
      <c r="AR21" s="261">
        <v>0</v>
      </c>
      <c r="AS21" s="261"/>
      <c r="AT21" s="53">
        <f t="shared" si="5"/>
        <v>0</v>
      </c>
      <c r="AU21" s="53">
        <f t="shared" si="5"/>
        <v>0</v>
      </c>
      <c r="AV21" s="263">
        <f t="shared" si="6"/>
        <v>20</v>
      </c>
      <c r="AW21" s="81">
        <f t="shared" si="7"/>
        <v>1</v>
      </c>
      <c r="AX21" s="685">
        <f t="shared" si="8"/>
        <v>11</v>
      </c>
      <c r="AY21" s="81">
        <f t="shared" si="9"/>
        <v>17</v>
      </c>
      <c r="AZ21" s="386">
        <f t="shared" si="10"/>
        <v>17</v>
      </c>
      <c r="BA21" s="347">
        <f t="shared" si="16"/>
        <v>0.05</v>
      </c>
      <c r="BB21" s="347">
        <f t="shared" si="17"/>
        <v>0.55000000000000004</v>
      </c>
      <c r="BC21" s="347">
        <f t="shared" si="18"/>
        <v>0.85</v>
      </c>
      <c r="BD21" s="347">
        <f t="shared" si="19"/>
        <v>0.85</v>
      </c>
      <c r="BE21" s="390">
        <f t="shared" ref="BE21" si="20">(IF(AND(AW21&gt;0,$F21&gt;0),AW21/$F21,0))</f>
        <v>1.2500000000000001E-2</v>
      </c>
      <c r="BF21" s="390">
        <f t="shared" ref="BF21" si="21">(IF(AND(AX21&gt;0,$F21&gt;0),AX21/$F21,0))</f>
        <v>0.13750000000000001</v>
      </c>
      <c r="BG21" s="390">
        <f t="shared" ref="BG21" si="22">(IF(AND(AY21&gt;0,$F21&gt;0),AY21/$F21,0))</f>
        <v>0.21249999999999999</v>
      </c>
      <c r="BH21" s="391">
        <f t="shared" ref="BH21" si="23">(IF(AND(AZ21&gt;0,$F21&gt;0),AZ21/$F21,0))</f>
        <v>0.21249999999999999</v>
      </c>
    </row>
    <row r="22" spans="2:60" ht="160.5" customHeight="1">
      <c r="B22" s="1636"/>
      <c r="C22" s="1488"/>
      <c r="D22" s="333"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9" t="str">
        <f>+'01-FR-03 POA INSTITUCIONAL'!F19</f>
        <v>&gt;=95%</v>
      </c>
      <c r="G22" s="139" t="str">
        <f>+'01-FR-03 POA INSTITUCIONAL'!K19</f>
        <v>&gt;=95%</v>
      </c>
      <c r="H22" s="140" t="str">
        <f>+'01-FR-03 POA INSTITUCIONAL'!G19</f>
        <v>S.I.</v>
      </c>
      <c r="I22" s="140" t="str">
        <f>+'01-FR-03 POA INSTITUCIONAL'!H19</f>
        <v>Porcentaje de Acciones de Tutela, Desacatos e Impugnaciones Entregadas en un Termino Menor a Cinco (5) Días Hábiles</v>
      </c>
      <c r="J22" s="140" t="s">
        <v>253</v>
      </c>
      <c r="K22" s="148" t="s">
        <v>221</v>
      </c>
      <c r="L22" s="140" t="s">
        <v>222</v>
      </c>
      <c r="M22" s="220" t="s">
        <v>210</v>
      </c>
      <c r="N22" s="220" t="s">
        <v>211</v>
      </c>
      <c r="O22" s="34" t="str">
        <f>+'01-FR-03 POA INSTITUCIONAL'!J19</f>
        <v>P.D. para Asuntos Jurisdiccionales, Víctimas y Penal II.
P.D. para la Coordinación de la Gestión de Personerías Locales y sus Personerías Locales adscritas</v>
      </c>
      <c r="P22" s="265">
        <v>0.95</v>
      </c>
      <c r="Q22" s="361">
        <v>1</v>
      </c>
      <c r="R22" s="361">
        <v>0.95</v>
      </c>
      <c r="S22" s="361">
        <v>0.97899999999999998</v>
      </c>
      <c r="T22" s="361">
        <v>0.95</v>
      </c>
      <c r="U22" s="361">
        <v>0.997</v>
      </c>
      <c r="V22" s="362">
        <f>AVERAGE(P22,R22,T22)</f>
        <v>0.94999999999999984</v>
      </c>
      <c r="W22" s="362">
        <f>IFERROR(AVERAGE(Q22,S22,U22),0)</f>
        <v>0.99199999999999999</v>
      </c>
      <c r="X22" s="361">
        <v>0.95</v>
      </c>
      <c r="Y22" s="686">
        <v>0.99199999999999999</v>
      </c>
      <c r="Z22" s="361">
        <v>0.95</v>
      </c>
      <c r="AA22" s="686">
        <v>1</v>
      </c>
      <c r="AB22" s="361">
        <v>0.95</v>
      </c>
      <c r="AC22" s="686">
        <v>0.997</v>
      </c>
      <c r="AD22" s="362">
        <f>AVERAGE(X22,Z22,AB22)</f>
        <v>0.94999999999999984</v>
      </c>
      <c r="AE22" s="362">
        <f>IFERROR(AVERAGE(Y22,AA22,AC22),0)</f>
        <v>0.99633333333333329</v>
      </c>
      <c r="AF22" s="361">
        <v>0.95</v>
      </c>
      <c r="AG22" s="361">
        <v>1</v>
      </c>
      <c r="AH22" s="361">
        <v>0.95</v>
      </c>
      <c r="AI22" s="361">
        <v>1</v>
      </c>
      <c r="AJ22" s="361">
        <v>0.95</v>
      </c>
      <c r="AK22" s="361">
        <v>0.997</v>
      </c>
      <c r="AL22" s="362">
        <f>AVERAGE(AF22,AH22,AJ22)</f>
        <v>0.94999999999999984</v>
      </c>
      <c r="AM22" s="362">
        <f>IFERROR(AVERAGE(AG22,AI22,AK22),0)</f>
        <v>0.999</v>
      </c>
      <c r="AN22" s="361">
        <v>0.95</v>
      </c>
      <c r="AO22" s="397">
        <v>0</v>
      </c>
      <c r="AP22" s="361">
        <v>0.95</v>
      </c>
      <c r="AQ22" s="397">
        <v>0</v>
      </c>
      <c r="AR22" s="361">
        <v>0.95</v>
      </c>
      <c r="AS22" s="397">
        <v>0</v>
      </c>
      <c r="AT22" s="362">
        <f>AVERAGE(AN22,AP22,AR22)</f>
        <v>0.94999999999999984</v>
      </c>
      <c r="AU22" s="362">
        <f>IFERROR(AVERAGE(AO22,AQ22,AS22),0)</f>
        <v>0</v>
      </c>
      <c r="AV22" s="362">
        <f>AVERAGE(P22,R22,T22,X22,Z22,AB22,AF22,AH22,AJ22,AN22,AP22,AR22)</f>
        <v>0.94999999999999984</v>
      </c>
      <c r="AW22" s="334">
        <f>IFERROR(IF(OR($AV$22="",$AV$22=0),0,ROUNDDOWN(AVERAGE($Q22,$S22,$U22),3)),0)</f>
        <v>0.99199999999999999</v>
      </c>
      <c r="AX22" s="676">
        <f>IFERROR(IF(OR($AV$22="",$AV$22=0),0,ROUNDDOWN(AVERAGE($Q22,$S22,$U22,$Y22,$AA22,$AC22),3)),0)</f>
        <v>0.99399999999999999</v>
      </c>
      <c r="AY22" s="334">
        <f>IFERROR(IF(OR($AV$22="",$AV$22=0),0,ROUNDDOWN(AVERAGE($Q22,$S22,$U22,$Y22,$AA22,$AC22,$AG22,$AI22,$AK22),3)),0)</f>
        <v>0.995</v>
      </c>
      <c r="AZ22" s="377">
        <f>IFERROR(IF(OR($AV$22="",$AV$22=0),0,ROUNDDOWN(AVERAGE($Q22,$S22,$U22,$Y22,$AA22,$AC22,$AG22,$AI22,$AK22,$AO22,$AQ22,$AS22),3)),0)</f>
        <v>0.746</v>
      </c>
      <c r="BA22" s="347">
        <f>IF(AND(AW22&gt;0,$AV22&gt;0),AW22/$AV22,0)*0.25</f>
        <v>0.26105263157894742</v>
      </c>
      <c r="BB22" s="347">
        <f>IF(AND(AX22&gt;0,$AV22&gt;0),AX22/$AV22,0)*0.5</f>
        <v>0.52315789473684216</v>
      </c>
      <c r="BC22" s="347">
        <f>IF(AND(AY22&gt;0,$AV22&gt;0),AY22/$AV22,0)*0.75</f>
        <v>0.78552631578947385</v>
      </c>
      <c r="BD22" s="347">
        <f>IF(AND(AZ22&gt;0,$AV22&gt;0),AZ22/$AV22,0)</f>
        <v>0.785263157894737</v>
      </c>
      <c r="BE22" s="390">
        <f>((IF(AND(AW22&gt;0,95%&gt;0),AW22/95%,0))/4)*0.25</f>
        <v>6.5263157894736842E-2</v>
      </c>
      <c r="BF22" s="390">
        <f>((IF(AND(AX22&gt;0,95%&gt;0),AX22/95%,0))/4)*0.5</f>
        <v>0.13078947368421054</v>
      </c>
      <c r="BG22" s="390">
        <f>((IF(AND(AY22&gt;0,95%&gt;0),AY22/95%,0))/4)*0.75</f>
        <v>0.19638157894736846</v>
      </c>
      <c r="BH22" s="391">
        <f>(IF(AND(AZ22&gt;0,95%&gt;0),AZ22/95%,0))</f>
        <v>0.78526315789473689</v>
      </c>
    </row>
    <row r="23" spans="2:60" ht="138.75" customHeight="1">
      <c r="B23" s="1636"/>
      <c r="C23" s="1488"/>
      <c r="D23" s="333"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9">
        <f>+'01-FR-03 POA INSTITUCIONAL'!F20</f>
        <v>20000</v>
      </c>
      <c r="G23" s="139">
        <f>+'01-FR-03 POA INSTITUCIONAL'!K20</f>
        <v>5000</v>
      </c>
      <c r="H23" s="140" t="str">
        <f>+'01-FR-03 POA INSTITUCIONAL'!G20</f>
        <v>S.I.</v>
      </c>
      <c r="I23" s="140" t="str">
        <f>+'01-FR-03 POA INSTITUCIONAL'!H20</f>
        <v>Audiencias Publicas Realizadas con Asistencia del Ministerio Público</v>
      </c>
      <c r="J23" s="140" t="s">
        <v>254</v>
      </c>
      <c r="K23" s="148" t="s">
        <v>223</v>
      </c>
      <c r="L23" s="260" t="s">
        <v>224</v>
      </c>
      <c r="M23" s="220" t="s">
        <v>210</v>
      </c>
      <c r="N23" s="220" t="s">
        <v>211</v>
      </c>
      <c r="O23" s="34" t="str">
        <f>+'01-FR-03 POA INSTITUCIONAL'!J20</f>
        <v>P.D. para la Coordinación de la Gestión de Personerías Locales y sus Personerías Locales adscritas</v>
      </c>
      <c r="P23" s="262">
        <v>100</v>
      </c>
      <c r="Q23" s="261">
        <v>300</v>
      </c>
      <c r="R23" s="262">
        <v>460</v>
      </c>
      <c r="S23" s="261">
        <v>322</v>
      </c>
      <c r="T23" s="262">
        <v>460</v>
      </c>
      <c r="U23" s="261">
        <v>355</v>
      </c>
      <c r="V23" s="53">
        <f t="shared" si="2"/>
        <v>1020</v>
      </c>
      <c r="W23" s="53">
        <f t="shared" si="2"/>
        <v>977</v>
      </c>
      <c r="X23" s="262">
        <v>460</v>
      </c>
      <c r="Y23" s="261">
        <v>614</v>
      </c>
      <c r="Z23" s="262">
        <v>460</v>
      </c>
      <c r="AA23" s="261">
        <v>784</v>
      </c>
      <c r="AB23" s="262">
        <v>460</v>
      </c>
      <c r="AC23" s="261">
        <v>448</v>
      </c>
      <c r="AD23" s="53">
        <f t="shared" si="3"/>
        <v>1380</v>
      </c>
      <c r="AE23" s="53">
        <f t="shared" si="3"/>
        <v>1846</v>
      </c>
      <c r="AF23" s="262">
        <v>460</v>
      </c>
      <c r="AG23" s="261">
        <v>543</v>
      </c>
      <c r="AH23" s="262">
        <v>460</v>
      </c>
      <c r="AI23" s="261">
        <v>550</v>
      </c>
      <c r="AJ23" s="262">
        <v>460</v>
      </c>
      <c r="AK23" s="261">
        <v>655</v>
      </c>
      <c r="AL23" s="53">
        <f t="shared" si="4"/>
        <v>1380</v>
      </c>
      <c r="AM23" s="53">
        <f t="shared" si="4"/>
        <v>1748</v>
      </c>
      <c r="AN23" s="262">
        <v>460</v>
      </c>
      <c r="AO23" s="261"/>
      <c r="AP23" s="262">
        <v>460</v>
      </c>
      <c r="AQ23" s="261"/>
      <c r="AR23" s="261">
        <v>300</v>
      </c>
      <c r="AS23" s="261"/>
      <c r="AT23" s="53">
        <f t="shared" si="5"/>
        <v>1220</v>
      </c>
      <c r="AU23" s="53">
        <f t="shared" si="5"/>
        <v>0</v>
      </c>
      <c r="AV23" s="263">
        <f t="shared" si="6"/>
        <v>5000</v>
      </c>
      <c r="AW23" s="81">
        <f t="shared" si="7"/>
        <v>977</v>
      </c>
      <c r="AX23" s="685">
        <f t="shared" si="8"/>
        <v>2823</v>
      </c>
      <c r="AY23" s="81">
        <f t="shared" si="9"/>
        <v>4571</v>
      </c>
      <c r="AZ23" s="386">
        <f t="shared" si="10"/>
        <v>4571</v>
      </c>
      <c r="BA23" s="347">
        <f t="shared" ref="BA23:BA24" si="24">IF(AND(AW23&gt;0,$AV23&gt;0),AW23/$AV23,0)</f>
        <v>0.19539999999999999</v>
      </c>
      <c r="BB23" s="347">
        <f t="shared" ref="BB23:BB24" si="25">IF(AND(AX23&gt;0,$AV23&gt;0),AX23/$AV23,0)</f>
        <v>0.56459999999999999</v>
      </c>
      <c r="BC23" s="347">
        <f t="shared" ref="BC23:BC24" si="26">IF(AND(AY23&gt;0,$AV23&gt;0),AY23/$AV23,0)</f>
        <v>0.91420000000000001</v>
      </c>
      <c r="BD23" s="347">
        <f t="shared" ref="BD23:BD24" si="27">IF(AND(AZ23&gt;0,$AV23&gt;0),AZ23/$AV23,0)</f>
        <v>0.91420000000000001</v>
      </c>
      <c r="BE23" s="390">
        <f t="shared" ref="BE23:BE36" si="28">(IF(AND(AW23&gt;0,$F23&gt;0),AW23/$F23,0))</f>
        <v>4.8849999999999998E-2</v>
      </c>
      <c r="BF23" s="390">
        <f t="shared" ref="BF23:BF24" si="29">(IF(AND(AX23&gt;0,$F23&gt;0),AX23/$F23,0))</f>
        <v>0.14115</v>
      </c>
      <c r="BG23" s="390">
        <f t="shared" ref="BG23:BG24" si="30">(IF(AND(AY23&gt;0,$F23&gt;0),AY23/$F23,0))</f>
        <v>0.22855</v>
      </c>
      <c r="BH23" s="391">
        <f t="shared" ref="BH23" si="31">(IF(AND(AZ23&gt;0,$F23&gt;0),AZ23/$F23,0))</f>
        <v>0.22855</v>
      </c>
    </row>
    <row r="24" spans="2:60" ht="236.25" customHeight="1">
      <c r="B24" s="1636"/>
      <c r="C24" s="1488"/>
      <c r="D24" s="333" t="str">
        <f>+'01-FR-03 POA INSTITUCIONAL'!D21</f>
        <v>1.1.9 Realizar 12.000 intervenciones de manera oportuna para evitar situaciones de caducidad y perdida de fuerza ejecutoria en las actuaciones administrativas y policivas</v>
      </c>
      <c r="E24" s="52">
        <f>+'01-FR-03 POA INSTITUCIONAL'!E21</f>
        <v>0.01</v>
      </c>
      <c r="F24" s="139">
        <f>+'01-FR-03 POA INSTITUCIONAL'!F21</f>
        <v>12000</v>
      </c>
      <c r="G24" s="139">
        <f>+'01-FR-03 POA INSTITUCIONAL'!K21</f>
        <v>3000</v>
      </c>
      <c r="H24" s="140" t="str">
        <f>+'01-FR-03 POA INSTITUCIONAL'!G21</f>
        <v>S.I.</v>
      </c>
      <c r="I24" s="140" t="str">
        <f>+'01-FR-03 POA INSTITUCIONAL'!H21</f>
        <v>Intervenciones realizadas oportunamente para evitar la caducidad y perdida de fuerza ejecutoria (Impulsos procesales)</v>
      </c>
      <c r="J24" s="140" t="s">
        <v>263</v>
      </c>
      <c r="K24" s="148" t="s">
        <v>225</v>
      </c>
      <c r="L24" s="260" t="s">
        <v>269</v>
      </c>
      <c r="M24" s="220" t="s">
        <v>210</v>
      </c>
      <c r="N24" s="220" t="s">
        <v>211</v>
      </c>
      <c r="O24" s="34" t="str">
        <f>+'01-FR-03 POA INSTITUCIONAL'!J21</f>
        <v>P.D. para la Coordinación de la Gestión de Personerías Locales y sus Personerías Locales adscritas</v>
      </c>
      <c r="P24" s="262">
        <v>100</v>
      </c>
      <c r="Q24" s="261">
        <v>58</v>
      </c>
      <c r="R24" s="262">
        <v>270</v>
      </c>
      <c r="S24" s="261">
        <v>140</v>
      </c>
      <c r="T24" s="262">
        <v>270</v>
      </c>
      <c r="U24" s="261">
        <v>290</v>
      </c>
      <c r="V24" s="53">
        <f t="shared" si="2"/>
        <v>640</v>
      </c>
      <c r="W24" s="53">
        <f t="shared" si="2"/>
        <v>488</v>
      </c>
      <c r="X24" s="262">
        <v>270</v>
      </c>
      <c r="Y24" s="261">
        <v>359</v>
      </c>
      <c r="Z24" s="262">
        <v>270</v>
      </c>
      <c r="AA24" s="261">
        <v>565</v>
      </c>
      <c r="AB24" s="262">
        <v>270</v>
      </c>
      <c r="AC24" s="262">
        <v>436</v>
      </c>
      <c r="AD24" s="53">
        <f t="shared" si="3"/>
        <v>810</v>
      </c>
      <c r="AE24" s="53">
        <f t="shared" si="3"/>
        <v>1360</v>
      </c>
      <c r="AF24" s="262">
        <v>270</v>
      </c>
      <c r="AG24" s="261">
        <v>190</v>
      </c>
      <c r="AH24" s="262">
        <v>270</v>
      </c>
      <c r="AI24" s="261">
        <v>345</v>
      </c>
      <c r="AJ24" s="262">
        <v>270</v>
      </c>
      <c r="AK24" s="262">
        <v>552</v>
      </c>
      <c r="AL24" s="53">
        <f t="shared" si="4"/>
        <v>810</v>
      </c>
      <c r="AM24" s="53">
        <f t="shared" si="4"/>
        <v>1087</v>
      </c>
      <c r="AN24" s="262">
        <v>270</v>
      </c>
      <c r="AO24" s="261"/>
      <c r="AP24" s="262">
        <v>270</v>
      </c>
      <c r="AQ24" s="261"/>
      <c r="AR24" s="261">
        <v>200</v>
      </c>
      <c r="AS24" s="261"/>
      <c r="AT24" s="53">
        <f t="shared" si="5"/>
        <v>740</v>
      </c>
      <c r="AU24" s="53">
        <f t="shared" si="5"/>
        <v>0</v>
      </c>
      <c r="AV24" s="263">
        <f t="shared" si="6"/>
        <v>3000</v>
      </c>
      <c r="AW24" s="81">
        <f t="shared" si="7"/>
        <v>488</v>
      </c>
      <c r="AX24" s="685">
        <f t="shared" si="8"/>
        <v>1848</v>
      </c>
      <c r="AY24" s="81">
        <f t="shared" si="9"/>
        <v>2935</v>
      </c>
      <c r="AZ24" s="386">
        <f t="shared" si="10"/>
        <v>2935</v>
      </c>
      <c r="BA24" s="347">
        <f t="shared" si="24"/>
        <v>0.16266666666666665</v>
      </c>
      <c r="BB24" s="347">
        <f t="shared" si="25"/>
        <v>0.61599999999999999</v>
      </c>
      <c r="BC24" s="347">
        <f t="shared" si="26"/>
        <v>0.97833333333333339</v>
      </c>
      <c r="BD24" s="347">
        <f t="shared" si="27"/>
        <v>0.97833333333333339</v>
      </c>
      <c r="BE24" s="390">
        <f t="shared" si="28"/>
        <v>4.0666666666666663E-2</v>
      </c>
      <c r="BF24" s="390">
        <f t="shared" si="29"/>
        <v>0.154</v>
      </c>
      <c r="BG24" s="390">
        <f t="shared" si="30"/>
        <v>0.24458333333333335</v>
      </c>
      <c r="BH24" s="396">
        <f t="shared" ref="BH24:BH36" si="32">(IF(AND(AZ24&gt;0,$AV24&gt;0),AZ24/$AV24,0))*$E24</f>
        <v>9.7833333333333349E-3</v>
      </c>
    </row>
    <row r="25" spans="2:60" ht="136.5" customHeight="1">
      <c r="B25" s="1636"/>
      <c r="C25" s="1488"/>
      <c r="D25" s="333" t="str">
        <f>+'01-FR-03 POA INSTITUCIONAL'!D22</f>
        <v>1.1.10 Impulsar 2.800 expedientes que contengan orden de policía (MULTA) en firme y ejecutoriada, para que se efectúen cobros persuasivos y/o se de traslado para el cobro coactivo.</v>
      </c>
      <c r="E25" s="52">
        <f>+'01-FR-03 POA INSTITUCIONAL'!E22</f>
        <v>0.01</v>
      </c>
      <c r="F25" s="139">
        <f>+'01-FR-03 POA INSTITUCIONAL'!F22</f>
        <v>2800</v>
      </c>
      <c r="G25" s="139">
        <f>+'01-FR-03 POA INSTITUCIONAL'!K22</f>
        <v>700</v>
      </c>
      <c r="H25" s="140" t="str">
        <f>+'01-FR-03 POA INSTITUCIONAL'!G22</f>
        <v>S.I.</v>
      </c>
      <c r="I25" s="140" t="str">
        <f>+'01-FR-03 POA INSTITUCIONAL'!H22</f>
        <v>Expedientes con impulso procesal para la gestión de multas</v>
      </c>
      <c r="J25" s="140" t="s">
        <v>720</v>
      </c>
      <c r="K25" s="148" t="s">
        <v>226</v>
      </c>
      <c r="L25" s="260" t="s">
        <v>227</v>
      </c>
      <c r="M25" s="220" t="s">
        <v>210</v>
      </c>
      <c r="N25" s="220" t="s">
        <v>211</v>
      </c>
      <c r="O25" s="34" t="str">
        <f>+'01-FR-03 POA INSTITUCIONAL'!J22</f>
        <v>P.D. para la Coordinación de la Gestión de Personerías Locales y sus Personerías Locales adscritas</v>
      </c>
      <c r="P25" s="262">
        <v>25</v>
      </c>
      <c r="Q25" s="262">
        <v>0</v>
      </c>
      <c r="R25" s="262">
        <v>60</v>
      </c>
      <c r="S25" s="262">
        <v>9</v>
      </c>
      <c r="T25" s="262">
        <v>60</v>
      </c>
      <c r="U25" s="262">
        <v>65</v>
      </c>
      <c r="V25" s="53">
        <f t="shared" si="2"/>
        <v>145</v>
      </c>
      <c r="W25" s="53">
        <f t="shared" si="2"/>
        <v>74</v>
      </c>
      <c r="X25" s="262">
        <v>60</v>
      </c>
      <c r="Y25" s="262">
        <v>206</v>
      </c>
      <c r="Z25" s="262">
        <v>65</v>
      </c>
      <c r="AA25" s="262">
        <v>243</v>
      </c>
      <c r="AB25" s="262">
        <v>65</v>
      </c>
      <c r="AC25" s="262">
        <v>186</v>
      </c>
      <c r="AD25" s="53">
        <f t="shared" si="3"/>
        <v>190</v>
      </c>
      <c r="AE25" s="53">
        <f t="shared" si="3"/>
        <v>635</v>
      </c>
      <c r="AF25" s="262">
        <v>65</v>
      </c>
      <c r="AG25" s="261">
        <v>22</v>
      </c>
      <c r="AH25" s="262">
        <v>65</v>
      </c>
      <c r="AI25" s="261">
        <v>61</v>
      </c>
      <c r="AJ25" s="262">
        <v>65</v>
      </c>
      <c r="AK25" s="262">
        <v>27</v>
      </c>
      <c r="AL25" s="53">
        <f t="shared" si="4"/>
        <v>195</v>
      </c>
      <c r="AM25" s="53">
        <f t="shared" si="4"/>
        <v>110</v>
      </c>
      <c r="AN25" s="261">
        <v>60</v>
      </c>
      <c r="AO25" s="261"/>
      <c r="AP25" s="261">
        <v>60</v>
      </c>
      <c r="AQ25" s="261"/>
      <c r="AR25" s="261">
        <v>50</v>
      </c>
      <c r="AS25" s="261"/>
      <c r="AT25" s="53">
        <f t="shared" si="5"/>
        <v>170</v>
      </c>
      <c r="AU25" s="53">
        <f t="shared" si="5"/>
        <v>0</v>
      </c>
      <c r="AV25" s="263">
        <f t="shared" si="6"/>
        <v>700</v>
      </c>
      <c r="AW25" s="81">
        <f t="shared" si="7"/>
        <v>74</v>
      </c>
      <c r="AX25" s="685">
        <f t="shared" si="8"/>
        <v>709</v>
      </c>
      <c r="AY25" s="81">
        <f t="shared" si="9"/>
        <v>819</v>
      </c>
      <c r="AZ25" s="386">
        <f t="shared" si="10"/>
        <v>819</v>
      </c>
      <c r="BA25" s="347">
        <f t="shared" ref="BA25:BA36" si="33">IF(AND(AW25&gt;0,$AV25&gt;0),AW25/$AV25,0)</f>
        <v>0.10571428571428572</v>
      </c>
      <c r="BB25" s="347">
        <f t="shared" ref="BB25:BB36" si="34">IF(AND(AX25&gt;0,$AV25&gt;0),AX25/$AV25,0)</f>
        <v>1.0128571428571429</v>
      </c>
      <c r="BC25" s="347">
        <f t="shared" ref="BC25:BC36" si="35">IF(AND(AY25&gt;0,$AV25&gt;0),AY25/$AV25,0)</f>
        <v>1.17</v>
      </c>
      <c r="BD25" s="347">
        <f t="shared" ref="BD25:BD36" si="36">IF(AND(AZ25&gt;0,$AV25&gt;0),AZ25/$AV25,0)</f>
        <v>1.17</v>
      </c>
      <c r="BE25" s="390">
        <f t="shared" si="28"/>
        <v>2.642857142857143E-2</v>
      </c>
      <c r="BF25" s="390">
        <f t="shared" ref="BF25" si="37">(IF(AND(AX25&gt;0,$F25&gt;0),AX25/$F25,0))</f>
        <v>0.25321428571428573</v>
      </c>
      <c r="BG25" s="390">
        <f t="shared" ref="BG25" si="38">(IF(AND(AY25&gt;0,$F25&gt;0),AY25/$F25,0))</f>
        <v>0.29249999999999998</v>
      </c>
      <c r="BH25" s="396">
        <f t="shared" si="32"/>
        <v>1.17E-2</v>
      </c>
    </row>
    <row r="26" spans="2:60" ht="196.5" customHeight="1">
      <c r="B26" s="1636"/>
      <c r="C26" s="1489"/>
      <c r="D26" s="333" t="str">
        <f>+'01-FR-03 POA INSTITUCIONAL'!D23</f>
        <v>1.1.11 Establecer de forma periódica, 60 estados de la vulneración de  los derechos humanos en las localidades, dando a conocer a las Entidades correspondientes los hechos observados que requieren su intervención.</v>
      </c>
      <c r="E26" s="52">
        <f>+'01-FR-03 POA INSTITUCIONAL'!E23</f>
        <v>0.01</v>
      </c>
      <c r="F26" s="139">
        <f>+'01-FR-03 POA INSTITUCIONAL'!F23</f>
        <v>60</v>
      </c>
      <c r="G26" s="139">
        <f>+'01-FR-03 POA INSTITUCIONAL'!K23</f>
        <v>0</v>
      </c>
      <c r="H26" s="140" t="str">
        <f>+'01-FR-03 POA INSTITUCIONAL'!G23</f>
        <v>S.I.</v>
      </c>
      <c r="I26" s="140" t="str">
        <f>+'01-FR-03 POA INSTITUCIONAL'!H23</f>
        <v>Estados de vulneración establecidos</v>
      </c>
      <c r="J26" s="140" t="s">
        <v>270</v>
      </c>
      <c r="K26" s="148" t="s">
        <v>228</v>
      </c>
      <c r="L26" s="260" t="s">
        <v>271</v>
      </c>
      <c r="M26" s="220" t="s">
        <v>210</v>
      </c>
      <c r="N26" s="220" t="s">
        <v>211</v>
      </c>
      <c r="O26" s="34" t="str">
        <f>+'01-FR-03 POA INSTITUCIONAL'!J23</f>
        <v>P.D. para la Coordinación de la Gestión de Personerías Locales y sus Personerías Locales adscritas</v>
      </c>
      <c r="P26" s="261">
        <v>0</v>
      </c>
      <c r="Q26" s="261">
        <v>0</v>
      </c>
      <c r="R26" s="261">
        <v>0</v>
      </c>
      <c r="S26" s="261">
        <v>0</v>
      </c>
      <c r="T26" s="261">
        <v>0</v>
      </c>
      <c r="U26" s="261">
        <v>0</v>
      </c>
      <c r="V26" s="53">
        <f t="shared" si="2"/>
        <v>0</v>
      </c>
      <c r="W26" s="53">
        <f t="shared" si="2"/>
        <v>0</v>
      </c>
      <c r="X26" s="261">
        <v>0</v>
      </c>
      <c r="Y26" s="261">
        <v>0</v>
      </c>
      <c r="Z26" s="261">
        <v>0</v>
      </c>
      <c r="AA26" s="261">
        <v>0</v>
      </c>
      <c r="AB26" s="261">
        <v>0</v>
      </c>
      <c r="AC26" s="261">
        <v>0</v>
      </c>
      <c r="AD26" s="53">
        <f t="shared" si="3"/>
        <v>0</v>
      </c>
      <c r="AE26" s="53">
        <f t="shared" si="3"/>
        <v>0</v>
      </c>
      <c r="AF26" s="261">
        <v>0</v>
      </c>
      <c r="AG26" s="261">
        <v>0</v>
      </c>
      <c r="AH26" s="261">
        <v>0</v>
      </c>
      <c r="AI26" s="261">
        <v>0</v>
      </c>
      <c r="AJ26" s="262">
        <v>0</v>
      </c>
      <c r="AK26" s="262">
        <v>0</v>
      </c>
      <c r="AL26" s="53">
        <f t="shared" si="4"/>
        <v>0</v>
      </c>
      <c r="AM26" s="53">
        <f t="shared" si="4"/>
        <v>0</v>
      </c>
      <c r="AN26" s="261">
        <v>0</v>
      </c>
      <c r="AO26" s="261"/>
      <c r="AP26" s="261">
        <v>0</v>
      </c>
      <c r="AQ26" s="261"/>
      <c r="AR26" s="261">
        <v>0</v>
      </c>
      <c r="AS26" s="261"/>
      <c r="AT26" s="53">
        <f t="shared" si="5"/>
        <v>0</v>
      </c>
      <c r="AU26" s="53">
        <f t="shared" si="5"/>
        <v>0</v>
      </c>
      <c r="AV26" s="263">
        <f t="shared" si="6"/>
        <v>0</v>
      </c>
      <c r="AW26" s="81">
        <f t="shared" si="7"/>
        <v>0</v>
      </c>
      <c r="AX26" s="685">
        <f t="shared" si="8"/>
        <v>0</v>
      </c>
      <c r="AY26" s="81">
        <f t="shared" si="9"/>
        <v>0</v>
      </c>
      <c r="AZ26" s="386">
        <f t="shared" si="10"/>
        <v>0</v>
      </c>
      <c r="BA26" s="347">
        <f t="shared" si="33"/>
        <v>0</v>
      </c>
      <c r="BB26" s="347">
        <f t="shared" si="34"/>
        <v>0</v>
      </c>
      <c r="BC26" s="347">
        <f t="shared" si="35"/>
        <v>0</v>
      </c>
      <c r="BD26" s="347">
        <f t="shared" si="36"/>
        <v>0</v>
      </c>
      <c r="BE26" s="390">
        <f t="shared" si="28"/>
        <v>0</v>
      </c>
      <c r="BF26" s="335">
        <f t="shared" ref="BF26" si="39">(IF(AND(AX26&gt;0,$AV26&gt;0),AX26/$AV26,0))*$E26</f>
        <v>0</v>
      </c>
      <c r="BG26" s="335">
        <f t="shared" ref="BG26" si="40">(IF(AND(AY26&gt;0,$AV26&gt;0),AY26/$AV26,0))*$E26</f>
        <v>0</v>
      </c>
      <c r="BH26" s="396">
        <f t="shared" si="32"/>
        <v>0</v>
      </c>
    </row>
    <row r="27" spans="2:60" ht="123" customHeight="1">
      <c r="B27" s="1636"/>
      <c r="C27" s="1487" t="str" cm="1">
        <f t="array" ref="C27">'[4]POA Anualizado (Pág 1 de 3)'!C24:C24</f>
        <v>1.2. Realizar 232.288 acciones que propendan por la efectiva defensa y garantía de los derechos de los sujetos de especial protección constitucional, con énfasis en las personas mayores, mujeres y la población migrante en el Distrito Capital.</v>
      </c>
      <c r="D27" s="333" t="str">
        <f>+'01-FR-03 POA INSTITUCIONAL'!D24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9">
        <f>+'01-FR-03 POA INSTITUCIONAL'!F24</f>
        <v>187360</v>
      </c>
      <c r="G27" s="139">
        <f>+'01-FR-03 POA INSTITUCIONAL'!K24</f>
        <v>62360</v>
      </c>
      <c r="H27" s="140" t="str">
        <f>+'01-FR-03 POA INSTITUCIONAL'!G24</f>
        <v>S.I.</v>
      </c>
      <c r="I27" s="140" t="str">
        <f>+'01-FR-03 POA INSTITUCIONAL'!H24</f>
        <v>Personas sensibilizadas en el Distrito Capital</v>
      </c>
      <c r="J27" s="140" t="s">
        <v>255</v>
      </c>
      <c r="K27" s="148" t="s">
        <v>229</v>
      </c>
      <c r="L27" s="260" t="s">
        <v>230</v>
      </c>
      <c r="M27" s="220" t="s">
        <v>210</v>
      </c>
      <c r="N27" s="220" t="s">
        <v>211</v>
      </c>
      <c r="O27" s="34" t="str">
        <f>+'01-FR-03 POA INSTITUCIONAL'!J24</f>
        <v>P.D. para la Coordinación del MP y DDHH y sus dependencias adscritas
P.D. para la Coordinación de la Gestión de Personerías Locales y sus Personerías Locales adscritas</v>
      </c>
      <c r="P27" s="261">
        <v>0</v>
      </c>
      <c r="Q27" s="261">
        <v>1978</v>
      </c>
      <c r="R27" s="261">
        <v>0</v>
      </c>
      <c r="S27" s="261">
        <v>5685</v>
      </c>
      <c r="T27" s="261">
        <f>1100+4200</f>
        <v>5300</v>
      </c>
      <c r="U27" s="261">
        <v>17684</v>
      </c>
      <c r="V27" s="53">
        <f t="shared" si="2"/>
        <v>5300</v>
      </c>
      <c r="W27" s="53">
        <f t="shared" si="2"/>
        <v>25347</v>
      </c>
      <c r="X27" s="261">
        <f>1110+4200</f>
        <v>5310</v>
      </c>
      <c r="Y27" s="261">
        <v>7805</v>
      </c>
      <c r="Z27" s="261">
        <f>1110+4200</f>
        <v>5310</v>
      </c>
      <c r="AA27" s="261">
        <v>6548</v>
      </c>
      <c r="AB27" s="261">
        <f>1110+4200</f>
        <v>5310</v>
      </c>
      <c r="AC27" s="261">
        <v>11531</v>
      </c>
      <c r="AD27" s="53">
        <f t="shared" si="3"/>
        <v>15930</v>
      </c>
      <c r="AE27" s="53">
        <f t="shared" si="3"/>
        <v>25884</v>
      </c>
      <c r="AF27" s="261">
        <f>1110+4200</f>
        <v>5310</v>
      </c>
      <c r="AG27" s="261">
        <v>8958</v>
      </c>
      <c r="AH27" s="1002">
        <f>1110+7340</f>
        <v>8450</v>
      </c>
      <c r="AI27" s="261">
        <v>4805</v>
      </c>
      <c r="AJ27" s="1002">
        <f>1120+6840</f>
        <v>7960</v>
      </c>
      <c r="AK27" s="262">
        <v>4012</v>
      </c>
      <c r="AL27" s="53">
        <f t="shared" si="4"/>
        <v>21720</v>
      </c>
      <c r="AM27" s="53">
        <f t="shared" si="4"/>
        <v>17775</v>
      </c>
      <c r="AN27" s="1002">
        <f>1120+6840</f>
        <v>7960</v>
      </c>
      <c r="AO27" s="261"/>
      <c r="AP27" s="1002">
        <f>1110+6840</f>
        <v>7950</v>
      </c>
      <c r="AQ27" s="261"/>
      <c r="AR27" s="1002">
        <f>0+3500</f>
        <v>3500</v>
      </c>
      <c r="AS27" s="261"/>
      <c r="AT27" s="53">
        <f t="shared" si="5"/>
        <v>19410</v>
      </c>
      <c r="AU27" s="53">
        <f t="shared" si="5"/>
        <v>0</v>
      </c>
      <c r="AV27" s="263">
        <f t="shared" si="6"/>
        <v>62360</v>
      </c>
      <c r="AW27" s="81">
        <f t="shared" si="7"/>
        <v>25347</v>
      </c>
      <c r="AX27" s="685">
        <f t="shared" si="8"/>
        <v>51231</v>
      </c>
      <c r="AY27" s="81">
        <f t="shared" si="9"/>
        <v>69006</v>
      </c>
      <c r="AZ27" s="386">
        <f t="shared" si="10"/>
        <v>69006</v>
      </c>
      <c r="BA27" s="347">
        <f t="shared" si="33"/>
        <v>0.40646247594611928</v>
      </c>
      <c r="BB27" s="347">
        <f t="shared" si="34"/>
        <v>0.82153624118024371</v>
      </c>
      <c r="BC27" s="347">
        <f t="shared" si="35"/>
        <v>1.1065747273893523</v>
      </c>
      <c r="BD27" s="347">
        <f t="shared" si="36"/>
        <v>1.1065747273893523</v>
      </c>
      <c r="BE27" s="390">
        <f t="shared" si="28"/>
        <v>0.13528501280956448</v>
      </c>
      <c r="BF27" s="390">
        <f t="shared" ref="BF27:BF28" si="41">(IF(AND(AX27&gt;0,$F27&gt;0),AX27/$F27,0))</f>
        <v>0.27343616567036721</v>
      </c>
      <c r="BG27" s="390">
        <f t="shared" ref="BG27:BG28" si="42">(IF(AND(AY27&gt;0,$F27&gt;0),AY27/$F27,0))</f>
        <v>0.3683070025619129</v>
      </c>
      <c r="BH27" s="396">
        <f t="shared" si="32"/>
        <v>0.82993104554201413</v>
      </c>
    </row>
    <row r="28" spans="2:60" ht="144.75" customHeight="1">
      <c r="B28" s="1636"/>
      <c r="C28" s="1488"/>
      <c r="D28" s="333" t="str">
        <f>+'01-FR-03 POA INSTITUCIONAL'!D25</f>
        <v>1.2.2 Adelantar 25.680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9">
        <f>+'01-FR-03 POA INSTITUCIONAL'!F25</f>
        <v>25680</v>
      </c>
      <c r="G28" s="139">
        <f>+'01-FR-03 POA INSTITUCIONAL'!K25</f>
        <v>4080</v>
      </c>
      <c r="H28" s="140" t="str">
        <f>+'01-FR-03 POA INSTITUCIONAL'!G25</f>
        <v>S.I.</v>
      </c>
      <c r="I28" s="140" t="str">
        <f>+'01-FR-03 POA INSTITUCIONAL'!H25</f>
        <v>Acciones en favor de las víctimas del conflicto armado interno adelantadas</v>
      </c>
      <c r="J28" s="140" t="s">
        <v>256</v>
      </c>
      <c r="K28" s="148" t="s">
        <v>231</v>
      </c>
      <c r="L28" s="260" t="s">
        <v>232</v>
      </c>
      <c r="M28" s="220" t="s">
        <v>210</v>
      </c>
      <c r="N28" s="220" t="s">
        <v>211</v>
      </c>
      <c r="O28" s="34" t="str">
        <f>+'01-FR-03 POA INSTITUCIONAL'!J25</f>
        <v>P.D. para la Protección de las Víctimas del Conflicto Armado Interno
P.D. para la Coordinación de la Gestión de Personerías Locales y sus Personerías Locales adscritas</v>
      </c>
      <c r="P28" s="261">
        <f>8+100</f>
        <v>108</v>
      </c>
      <c r="Q28" s="261">
        <v>361</v>
      </c>
      <c r="R28" s="261">
        <f>18+630</f>
        <v>648</v>
      </c>
      <c r="S28" s="261">
        <v>422</v>
      </c>
      <c r="T28" s="261">
        <f>18+630</f>
        <v>648</v>
      </c>
      <c r="U28" s="261">
        <v>525</v>
      </c>
      <c r="V28" s="53">
        <f t="shared" si="2"/>
        <v>1404</v>
      </c>
      <c r="W28" s="53">
        <f t="shared" si="2"/>
        <v>1308</v>
      </c>
      <c r="X28" s="261">
        <f>18+630</f>
        <v>648</v>
      </c>
      <c r="Y28" s="261">
        <v>477</v>
      </c>
      <c r="Z28" s="261">
        <f>18+630</f>
        <v>648</v>
      </c>
      <c r="AA28" s="261">
        <v>484</v>
      </c>
      <c r="AB28" s="261">
        <f>18+630</f>
        <v>648</v>
      </c>
      <c r="AC28" s="261">
        <v>629</v>
      </c>
      <c r="AD28" s="53">
        <f t="shared" si="3"/>
        <v>1944</v>
      </c>
      <c r="AE28" s="53">
        <f t="shared" si="3"/>
        <v>1590</v>
      </c>
      <c r="AF28" s="261">
        <f>18+630</f>
        <v>648</v>
      </c>
      <c r="AG28" s="261">
        <v>812</v>
      </c>
      <c r="AH28" s="1002">
        <f>18+0</f>
        <v>18</v>
      </c>
      <c r="AI28" s="261">
        <v>786</v>
      </c>
      <c r="AJ28" s="1002">
        <f>18+0</f>
        <v>18</v>
      </c>
      <c r="AK28" s="261">
        <v>1208</v>
      </c>
      <c r="AL28" s="53">
        <f t="shared" si="4"/>
        <v>684</v>
      </c>
      <c r="AM28" s="53">
        <f t="shared" si="4"/>
        <v>2806</v>
      </c>
      <c r="AN28" s="1002">
        <f>18+0</f>
        <v>18</v>
      </c>
      <c r="AO28" s="261"/>
      <c r="AP28" s="1002">
        <f>18+0</f>
        <v>18</v>
      </c>
      <c r="AQ28" s="261"/>
      <c r="AR28" s="1002">
        <f>12+0</f>
        <v>12</v>
      </c>
      <c r="AS28" s="261"/>
      <c r="AT28" s="53">
        <f t="shared" si="5"/>
        <v>48</v>
      </c>
      <c r="AU28" s="53">
        <f t="shared" si="5"/>
        <v>0</v>
      </c>
      <c r="AV28" s="263">
        <f t="shared" si="6"/>
        <v>4080</v>
      </c>
      <c r="AW28" s="81">
        <f t="shared" si="7"/>
        <v>1308</v>
      </c>
      <c r="AX28" s="685">
        <f t="shared" si="8"/>
        <v>2898</v>
      </c>
      <c r="AY28" s="81">
        <f t="shared" si="9"/>
        <v>5704</v>
      </c>
      <c r="AZ28" s="386">
        <f t="shared" si="10"/>
        <v>5704</v>
      </c>
      <c r="BA28" s="347">
        <f t="shared" si="33"/>
        <v>0.32058823529411767</v>
      </c>
      <c r="BB28" s="347">
        <f t="shared" si="34"/>
        <v>0.71029411764705885</v>
      </c>
      <c r="BC28" s="347">
        <f t="shared" si="35"/>
        <v>1.3980392156862744</v>
      </c>
      <c r="BD28" s="347">
        <f t="shared" si="36"/>
        <v>1.3980392156862744</v>
      </c>
      <c r="BE28" s="390">
        <f t="shared" si="28"/>
        <v>5.0934579439252337E-2</v>
      </c>
      <c r="BF28" s="390">
        <f t="shared" si="41"/>
        <v>0.11285046728971962</v>
      </c>
      <c r="BG28" s="390">
        <f t="shared" si="42"/>
        <v>0.2221183800623053</v>
      </c>
      <c r="BH28" s="396">
        <f t="shared" si="32"/>
        <v>0.16776470588235293</v>
      </c>
    </row>
    <row r="29" spans="2:60" ht="136.5" customHeight="1">
      <c r="B29" s="1636"/>
      <c r="C29" s="1488"/>
      <c r="D29" s="333" t="str">
        <f>+'01-FR-03 POA INSTITUCIONAL'!D26</f>
        <v>1.2.3 Prevenir mediante la elaboración de 20.390 acciones constitucionales, la vulneración de derechos  con énfasis en sujetos de especial protección constitucional.</v>
      </c>
      <c r="E29" s="52">
        <f>+'01-FR-03 POA INSTITUCIONAL'!E26</f>
        <v>0.09</v>
      </c>
      <c r="F29" s="139">
        <f>+'01-FR-03 POA INSTITUCIONAL'!F26</f>
        <v>20390</v>
      </c>
      <c r="G29" s="139">
        <f>+'01-FR-03 POA INSTITUCIONAL'!K26</f>
        <v>4790</v>
      </c>
      <c r="H29" s="140" t="str">
        <f>+'01-FR-03 POA INSTITUCIONAL'!G26</f>
        <v>S.I.</v>
      </c>
      <c r="I29" s="140" t="str">
        <f>+'01-FR-03 POA INSTITUCIONAL'!H26</f>
        <v>Acciones constitucionales elaboradas para prevenir vulneración de derechos</v>
      </c>
      <c r="J29" s="140" t="s">
        <v>257</v>
      </c>
      <c r="K29" s="148" t="s">
        <v>233</v>
      </c>
      <c r="L29" s="260" t="s">
        <v>234</v>
      </c>
      <c r="M29" s="220" t="s">
        <v>210</v>
      </c>
      <c r="N29" s="220" t="s">
        <v>211</v>
      </c>
      <c r="O29" s="34" t="str">
        <f>+'01-FR-03 POA INSTITUCIONAL'!J26</f>
        <v>P.D. para Asuntos Jurisdiccionales, Víctimas, Penal II y Consumidor.
P.D. para la Coordinación de la Gestión de Personerías Locales y sus Personerías Locales adscritas</v>
      </c>
      <c r="P29" s="261">
        <f>50+200</f>
        <v>250</v>
      </c>
      <c r="Q29" s="261">
        <v>402</v>
      </c>
      <c r="R29" s="261">
        <f>60+490</f>
        <v>550</v>
      </c>
      <c r="S29" s="261">
        <v>444</v>
      </c>
      <c r="T29" s="261">
        <f>60+490</f>
        <v>550</v>
      </c>
      <c r="U29" s="261">
        <v>343</v>
      </c>
      <c r="V29" s="53">
        <f t="shared" si="2"/>
        <v>1350</v>
      </c>
      <c r="W29" s="53">
        <f t="shared" si="2"/>
        <v>1189</v>
      </c>
      <c r="X29" s="261">
        <f>60+490</f>
        <v>550</v>
      </c>
      <c r="Y29" s="261">
        <v>390</v>
      </c>
      <c r="Z29" s="261">
        <f>60+490</f>
        <v>550</v>
      </c>
      <c r="AA29" s="261">
        <v>364</v>
      </c>
      <c r="AB29" s="261">
        <f>60+490</f>
        <v>550</v>
      </c>
      <c r="AC29" s="261">
        <v>413</v>
      </c>
      <c r="AD29" s="53">
        <f t="shared" si="3"/>
        <v>1650</v>
      </c>
      <c r="AE29" s="53">
        <f t="shared" si="3"/>
        <v>1167</v>
      </c>
      <c r="AF29" s="261">
        <f>60+490</f>
        <v>550</v>
      </c>
      <c r="AG29" s="261">
        <v>411</v>
      </c>
      <c r="AH29" s="1002">
        <f>60+200</f>
        <v>260</v>
      </c>
      <c r="AI29" s="261">
        <v>460</v>
      </c>
      <c r="AJ29" s="1002">
        <f>60+200</f>
        <v>260</v>
      </c>
      <c r="AK29" s="261">
        <v>485</v>
      </c>
      <c r="AL29" s="53">
        <f t="shared" si="4"/>
        <v>1070</v>
      </c>
      <c r="AM29" s="53">
        <f t="shared" si="4"/>
        <v>1356</v>
      </c>
      <c r="AN29" s="1002">
        <f>60+200</f>
        <v>260</v>
      </c>
      <c r="AO29" s="261"/>
      <c r="AP29" s="1002">
        <f>60+200</f>
        <v>260</v>
      </c>
      <c r="AQ29" s="261"/>
      <c r="AR29" s="1002">
        <f>50+150</f>
        <v>200</v>
      </c>
      <c r="AS29" s="261"/>
      <c r="AT29" s="53">
        <f t="shared" si="5"/>
        <v>720</v>
      </c>
      <c r="AU29" s="53">
        <f t="shared" si="5"/>
        <v>0</v>
      </c>
      <c r="AV29" s="263">
        <f t="shared" si="6"/>
        <v>4790</v>
      </c>
      <c r="AW29" s="81">
        <f t="shared" si="7"/>
        <v>1189</v>
      </c>
      <c r="AX29" s="685">
        <f t="shared" si="8"/>
        <v>2356</v>
      </c>
      <c r="AY29" s="81">
        <f t="shared" si="9"/>
        <v>3712</v>
      </c>
      <c r="AZ29" s="386">
        <f t="shared" si="10"/>
        <v>3712</v>
      </c>
      <c r="BA29" s="347">
        <f t="shared" si="33"/>
        <v>0.24822546972860124</v>
      </c>
      <c r="BB29" s="347">
        <f t="shared" si="34"/>
        <v>0.49185803757828811</v>
      </c>
      <c r="BC29" s="347">
        <f t="shared" si="35"/>
        <v>0.77494780793319418</v>
      </c>
      <c r="BD29" s="347">
        <f t="shared" si="36"/>
        <v>0.77494780793319418</v>
      </c>
      <c r="BE29" s="390">
        <f t="shared" si="28"/>
        <v>5.8312898479646887E-2</v>
      </c>
      <c r="BF29" s="390">
        <f t="shared" ref="BF29:BF36" si="43">(IF(AND(AX29&gt;0,$F29&gt;0),AX29/$F29,0))</f>
        <v>0.11554683668464934</v>
      </c>
      <c r="BG29" s="390">
        <f t="shared" ref="BG29:BG36" si="44">(IF(AND(AY29&gt;0,$F29&gt;0),AY29/$F29,0))</f>
        <v>0.18205002452182442</v>
      </c>
      <c r="BH29" s="396">
        <f t="shared" si="32"/>
        <v>6.9745302713987475E-2</v>
      </c>
    </row>
    <row r="30" spans="2:60" ht="91.5" customHeight="1">
      <c r="B30" s="1636"/>
      <c r="C30" s="1488"/>
      <c r="D30" s="333" t="str">
        <f>+'01-FR-03 POA INSTITUCIONAL'!D27</f>
        <v>1.2.4 Fortalecer el ejercicio del ministerio público ante las comisarías de familia, mediante el seguimiento a 3.940 medidas de protección que estas imponen.</v>
      </c>
      <c r="E30" s="52">
        <f>+'01-FR-03 POA INSTITUCIONAL'!E27</f>
        <v>0.02</v>
      </c>
      <c r="F30" s="139">
        <f>+'01-FR-03 POA INSTITUCIONAL'!F27</f>
        <v>3940</v>
      </c>
      <c r="G30" s="139">
        <f>+'01-FR-03 POA INSTITUCIONAL'!K27</f>
        <v>940</v>
      </c>
      <c r="H30" s="140" t="str">
        <f>+'01-FR-03 POA INSTITUCIONAL'!G27</f>
        <v>S.I.</v>
      </c>
      <c r="I30" s="140" t="str">
        <f>+'01-FR-03 POA INSTITUCIONAL'!H27</f>
        <v>Seguimientos realizados por el Ministerio Público a las medidas de protección impuestas por las Comisarias de Familia</v>
      </c>
      <c r="J30" s="140" t="s">
        <v>265</v>
      </c>
      <c r="K30" s="148" t="s">
        <v>235</v>
      </c>
      <c r="L30" s="260" t="s">
        <v>236</v>
      </c>
      <c r="M30" s="220" t="s">
        <v>210</v>
      </c>
      <c r="N30" s="220" t="s">
        <v>211</v>
      </c>
      <c r="O30" s="34" t="str">
        <f>+'01-FR-03 POA INSTITUCIONAL'!J27</f>
        <v>P.D. para la Familia y Sujetos de Especial Protección Constitucional</v>
      </c>
      <c r="P30" s="261">
        <v>0</v>
      </c>
      <c r="Q30" s="261">
        <v>74</v>
      </c>
      <c r="R30" s="261">
        <v>0</v>
      </c>
      <c r="S30" s="261">
        <v>93</v>
      </c>
      <c r="T30" s="261">
        <v>100</v>
      </c>
      <c r="U30" s="261">
        <v>97</v>
      </c>
      <c r="V30" s="53">
        <f t="shared" si="2"/>
        <v>100</v>
      </c>
      <c r="W30" s="53">
        <f t="shared" si="2"/>
        <v>264</v>
      </c>
      <c r="X30" s="261">
        <v>130</v>
      </c>
      <c r="Y30" s="261">
        <v>56</v>
      </c>
      <c r="Z30" s="261">
        <v>130</v>
      </c>
      <c r="AA30" s="261">
        <v>68</v>
      </c>
      <c r="AB30" s="261">
        <v>130</v>
      </c>
      <c r="AC30" s="261">
        <v>100</v>
      </c>
      <c r="AD30" s="53">
        <f t="shared" si="3"/>
        <v>390</v>
      </c>
      <c r="AE30" s="53">
        <f t="shared" si="3"/>
        <v>224</v>
      </c>
      <c r="AF30" s="261">
        <v>130</v>
      </c>
      <c r="AG30" s="261">
        <v>94</v>
      </c>
      <c r="AH30" s="1002">
        <v>80</v>
      </c>
      <c r="AI30" s="261">
        <v>91</v>
      </c>
      <c r="AJ30" s="1002">
        <v>80</v>
      </c>
      <c r="AK30" s="262">
        <v>59</v>
      </c>
      <c r="AL30" s="53">
        <f t="shared" si="4"/>
        <v>290</v>
      </c>
      <c r="AM30" s="53">
        <f t="shared" si="4"/>
        <v>244</v>
      </c>
      <c r="AN30" s="1002">
        <v>80</v>
      </c>
      <c r="AO30" s="261"/>
      <c r="AP30" s="1002">
        <v>80</v>
      </c>
      <c r="AQ30" s="261"/>
      <c r="AR30" s="1002">
        <v>0</v>
      </c>
      <c r="AS30" s="261"/>
      <c r="AT30" s="53">
        <f t="shared" si="5"/>
        <v>160</v>
      </c>
      <c r="AU30" s="53">
        <f t="shared" si="5"/>
        <v>0</v>
      </c>
      <c r="AV30" s="263">
        <f t="shared" si="6"/>
        <v>940</v>
      </c>
      <c r="AW30" s="81">
        <f t="shared" si="7"/>
        <v>264</v>
      </c>
      <c r="AX30" s="685">
        <f t="shared" si="8"/>
        <v>488</v>
      </c>
      <c r="AY30" s="81">
        <f t="shared" si="9"/>
        <v>732</v>
      </c>
      <c r="AZ30" s="386">
        <f t="shared" si="10"/>
        <v>732</v>
      </c>
      <c r="BA30" s="347">
        <f t="shared" si="33"/>
        <v>0.28085106382978725</v>
      </c>
      <c r="BB30" s="347">
        <f t="shared" si="34"/>
        <v>0.51914893617021274</v>
      </c>
      <c r="BC30" s="347">
        <f t="shared" si="35"/>
        <v>0.77872340425531916</v>
      </c>
      <c r="BD30" s="347">
        <f t="shared" si="36"/>
        <v>0.77872340425531916</v>
      </c>
      <c r="BE30" s="390">
        <f t="shared" si="28"/>
        <v>6.7005076142131983E-2</v>
      </c>
      <c r="BF30" s="390">
        <f t="shared" si="43"/>
        <v>0.12385786802030457</v>
      </c>
      <c r="BG30" s="390">
        <f t="shared" si="44"/>
        <v>0.18578680203045686</v>
      </c>
      <c r="BH30" s="396">
        <f t="shared" si="32"/>
        <v>1.5574468085106383E-2</v>
      </c>
    </row>
    <row r="31" spans="2:60" ht="145.5" customHeight="1">
      <c r="B31" s="1636"/>
      <c r="C31" s="1488"/>
      <c r="D31" s="333" t="str">
        <f>+'01-FR-03 POA INSTITUCIONAL'!D28</f>
        <v>1.2.5 Participar en 4.632 comités, mesas y consejos interinstitucionales en garantía de derechos, con énfasis en temas relacionados con sujetos de especial protección constitucional, en particular, persona mayor, mujer y población migrante.</v>
      </c>
      <c r="E31" s="52">
        <f>+'01-FR-03 POA INSTITUCIONAL'!E28</f>
        <v>0.01</v>
      </c>
      <c r="F31" s="139">
        <f>+'01-FR-03 POA INSTITUCIONAL'!F28</f>
        <v>4632</v>
      </c>
      <c r="G31" s="139">
        <f>+'01-FR-03 POA INSTITUCIONAL'!K28</f>
        <v>1402</v>
      </c>
      <c r="H31" s="140" t="str">
        <f>+'01-FR-03 POA INSTITUCIONAL'!G28</f>
        <v>S.I.</v>
      </c>
      <c r="I31" s="140" t="str">
        <f>+'01-FR-03 POA INSTITUCIONAL'!H28</f>
        <v>Espacios Interinstitucionales con participación</v>
      </c>
      <c r="J31" s="140" t="s">
        <v>264</v>
      </c>
      <c r="K31" s="148" t="s">
        <v>237</v>
      </c>
      <c r="L31" s="260" t="s">
        <v>238</v>
      </c>
      <c r="M31" s="220" t="s">
        <v>210</v>
      </c>
      <c r="N31" s="220" t="s">
        <v>211</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261">
        <v>0</v>
      </c>
      <c r="Q31" s="261">
        <v>209</v>
      </c>
      <c r="R31" s="261">
        <f>7+80</f>
        <v>87</v>
      </c>
      <c r="S31" s="261">
        <v>207</v>
      </c>
      <c r="T31" s="261">
        <f>9+100</f>
        <v>109</v>
      </c>
      <c r="U31" s="261">
        <v>226</v>
      </c>
      <c r="V31" s="53">
        <f t="shared" si="2"/>
        <v>196</v>
      </c>
      <c r="W31" s="53">
        <f t="shared" si="2"/>
        <v>642</v>
      </c>
      <c r="X31" s="261">
        <f>9+100</f>
        <v>109</v>
      </c>
      <c r="Y31" s="261">
        <v>201</v>
      </c>
      <c r="Z31" s="261">
        <f>9+100</f>
        <v>109</v>
      </c>
      <c r="AA31" s="261">
        <v>252</v>
      </c>
      <c r="AB31" s="261">
        <f>9+100</f>
        <v>109</v>
      </c>
      <c r="AC31" s="262">
        <v>269</v>
      </c>
      <c r="AD31" s="53">
        <f t="shared" si="3"/>
        <v>327</v>
      </c>
      <c r="AE31" s="53">
        <f t="shared" si="3"/>
        <v>722</v>
      </c>
      <c r="AF31" s="261">
        <f>9+100</f>
        <v>109</v>
      </c>
      <c r="AG31" s="261">
        <v>289</v>
      </c>
      <c r="AH31" s="1002">
        <f>71+100</f>
        <v>171</v>
      </c>
      <c r="AI31" s="261">
        <v>327</v>
      </c>
      <c r="AJ31" s="1002">
        <f>71+100</f>
        <v>171</v>
      </c>
      <c r="AK31" s="262">
        <v>240</v>
      </c>
      <c r="AL31" s="53">
        <f t="shared" si="4"/>
        <v>451</v>
      </c>
      <c r="AM31" s="53">
        <f t="shared" si="4"/>
        <v>856</v>
      </c>
      <c r="AN31" s="1002">
        <f>71+100</f>
        <v>171</v>
      </c>
      <c r="AO31" s="261"/>
      <c r="AP31" s="1002">
        <f>70+100</f>
        <v>170</v>
      </c>
      <c r="AQ31" s="261"/>
      <c r="AR31" s="1002">
        <f>67+20</f>
        <v>87</v>
      </c>
      <c r="AS31" s="261"/>
      <c r="AT31" s="53">
        <f t="shared" si="5"/>
        <v>428</v>
      </c>
      <c r="AU31" s="53">
        <f t="shared" si="5"/>
        <v>0</v>
      </c>
      <c r="AV31" s="263">
        <f t="shared" si="6"/>
        <v>1402</v>
      </c>
      <c r="AW31" s="81">
        <f t="shared" si="7"/>
        <v>642</v>
      </c>
      <c r="AX31" s="685">
        <f t="shared" si="8"/>
        <v>1364</v>
      </c>
      <c r="AY31" s="81">
        <f t="shared" si="9"/>
        <v>2220</v>
      </c>
      <c r="AZ31" s="386">
        <f t="shared" si="10"/>
        <v>2220</v>
      </c>
      <c r="BA31" s="347">
        <f t="shared" si="33"/>
        <v>0.45791726105563479</v>
      </c>
      <c r="BB31" s="347">
        <f t="shared" si="34"/>
        <v>0.97289586305278175</v>
      </c>
      <c r="BC31" s="347">
        <f t="shared" si="35"/>
        <v>1.5834522111269616</v>
      </c>
      <c r="BD31" s="347">
        <f t="shared" si="36"/>
        <v>1.5834522111269616</v>
      </c>
      <c r="BE31" s="390">
        <f t="shared" si="28"/>
        <v>0.13860103626943004</v>
      </c>
      <c r="BF31" s="390">
        <f t="shared" si="43"/>
        <v>0.29447322970639034</v>
      </c>
      <c r="BG31" s="390">
        <f t="shared" si="44"/>
        <v>0.47927461139896371</v>
      </c>
      <c r="BH31" s="396">
        <f t="shared" si="32"/>
        <v>1.5834522111269615E-2</v>
      </c>
    </row>
    <row r="32" spans="2:60" ht="99.75" customHeight="1">
      <c r="B32" s="1636"/>
      <c r="C32" s="1489"/>
      <c r="D32" s="333" t="str">
        <f>+'01-FR-03 POA INSTITUCIONAL'!D29</f>
        <v>1.2.6 Realizar 712 seguimientos a la amenaza y vulneración de los derechos, con énfasis en sujetos de especial protección constitucional, en particular, persona mayor, mujer y población migrante</v>
      </c>
      <c r="E32" s="52">
        <f>+'01-FR-03 POA INSTITUCIONAL'!E29</f>
        <v>0.01</v>
      </c>
      <c r="F32" s="139">
        <f>+'01-FR-03 POA INSTITUCIONAL'!F29</f>
        <v>712</v>
      </c>
      <c r="G32" s="139">
        <f>+'01-FR-03 POA INSTITUCIONAL'!K29</f>
        <v>228</v>
      </c>
      <c r="H32" s="140" t="str">
        <f>+'01-FR-03 POA INSTITUCIONAL'!G29</f>
        <v>S.I.</v>
      </c>
      <c r="I32" s="140" t="str">
        <f>+'01-FR-03 POA INSTITUCIONAL'!H29</f>
        <v>Seguimientos a la Amenaza y Vulneración de los Derechos Realizados</v>
      </c>
      <c r="J32" s="140" t="s">
        <v>258</v>
      </c>
      <c r="K32" s="148" t="s">
        <v>239</v>
      </c>
      <c r="L32" s="260" t="s">
        <v>240</v>
      </c>
      <c r="M32" s="220" t="s">
        <v>210</v>
      </c>
      <c r="N32" s="220" t="s">
        <v>211</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261">
        <v>13</v>
      </c>
      <c r="Q32" s="261">
        <v>21</v>
      </c>
      <c r="R32" s="261">
        <f>6+6</f>
        <v>12</v>
      </c>
      <c r="S32" s="261">
        <v>17</v>
      </c>
      <c r="T32" s="261">
        <f>6+10</f>
        <v>16</v>
      </c>
      <c r="U32" s="261">
        <v>26</v>
      </c>
      <c r="V32" s="53">
        <f t="shared" si="2"/>
        <v>41</v>
      </c>
      <c r="W32" s="53">
        <f t="shared" si="2"/>
        <v>64</v>
      </c>
      <c r="X32" s="261">
        <f>6+11</f>
        <v>17</v>
      </c>
      <c r="Y32" s="261">
        <v>32</v>
      </c>
      <c r="Z32" s="261">
        <f>6+11</f>
        <v>17</v>
      </c>
      <c r="AA32" s="261">
        <v>28</v>
      </c>
      <c r="AB32" s="261">
        <f>6+11</f>
        <v>17</v>
      </c>
      <c r="AC32" s="262">
        <v>28</v>
      </c>
      <c r="AD32" s="53">
        <f t="shared" si="3"/>
        <v>51</v>
      </c>
      <c r="AE32" s="53">
        <f t="shared" si="3"/>
        <v>88</v>
      </c>
      <c r="AF32" s="261">
        <f>6+11</f>
        <v>17</v>
      </c>
      <c r="AG32" s="261">
        <v>47</v>
      </c>
      <c r="AH32" s="1002">
        <f>6+22</f>
        <v>28</v>
      </c>
      <c r="AI32" s="261">
        <v>28</v>
      </c>
      <c r="AJ32" s="1002">
        <f>6+21</f>
        <v>27</v>
      </c>
      <c r="AK32" s="262">
        <v>12</v>
      </c>
      <c r="AL32" s="53">
        <f t="shared" si="4"/>
        <v>72</v>
      </c>
      <c r="AM32" s="53">
        <f t="shared" si="4"/>
        <v>87</v>
      </c>
      <c r="AN32" s="1002">
        <f>6+20</f>
        <v>26</v>
      </c>
      <c r="AO32" s="261"/>
      <c r="AP32" s="1002">
        <f>6+19</f>
        <v>25</v>
      </c>
      <c r="AQ32" s="261"/>
      <c r="AR32" s="1002">
        <f>0+13</f>
        <v>13</v>
      </c>
      <c r="AS32" s="261"/>
      <c r="AT32" s="53">
        <f t="shared" si="5"/>
        <v>64</v>
      </c>
      <c r="AU32" s="53">
        <f t="shared" si="5"/>
        <v>0</v>
      </c>
      <c r="AV32" s="263">
        <f t="shared" si="6"/>
        <v>228</v>
      </c>
      <c r="AW32" s="81">
        <f t="shared" si="7"/>
        <v>64</v>
      </c>
      <c r="AX32" s="685">
        <f t="shared" si="8"/>
        <v>152</v>
      </c>
      <c r="AY32" s="81">
        <f t="shared" si="9"/>
        <v>239</v>
      </c>
      <c r="AZ32" s="386">
        <f t="shared" si="10"/>
        <v>239</v>
      </c>
      <c r="BA32" s="347">
        <f t="shared" si="33"/>
        <v>0.2807017543859649</v>
      </c>
      <c r="BB32" s="347">
        <f t="shared" si="34"/>
        <v>0.66666666666666663</v>
      </c>
      <c r="BC32" s="347">
        <f t="shared" si="35"/>
        <v>1.0482456140350878</v>
      </c>
      <c r="BD32" s="347">
        <f t="shared" si="36"/>
        <v>1.0482456140350878</v>
      </c>
      <c r="BE32" s="390">
        <f t="shared" si="28"/>
        <v>8.98876404494382E-2</v>
      </c>
      <c r="BF32" s="390">
        <f t="shared" si="43"/>
        <v>0.21348314606741572</v>
      </c>
      <c r="BG32" s="390">
        <f t="shared" si="44"/>
        <v>0.3356741573033708</v>
      </c>
      <c r="BH32" s="396">
        <f t="shared" si="32"/>
        <v>1.0482456140350878E-2</v>
      </c>
    </row>
    <row r="33" spans="2:60" ht="102" customHeight="1">
      <c r="B33" s="1636"/>
      <c r="C33" s="1487" t="str" cm="1">
        <f t="array" ref="C33">'[4]POA Anualizado (Pág 1 de 3)'!C30:C30</f>
        <v>1.3. Construir e Implementar 36 estrategias que permitan incrementar la oferta y cobertura de los servicios prestados por la Entidad.</v>
      </c>
      <c r="D33" s="333" t="str">
        <f>+'01-FR-03 POA INSTITUCIONAL'!D30</f>
        <v>1.3.1 Realizar 20 actividades que permitan el acercamiento de la Entidad a la Comunidad.</v>
      </c>
      <c r="E33" s="52">
        <f>+'01-FR-03 POA INSTITUCIONAL'!E30</f>
        <v>0.56000000000000005</v>
      </c>
      <c r="F33" s="139">
        <f>+'01-FR-03 POA INSTITUCIONAL'!F30</f>
        <v>20</v>
      </c>
      <c r="G33" s="139">
        <f>+'01-FR-03 POA INSTITUCIONAL'!K30</f>
        <v>2</v>
      </c>
      <c r="H33" s="140" t="str">
        <f>+'01-FR-03 POA INSTITUCIONAL'!G30</f>
        <v>S.I.</v>
      </c>
      <c r="I33" s="140" t="str">
        <f>+'01-FR-03 POA INSTITUCIONAL'!H30</f>
        <v>Actividades de acercamiento de la Entidad a la comunidad realizadas</v>
      </c>
      <c r="J33" s="140" t="s">
        <v>259</v>
      </c>
      <c r="K33" s="148" t="s">
        <v>241</v>
      </c>
      <c r="L33" s="260" t="s">
        <v>242</v>
      </c>
      <c r="M33" s="220" t="s">
        <v>210</v>
      </c>
      <c r="N33" s="220" t="s">
        <v>211</v>
      </c>
      <c r="O33" s="34" t="str">
        <f>+'01-FR-03 POA INSTITUCIONAL'!J30</f>
        <v>P.D. para la Coordinación del MP y DDHH y sus dependencias adscritas
 P.D. para la Coordinación de la Gestión de Personerías Locales y sus Personerías Locales adscritas</v>
      </c>
      <c r="P33" s="261">
        <v>0</v>
      </c>
      <c r="Q33" s="261">
        <v>0</v>
      </c>
      <c r="R33" s="261">
        <v>0</v>
      </c>
      <c r="S33" s="261">
        <v>0</v>
      </c>
      <c r="T33" s="261">
        <v>0</v>
      </c>
      <c r="U33" s="261">
        <v>0</v>
      </c>
      <c r="V33" s="53">
        <f t="shared" si="2"/>
        <v>0</v>
      </c>
      <c r="W33" s="53">
        <f t="shared" si="2"/>
        <v>0</v>
      </c>
      <c r="X33" s="261">
        <v>0</v>
      </c>
      <c r="Y33" s="261">
        <v>0</v>
      </c>
      <c r="Z33" s="261">
        <v>0</v>
      </c>
      <c r="AA33" s="261">
        <v>0</v>
      </c>
      <c r="AB33" s="261">
        <v>0</v>
      </c>
      <c r="AC33" s="261">
        <v>0.1</v>
      </c>
      <c r="AD33" s="53">
        <f t="shared" si="3"/>
        <v>0</v>
      </c>
      <c r="AE33" s="53">
        <f t="shared" si="3"/>
        <v>0.1</v>
      </c>
      <c r="AF33" s="261">
        <v>1</v>
      </c>
      <c r="AG33" s="261">
        <v>0.5</v>
      </c>
      <c r="AH33" s="261">
        <v>0</v>
      </c>
      <c r="AI33" s="261">
        <v>0.1</v>
      </c>
      <c r="AJ33" s="262">
        <v>1</v>
      </c>
      <c r="AK33" s="262">
        <v>0</v>
      </c>
      <c r="AL33" s="53">
        <f t="shared" si="4"/>
        <v>2</v>
      </c>
      <c r="AM33" s="53">
        <f t="shared" si="4"/>
        <v>0.6</v>
      </c>
      <c r="AN33" s="261">
        <v>0</v>
      </c>
      <c r="AO33" s="261"/>
      <c r="AP33" s="261">
        <v>0</v>
      </c>
      <c r="AQ33" s="261"/>
      <c r="AR33" s="261">
        <v>0</v>
      </c>
      <c r="AS33" s="261"/>
      <c r="AT33" s="53">
        <f t="shared" si="5"/>
        <v>0</v>
      </c>
      <c r="AU33" s="53">
        <f t="shared" si="5"/>
        <v>0</v>
      </c>
      <c r="AV33" s="263">
        <f t="shared" si="6"/>
        <v>2</v>
      </c>
      <c r="AW33" s="81">
        <f t="shared" si="7"/>
        <v>0</v>
      </c>
      <c r="AX33" s="687">
        <f t="shared" si="8"/>
        <v>0.1</v>
      </c>
      <c r="AY33" s="81">
        <f t="shared" si="9"/>
        <v>0.7</v>
      </c>
      <c r="AZ33" s="386">
        <f t="shared" si="10"/>
        <v>0.7</v>
      </c>
      <c r="BA33" s="347">
        <f t="shared" si="33"/>
        <v>0</v>
      </c>
      <c r="BB33" s="347">
        <f t="shared" si="34"/>
        <v>0.05</v>
      </c>
      <c r="BC33" s="347">
        <f t="shared" si="35"/>
        <v>0.35</v>
      </c>
      <c r="BD33" s="347">
        <f t="shared" si="36"/>
        <v>0.35</v>
      </c>
      <c r="BE33" s="390">
        <f t="shared" si="28"/>
        <v>0</v>
      </c>
      <c r="BF33" s="390">
        <f t="shared" si="43"/>
        <v>5.0000000000000001E-3</v>
      </c>
      <c r="BG33" s="390">
        <f t="shared" si="44"/>
        <v>3.4999999999999996E-2</v>
      </c>
      <c r="BH33" s="396">
        <f t="shared" si="32"/>
        <v>0.19600000000000001</v>
      </c>
    </row>
    <row r="34" spans="2:60" ht="87.75" customHeight="1">
      <c r="B34" s="1636"/>
      <c r="C34" s="1488"/>
      <c r="D34" s="333"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9">
        <f>+'01-FR-03 POA INSTITUCIONAL'!F31</f>
        <v>11</v>
      </c>
      <c r="G34" s="139">
        <f>+'01-FR-03 POA INSTITUCIONAL'!K31</f>
        <v>3</v>
      </c>
      <c r="H34" s="140" t="str">
        <f>+'01-FR-03 POA INSTITUCIONAL'!G31</f>
        <v>S.I.</v>
      </c>
      <c r="I34" s="140" t="str">
        <f>+'01-FR-03 POA INSTITUCIONAL'!H31</f>
        <v>Acciones realizadas para incrementar la cobertura de los servicios</v>
      </c>
      <c r="J34" s="140" t="s">
        <v>266</v>
      </c>
      <c r="K34" s="148" t="s">
        <v>243</v>
      </c>
      <c r="L34" s="260" t="s">
        <v>244</v>
      </c>
      <c r="M34" s="220" t="s">
        <v>210</v>
      </c>
      <c r="N34" s="220" t="s">
        <v>211</v>
      </c>
      <c r="O34" s="34" t="str">
        <f>+'01-FR-03 POA INSTITUCIONAL'!J31</f>
        <v>P.D. para la Coordinación del MP y DDHH y sus dependencias adscritas
 P.D. para la Coordinación de la Gestión de Personerías Locales y sus Personerías Locales adscritas</v>
      </c>
      <c r="P34" s="261">
        <v>0</v>
      </c>
      <c r="Q34" s="261">
        <v>0</v>
      </c>
      <c r="R34" s="261">
        <v>0</v>
      </c>
      <c r="S34" s="261">
        <v>0</v>
      </c>
      <c r="T34" s="261">
        <v>0</v>
      </c>
      <c r="U34" s="261">
        <v>0</v>
      </c>
      <c r="V34" s="53">
        <f t="shared" si="2"/>
        <v>0</v>
      </c>
      <c r="W34" s="53">
        <f t="shared" si="2"/>
        <v>0</v>
      </c>
      <c r="X34" s="261">
        <v>0</v>
      </c>
      <c r="Y34" s="261">
        <v>0</v>
      </c>
      <c r="Z34" s="261">
        <v>0</v>
      </c>
      <c r="AA34" s="261">
        <v>0</v>
      </c>
      <c r="AB34" s="261">
        <v>1</v>
      </c>
      <c r="AC34" s="261">
        <v>0</v>
      </c>
      <c r="AD34" s="53">
        <f t="shared" si="3"/>
        <v>1</v>
      </c>
      <c r="AE34" s="53">
        <f t="shared" si="3"/>
        <v>0</v>
      </c>
      <c r="AF34" s="261">
        <v>1</v>
      </c>
      <c r="AG34" s="1071">
        <v>0</v>
      </c>
      <c r="AH34" s="261">
        <v>1</v>
      </c>
      <c r="AI34" s="1071">
        <v>1</v>
      </c>
      <c r="AJ34" s="262">
        <v>0</v>
      </c>
      <c r="AK34" s="262">
        <v>0</v>
      </c>
      <c r="AL34" s="53">
        <f t="shared" si="4"/>
        <v>2</v>
      </c>
      <c r="AM34" s="53">
        <f t="shared" si="4"/>
        <v>1</v>
      </c>
      <c r="AN34" s="261">
        <v>0</v>
      </c>
      <c r="AO34" s="261"/>
      <c r="AP34" s="261">
        <v>0</v>
      </c>
      <c r="AQ34" s="261"/>
      <c r="AR34" s="261">
        <v>0</v>
      </c>
      <c r="AS34" s="261"/>
      <c r="AT34" s="53">
        <f t="shared" si="5"/>
        <v>0</v>
      </c>
      <c r="AU34" s="53">
        <f t="shared" si="5"/>
        <v>0</v>
      </c>
      <c r="AV34" s="263">
        <f t="shared" si="6"/>
        <v>3</v>
      </c>
      <c r="AW34" s="81">
        <f t="shared" si="7"/>
        <v>0</v>
      </c>
      <c r="AX34" s="685">
        <f t="shared" si="8"/>
        <v>0</v>
      </c>
      <c r="AY34" s="81">
        <f t="shared" si="9"/>
        <v>1</v>
      </c>
      <c r="AZ34" s="386">
        <f t="shared" si="10"/>
        <v>1</v>
      </c>
      <c r="BA34" s="347">
        <f t="shared" si="33"/>
        <v>0</v>
      </c>
      <c r="BB34" s="347">
        <f t="shared" si="34"/>
        <v>0</v>
      </c>
      <c r="BC34" s="347">
        <f t="shared" si="35"/>
        <v>0.33333333333333331</v>
      </c>
      <c r="BD34" s="347">
        <f t="shared" si="36"/>
        <v>0.33333333333333331</v>
      </c>
      <c r="BE34" s="390">
        <f t="shared" si="28"/>
        <v>0</v>
      </c>
      <c r="BF34" s="390">
        <f t="shared" si="43"/>
        <v>0</v>
      </c>
      <c r="BG34" s="390">
        <f t="shared" si="44"/>
        <v>9.0909090909090912E-2</v>
      </c>
      <c r="BH34" s="396">
        <f t="shared" si="32"/>
        <v>0.10333333333333333</v>
      </c>
    </row>
    <row r="35" spans="2:60" ht="81" customHeight="1">
      <c r="B35" s="1636"/>
      <c r="C35" s="1488"/>
      <c r="D35" s="333" t="str">
        <f>+'01-FR-03 POA INSTITUCIONAL'!D32</f>
        <v>1.3.3 Implementar 4 herramientas para la promoción y prevención a infracciones del Derecho Internacional Humanitario en el Distrito Capital</v>
      </c>
      <c r="E35" s="52">
        <f>+'01-FR-03 POA INSTITUCIONAL'!E32</f>
        <v>0.11</v>
      </c>
      <c r="F35" s="139">
        <f>+'01-FR-03 POA INSTITUCIONAL'!F32</f>
        <v>4</v>
      </c>
      <c r="G35" s="139">
        <f>+'01-FR-03 POA INSTITUCIONAL'!K32</f>
        <v>1</v>
      </c>
      <c r="H35" s="140" t="str">
        <f>+'01-FR-03 POA INSTITUCIONAL'!G32</f>
        <v>S.I.</v>
      </c>
      <c r="I35" s="140" t="str">
        <f>+'01-FR-03 POA INSTITUCIONAL'!H32</f>
        <v>Herramientas de promoción y prevención a infracciones del Derecho Internacional Humanitario implementadas</v>
      </c>
      <c r="J35" s="140" t="s">
        <v>267</v>
      </c>
      <c r="K35" s="148" t="s">
        <v>245</v>
      </c>
      <c r="L35" s="260" t="s">
        <v>246</v>
      </c>
      <c r="M35" s="220" t="s">
        <v>210</v>
      </c>
      <c r="N35" s="220" t="s">
        <v>211</v>
      </c>
      <c r="O35" s="34" t="str">
        <f>+'01-FR-03 POA INSTITUCIONAL'!J32</f>
        <v>P.D. para la Coordinación del MP y DDHH y sus dependencias adscritas
 P.D. para la Coordinación de la Gestión de Personerías Locales y sus Personerías Locales adscritas</v>
      </c>
      <c r="P35" s="261">
        <v>0</v>
      </c>
      <c r="Q35" s="261">
        <v>0</v>
      </c>
      <c r="R35" s="261">
        <v>0</v>
      </c>
      <c r="S35" s="261">
        <v>0</v>
      </c>
      <c r="T35" s="261">
        <v>0</v>
      </c>
      <c r="U35" s="261">
        <v>0</v>
      </c>
      <c r="V35" s="53">
        <f t="shared" si="2"/>
        <v>0</v>
      </c>
      <c r="W35" s="53">
        <f t="shared" si="2"/>
        <v>0</v>
      </c>
      <c r="X35" s="261">
        <v>0</v>
      </c>
      <c r="Y35" s="261">
        <v>0</v>
      </c>
      <c r="Z35" s="261">
        <v>0</v>
      </c>
      <c r="AA35" s="261">
        <v>0</v>
      </c>
      <c r="AB35" s="261">
        <v>0</v>
      </c>
      <c r="AC35" s="261">
        <v>0</v>
      </c>
      <c r="AD35" s="53">
        <f t="shared" si="3"/>
        <v>0</v>
      </c>
      <c r="AE35" s="53">
        <f t="shared" si="3"/>
        <v>0</v>
      </c>
      <c r="AF35" s="261">
        <v>1</v>
      </c>
      <c r="AG35" s="1071">
        <v>0</v>
      </c>
      <c r="AH35" s="261">
        <v>0</v>
      </c>
      <c r="AI35" s="1071">
        <v>0</v>
      </c>
      <c r="AJ35" s="262">
        <v>0</v>
      </c>
      <c r="AK35" s="262">
        <v>0</v>
      </c>
      <c r="AL35" s="53">
        <f t="shared" si="4"/>
        <v>1</v>
      </c>
      <c r="AM35" s="53">
        <f t="shared" si="4"/>
        <v>0</v>
      </c>
      <c r="AN35" s="261">
        <v>0</v>
      </c>
      <c r="AO35" s="261"/>
      <c r="AP35" s="261">
        <v>0</v>
      </c>
      <c r="AQ35" s="261"/>
      <c r="AR35" s="261">
        <v>0</v>
      </c>
      <c r="AS35" s="261"/>
      <c r="AT35" s="53">
        <f t="shared" si="5"/>
        <v>0</v>
      </c>
      <c r="AU35" s="53">
        <f t="shared" si="5"/>
        <v>0</v>
      </c>
      <c r="AV35" s="263">
        <f t="shared" si="6"/>
        <v>1</v>
      </c>
      <c r="AW35" s="81">
        <f t="shared" si="7"/>
        <v>0</v>
      </c>
      <c r="AX35" s="685">
        <f t="shared" si="8"/>
        <v>0</v>
      </c>
      <c r="AY35" s="81">
        <f t="shared" si="9"/>
        <v>0</v>
      </c>
      <c r="AZ35" s="386">
        <f t="shared" si="10"/>
        <v>0</v>
      </c>
      <c r="BA35" s="347">
        <f t="shared" si="33"/>
        <v>0</v>
      </c>
      <c r="BB35" s="347">
        <f t="shared" si="34"/>
        <v>0</v>
      </c>
      <c r="BC35" s="347">
        <f t="shared" si="35"/>
        <v>0</v>
      </c>
      <c r="BD35" s="347">
        <f t="shared" si="36"/>
        <v>0</v>
      </c>
      <c r="BE35" s="390">
        <f t="shared" si="28"/>
        <v>0</v>
      </c>
      <c r="BF35" s="390">
        <f t="shared" si="43"/>
        <v>0</v>
      </c>
      <c r="BG35" s="390">
        <f t="shared" si="44"/>
        <v>0</v>
      </c>
      <c r="BH35" s="396">
        <f t="shared" si="32"/>
        <v>0</v>
      </c>
    </row>
    <row r="36" spans="2:60" ht="106.5" customHeight="1">
      <c r="B36" s="1637"/>
      <c r="C36" s="1489"/>
      <c r="D36"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6" s="52">
        <f>+'01-FR-03 POA INSTITUCIONAL'!E33</f>
        <v>0.02</v>
      </c>
      <c r="F36" s="139">
        <f>+'01-FR-03 POA INSTITUCIONAL'!F33</f>
        <v>1</v>
      </c>
      <c r="G36" s="139">
        <f>+'01-FR-03 POA INSTITUCIONAL'!K33</f>
        <v>0</v>
      </c>
      <c r="H36" s="140" t="str">
        <f>+'01-FR-03 POA INSTITUCIONAL'!G33</f>
        <v>S.I.</v>
      </c>
      <c r="I36" s="140" t="str">
        <f>+'01-FR-03 POA INSTITUCIONAL'!H33</f>
        <v>Coordinación interinstitucional realizada</v>
      </c>
      <c r="J36" s="140" t="s">
        <v>260</v>
      </c>
      <c r="K36" s="148" t="s">
        <v>247</v>
      </c>
      <c r="L36" s="260" t="s">
        <v>272</v>
      </c>
      <c r="M36" s="220" t="s">
        <v>210</v>
      </c>
      <c r="N36" s="220" t="s">
        <v>211</v>
      </c>
      <c r="O36" s="34" t="str">
        <f>+'01-FR-03 POA INSTITUCIONAL'!J33</f>
        <v>P.D. para la Coordinación del MP y DDHH y sus dependencias adscritas
P.D. para la Coordinación de la Gestión de Personerías Locales y sus Personerías Locales adscritas</v>
      </c>
      <c r="P36" s="261">
        <v>0</v>
      </c>
      <c r="Q36" s="261">
        <v>0</v>
      </c>
      <c r="R36" s="261">
        <v>0</v>
      </c>
      <c r="S36" s="261">
        <v>0</v>
      </c>
      <c r="T36" s="261">
        <v>0</v>
      </c>
      <c r="U36" s="261">
        <v>0</v>
      </c>
      <c r="V36" s="53">
        <f t="shared" si="2"/>
        <v>0</v>
      </c>
      <c r="W36" s="53">
        <f t="shared" si="2"/>
        <v>0</v>
      </c>
      <c r="X36" s="261">
        <v>0</v>
      </c>
      <c r="Y36" s="261">
        <v>0</v>
      </c>
      <c r="Z36" s="261">
        <v>0</v>
      </c>
      <c r="AA36" s="261">
        <v>0</v>
      </c>
      <c r="AB36" s="261">
        <v>0</v>
      </c>
      <c r="AC36" s="261">
        <v>0</v>
      </c>
      <c r="AD36" s="53">
        <f t="shared" si="3"/>
        <v>0</v>
      </c>
      <c r="AE36" s="53">
        <f t="shared" si="3"/>
        <v>0</v>
      </c>
      <c r="AF36" s="261">
        <v>0</v>
      </c>
      <c r="AG36" s="1071">
        <v>0</v>
      </c>
      <c r="AH36" s="261">
        <v>0</v>
      </c>
      <c r="AI36" s="1071">
        <v>0</v>
      </c>
      <c r="AJ36" s="262">
        <v>0</v>
      </c>
      <c r="AK36" s="262">
        <v>0</v>
      </c>
      <c r="AL36" s="53">
        <f t="shared" si="4"/>
        <v>0</v>
      </c>
      <c r="AM36" s="53">
        <f t="shared" si="4"/>
        <v>0</v>
      </c>
      <c r="AN36" s="261">
        <v>0</v>
      </c>
      <c r="AO36" s="261"/>
      <c r="AP36" s="261">
        <v>0</v>
      </c>
      <c r="AQ36" s="261"/>
      <c r="AR36" s="261">
        <v>0</v>
      </c>
      <c r="AS36" s="261"/>
      <c r="AT36" s="53">
        <f t="shared" si="5"/>
        <v>0</v>
      </c>
      <c r="AU36" s="53">
        <f t="shared" si="5"/>
        <v>0</v>
      </c>
      <c r="AV36" s="263">
        <f t="shared" si="6"/>
        <v>0</v>
      </c>
      <c r="AW36" s="81">
        <f t="shared" si="7"/>
        <v>0</v>
      </c>
      <c r="AX36" s="685">
        <f t="shared" si="8"/>
        <v>0</v>
      </c>
      <c r="AY36" s="81">
        <f t="shared" si="9"/>
        <v>0</v>
      </c>
      <c r="AZ36" s="386">
        <f t="shared" si="10"/>
        <v>0</v>
      </c>
      <c r="BA36" s="347">
        <f t="shared" si="33"/>
        <v>0</v>
      </c>
      <c r="BB36" s="347">
        <f t="shared" si="34"/>
        <v>0</v>
      </c>
      <c r="BC36" s="347">
        <f t="shared" si="35"/>
        <v>0</v>
      </c>
      <c r="BD36" s="347">
        <f t="shared" si="36"/>
        <v>0</v>
      </c>
      <c r="BE36" s="390">
        <f t="shared" si="28"/>
        <v>0</v>
      </c>
      <c r="BF36" s="390">
        <f t="shared" si="43"/>
        <v>0</v>
      </c>
      <c r="BG36" s="390">
        <f t="shared" si="44"/>
        <v>0</v>
      </c>
      <c r="BH36" s="396">
        <f t="shared" si="32"/>
        <v>0</v>
      </c>
    </row>
    <row r="37" spans="2:60" ht="22.8">
      <c r="B37" s="1491" t="s">
        <v>731</v>
      </c>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1492"/>
      <c r="AB37" s="1492"/>
      <c r="AC37" s="1492"/>
      <c r="AD37" s="1492"/>
      <c r="AE37" s="1492"/>
      <c r="AF37" s="1492"/>
      <c r="AG37" s="1492"/>
      <c r="AH37" s="1492"/>
      <c r="AI37" s="1492"/>
      <c r="AJ37" s="1492"/>
      <c r="AK37" s="1492"/>
      <c r="AL37" s="1492"/>
      <c r="AM37" s="1492"/>
      <c r="AN37" s="1492"/>
      <c r="AO37" s="1492"/>
      <c r="AP37" s="1492"/>
      <c r="AQ37" s="1492"/>
      <c r="AR37" s="1492"/>
      <c r="AS37" s="1492"/>
      <c r="AT37" s="1492"/>
      <c r="AU37" s="1492"/>
      <c r="AV37" s="1492"/>
      <c r="AW37" s="1575"/>
      <c r="AX37" s="1634" t="s">
        <v>19</v>
      </c>
      <c r="AY37" s="1634"/>
      <c r="AZ37" s="1634"/>
      <c r="BA37" s="70">
        <f>AVERAGE(BA16:BA36)</f>
        <v>0.18035801674683588</v>
      </c>
      <c r="BB37" s="70">
        <f t="shared" ref="BB37:BD37" si="45">AVERAGE(BB16:BB36)</f>
        <v>0.46692264844246079</v>
      </c>
      <c r="BC37" s="70">
        <f t="shared" si="45"/>
        <v>0.76144013099882257</v>
      </c>
      <c r="BD37" s="70">
        <f t="shared" si="45"/>
        <v>0.76142759967050189</v>
      </c>
      <c r="BE37" s="1614"/>
      <c r="BF37" s="1615"/>
      <c r="BG37" s="1615"/>
      <c r="BH37" s="1616"/>
    </row>
    <row r="38" spans="2:60">
      <c r="B38" s="1512"/>
      <c r="C38" s="1512"/>
      <c r="D38" s="1512"/>
      <c r="E38" s="1512"/>
      <c r="F38" s="1512"/>
      <c r="G38" s="1512"/>
      <c r="H38" s="247"/>
      <c r="I38" s="248"/>
      <c r="J38" s="248"/>
      <c r="K38" s="248"/>
      <c r="L38" s="248"/>
      <c r="M38" s="248"/>
      <c r="N38" s="248"/>
      <c r="O38" s="248"/>
    </row>
    <row r="39" spans="2:60">
      <c r="B39" s="248"/>
      <c r="C39" s="248"/>
      <c r="D39" s="1524"/>
      <c r="E39" s="1524"/>
      <c r="F39" s="1524"/>
      <c r="G39" s="1524"/>
      <c r="H39" s="1524"/>
      <c r="I39" s="1524"/>
      <c r="J39" s="1524"/>
      <c r="K39" s="1524"/>
      <c r="L39" s="1524"/>
      <c r="M39" s="1524"/>
      <c r="N39" s="1524"/>
      <c r="O39" s="1524"/>
    </row>
    <row r="40" spans="2:60" ht="30" customHeight="1">
      <c r="B40" s="77" t="s">
        <v>26</v>
      </c>
      <c r="C40" s="249">
        <v>44224</v>
      </c>
      <c r="D40" s="250"/>
      <c r="E40" s="1514" t="s">
        <v>50</v>
      </c>
      <c r="F40" s="1638" t="s">
        <v>725</v>
      </c>
      <c r="G40" s="1639"/>
      <c r="H40" s="1639"/>
      <c r="I40" s="1639"/>
      <c r="J40" s="1640"/>
      <c r="K40" s="251"/>
      <c r="L40" s="1568"/>
      <c r="M40" s="1568"/>
      <c r="N40" s="1568"/>
      <c r="O40" s="1577"/>
    </row>
    <row r="41" spans="2:60" ht="40.200000000000003" customHeight="1">
      <c r="B41" s="248"/>
      <c r="C41" s="248"/>
      <c r="D41" s="251"/>
      <c r="E41" s="1514"/>
      <c r="F41" s="1641"/>
      <c r="G41" s="1642"/>
      <c r="H41" s="1642"/>
      <c r="I41" s="1642"/>
      <c r="J41" s="1643"/>
      <c r="K41" s="248"/>
      <c r="L41" s="248"/>
      <c r="M41" s="248"/>
      <c r="N41" s="248"/>
      <c r="O41" s="248"/>
    </row>
    <row r="42" spans="2:60" ht="31.5" customHeight="1">
      <c r="B42" s="77" t="s">
        <v>49</v>
      </c>
      <c r="C42" s="249"/>
      <c r="D42" s="248"/>
      <c r="E42" s="248"/>
      <c r="F42" s="248"/>
      <c r="K42" s="248"/>
      <c r="L42" s="248"/>
      <c r="M42" s="248"/>
      <c r="N42" s="248"/>
      <c r="O42" s="248"/>
    </row>
    <row r="43" spans="2:60">
      <c r="B43" s="248"/>
      <c r="C43" s="248"/>
      <c r="D43" s="248"/>
      <c r="E43" s="248"/>
      <c r="F43" s="248"/>
      <c r="K43" s="248"/>
      <c r="L43" s="248"/>
      <c r="M43" s="248"/>
      <c r="N43" s="248"/>
      <c r="O43" s="248"/>
    </row>
    <row r="44" spans="2:60" ht="15" customHeight="1">
      <c r="B44" s="688" t="s">
        <v>983</v>
      </c>
      <c r="C44" s="248"/>
      <c r="D44" s="248"/>
      <c r="E44" s="248"/>
      <c r="F44" s="248"/>
      <c r="G44" s="247"/>
      <c r="H44" s="247"/>
      <c r="I44" s="1576"/>
      <c r="J44" s="1576"/>
      <c r="K44" s="1576"/>
      <c r="L44" s="1576"/>
      <c r="M44" s="252"/>
      <c r="N44" s="252"/>
      <c r="O44" s="252"/>
    </row>
    <row r="45" spans="2:60" ht="15" customHeight="1">
      <c r="B45" s="248"/>
      <c r="C45" s="248"/>
      <c r="D45" s="248"/>
      <c r="E45" s="248"/>
      <c r="F45" s="248"/>
      <c r="G45" s="247"/>
      <c r="H45" s="247"/>
      <c r="I45" s="248"/>
      <c r="J45" s="248"/>
      <c r="K45" s="253"/>
      <c r="L45" s="248"/>
      <c r="M45" s="248"/>
      <c r="N45" s="248"/>
      <c r="O45" s="248"/>
    </row>
    <row r="46" spans="2:60" ht="15" customHeight="1">
      <c r="B46" s="248"/>
      <c r="C46" s="248"/>
      <c r="D46" s="248"/>
      <c r="E46" s="248"/>
      <c r="F46" s="248"/>
      <c r="G46" s="247"/>
      <c r="H46" s="247"/>
      <c r="I46" s="1576"/>
      <c r="J46" s="1576"/>
      <c r="K46" s="1576"/>
      <c r="L46" s="1576"/>
      <c r="M46" s="252"/>
      <c r="N46" s="252"/>
      <c r="O46" s="252"/>
    </row>
    <row r="47" spans="2:60" ht="15" customHeight="1">
      <c r="B47" s="248"/>
      <c r="C47" s="248"/>
      <c r="D47" s="248"/>
      <c r="E47" s="248"/>
      <c r="F47" s="248"/>
      <c r="G47" s="247"/>
      <c r="H47" s="247"/>
      <c r="I47" s="248"/>
      <c r="J47" s="248"/>
      <c r="K47" s="253"/>
      <c r="L47" s="248"/>
      <c r="M47" s="248"/>
      <c r="N47" s="248"/>
      <c r="O47" s="248"/>
    </row>
    <row r="48" spans="2:60" ht="15" customHeight="1">
      <c r="B48" s="248"/>
      <c r="C48" s="248"/>
      <c r="D48" s="248"/>
      <c r="E48" s="248"/>
      <c r="F48" s="248"/>
      <c r="G48" s="247"/>
      <c r="H48" s="247"/>
      <c r="I48" s="1576"/>
      <c r="J48" s="1576"/>
      <c r="K48" s="1576"/>
      <c r="L48" s="1576"/>
      <c r="M48" s="252"/>
      <c r="N48" s="252"/>
      <c r="O48" s="252"/>
    </row>
  </sheetData>
  <sheetProtection algorithmName="SHA-512" hashValue="q48HQ2++HBZ0bwjYjHdxsN3EOQKG8GbfIcSl/ee5jg4HIy8RZW/lsxHiRS49ALk7YqFchLE+PlMl/h5dEY8d8w==" saltValue="EPeyVBM6HNcSPUP9FO7N/g==" spinCount="100000" sheet="1" objects="1" scenarios="1"/>
  <mergeCells count="73">
    <mergeCell ref="I46:L46"/>
    <mergeCell ref="I48:L48"/>
    <mergeCell ref="B38:G38"/>
    <mergeCell ref="B37:AW37"/>
    <mergeCell ref="D39:O39"/>
    <mergeCell ref="E40:E41"/>
    <mergeCell ref="L40:O40"/>
    <mergeCell ref="F40:J41"/>
    <mergeCell ref="I44:L44"/>
    <mergeCell ref="B16:B36"/>
    <mergeCell ref="C16:C26"/>
    <mergeCell ref="C27:C32"/>
    <mergeCell ref="C33:C36"/>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37:BH37"/>
    <mergeCell ref="I12:I15"/>
    <mergeCell ref="J12:J15"/>
    <mergeCell ref="K12:K15"/>
    <mergeCell ref="L12:L15"/>
    <mergeCell ref="AV12:AV15"/>
    <mergeCell ref="AW12:AZ12"/>
    <mergeCell ref="BA12:BD12"/>
    <mergeCell ref="BB13:BB15"/>
    <mergeCell ref="AX37:AZ37"/>
  </mergeCells>
  <conditionalFormatting sqref="BA16:BD36">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00B050"/>
  </sheetPr>
  <dimension ref="B1:BI34"/>
  <sheetViews>
    <sheetView showGridLines="0" zoomScale="60" zoomScaleNormal="60"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9.33203125" style="134" customWidth="1"/>
    <col min="8" max="8" width="27.109375" style="134" customWidth="1"/>
    <col min="9" max="9" width="28.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23" width="15.88671875" style="135" customWidth="1"/>
    <col min="24" max="24" width="14" style="135" bestFit="1" customWidth="1"/>
    <col min="25" max="25" width="12" style="135" bestFit="1" customWidth="1"/>
    <col min="26" max="26" width="14" style="135" bestFit="1" customWidth="1"/>
    <col min="27" max="27" width="12" style="135" bestFit="1" customWidth="1"/>
    <col min="28" max="28" width="14" style="135" bestFit="1" customWidth="1"/>
    <col min="29" max="29" width="12" style="135" bestFit="1" customWidth="1"/>
    <col min="30" max="31" width="15.44140625" style="135" customWidth="1"/>
    <col min="32" max="32" width="14" style="135" bestFit="1" customWidth="1"/>
    <col min="33" max="33" width="12" style="135" bestFit="1" customWidth="1"/>
    <col min="34" max="34" width="14" style="135" bestFit="1" customWidth="1"/>
    <col min="35" max="35" width="12" style="135" bestFit="1" customWidth="1"/>
    <col min="36" max="36" width="14" style="135" bestFit="1" customWidth="1"/>
    <col min="37" max="37" width="12" style="135" bestFit="1" customWidth="1"/>
    <col min="38" max="39" width="14.5546875" style="135" customWidth="1"/>
    <col min="40" max="40" width="14" style="135" bestFit="1" customWidth="1"/>
    <col min="41" max="41" width="12" style="135" bestFit="1" customWidth="1"/>
    <col min="42" max="42" width="14" style="135" bestFit="1" customWidth="1"/>
    <col min="43" max="43" width="12" style="135" bestFit="1" customWidth="1"/>
    <col min="44" max="44" width="14" style="135" bestFit="1" customWidth="1"/>
    <col min="45" max="45" width="12" style="135" bestFit="1" customWidth="1"/>
    <col min="46" max="47" width="15.33203125" style="135" customWidth="1"/>
    <col min="48" max="48" width="22.109375" style="135" customWidth="1"/>
    <col min="49" max="51" width="16" style="135" bestFit="1" customWidth="1"/>
    <col min="52" max="52" width="14.33203125" style="135" bestFit="1" customWidth="1"/>
    <col min="53" max="58" width="16" style="135" bestFit="1" customWidth="1"/>
    <col min="59" max="59" width="19.33203125" style="135" bestFit="1" customWidth="1"/>
    <col min="60" max="60" width="16" style="135" bestFit="1" customWidth="1"/>
    <col min="61" max="16384" width="17.33203125" style="135"/>
  </cols>
  <sheetData>
    <row r="1" spans="2:61" ht="15" customHeight="1" thickBot="1"/>
    <row r="2" spans="2:61" ht="16.5"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1" ht="16.5"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1" ht="16.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1" ht="16.5"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1" ht="16.5"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1"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1" ht="28.5" customHeight="1">
      <c r="B8" s="216" t="s">
        <v>45</v>
      </c>
      <c r="C8" s="1584" t="s">
        <v>89</v>
      </c>
      <c r="D8" s="1584"/>
      <c r="E8" s="217"/>
      <c r="F8" s="217"/>
      <c r="G8" s="217"/>
      <c r="H8" s="217"/>
      <c r="I8" s="217"/>
      <c r="J8" s="217"/>
      <c r="K8" s="217"/>
      <c r="L8" s="217"/>
      <c r="M8" s="217"/>
      <c r="N8" s="217"/>
      <c r="O8" s="217"/>
      <c r="AW8" s="238"/>
      <c r="AX8" s="238"/>
      <c r="AY8" s="238"/>
      <c r="AZ8" s="238"/>
      <c r="BA8" s="238"/>
      <c r="BB8" s="238"/>
      <c r="BC8" s="238"/>
      <c r="BD8" s="238"/>
    </row>
    <row r="9" spans="2:61" ht="98.25" customHeight="1">
      <c r="B9" s="216" t="s">
        <v>34</v>
      </c>
      <c r="C9" s="1571" t="s">
        <v>311</v>
      </c>
      <c r="D9" s="1572"/>
      <c r="E9" s="217"/>
      <c r="F9" s="217"/>
      <c r="G9" s="217"/>
      <c r="H9" s="217"/>
      <c r="I9" s="217"/>
      <c r="J9" s="217"/>
      <c r="K9" s="217"/>
      <c r="L9" s="217"/>
      <c r="M9" s="217"/>
      <c r="N9" s="217"/>
      <c r="O9" s="217"/>
      <c r="AW9" s="238"/>
      <c r="AX9" s="238"/>
      <c r="AY9" s="238"/>
      <c r="AZ9" s="238"/>
      <c r="BA9" s="238"/>
      <c r="BB9" s="238"/>
      <c r="BC9" s="238"/>
      <c r="BD9" s="238"/>
    </row>
    <row r="10" spans="2:61" ht="30" customHeight="1">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1" ht="14.25" customHeight="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33"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282</v>
      </c>
      <c r="AW12" s="1550" t="s">
        <v>733</v>
      </c>
      <c r="AX12" s="1551"/>
      <c r="AY12" s="1551"/>
      <c r="AZ12" s="1552"/>
      <c r="BA12" s="1556" t="s">
        <v>734</v>
      </c>
      <c r="BB12" s="1557"/>
      <c r="BC12" s="1557"/>
      <c r="BD12" s="1558"/>
      <c r="BE12" s="1543" t="s">
        <v>735</v>
      </c>
      <c r="BF12" s="1544"/>
      <c r="BG12" s="1544"/>
      <c r="BH12" s="1545"/>
    </row>
    <row r="13" spans="2:61" ht="21.75" customHeight="1">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283</v>
      </c>
      <c r="AX13" s="1553" t="s">
        <v>284</v>
      </c>
      <c r="AY13" s="1553" t="s">
        <v>285</v>
      </c>
      <c r="AZ13" s="1553" t="s">
        <v>286</v>
      </c>
      <c r="BA13" s="1559" t="s">
        <v>287</v>
      </c>
      <c r="BB13" s="1559" t="s">
        <v>284</v>
      </c>
      <c r="BC13" s="1559" t="s">
        <v>288</v>
      </c>
      <c r="BD13" s="1559" t="s">
        <v>289</v>
      </c>
      <c r="BE13" s="1562" t="s">
        <v>287</v>
      </c>
      <c r="BF13" s="1562" t="s">
        <v>284</v>
      </c>
      <c r="BG13" s="1562" t="s">
        <v>288</v>
      </c>
      <c r="BH13" s="1562" t="s">
        <v>289</v>
      </c>
    </row>
    <row r="14" spans="2:61" ht="21.75" customHeight="1">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1" ht="21.75"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1" ht="186" customHeight="1">
      <c r="B16" s="1541" t="str">
        <f>+'01-FR-03 POA INSTITUCIONAL'!B34</f>
        <v>2. Realizar acciones de prevención y control a la Función Pública, en el marco del cumplimiento del Plan de Desarrollo, con énfasis en los Derechos e intereses colectivos.</v>
      </c>
      <c r="C16" s="1541" t="str">
        <f>+'01-FR-03 POA INSTITUCIONAL'!C34</f>
        <v>2.1. Realizar 22 acciones de prevención y control a la función pública en medio ambiente, agua, protección y bienestar animal y desarrollo urbano.</v>
      </c>
      <c r="D16" s="31" t="str">
        <f>+'01-FR-03 POA INSTITUCIONAL'!D34</f>
        <v>2.1.1 Realizar 16 informes en los cuales se evalúen las políticas ambientales, el manejo de recursos hídricos, protección y bienestar animal y desarrollo urbano en el Distrito Capital.</v>
      </c>
      <c r="E16" s="52">
        <f>+'01-FR-03 POA INSTITUCIONAL'!E34</f>
        <v>0.72727272727272696</v>
      </c>
      <c r="F16" s="174">
        <f>+'01-FR-03 POA INSTITUCIONAL'!F34</f>
        <v>16</v>
      </c>
      <c r="G16" s="174">
        <f>+'01-FR-03 POA INSTITUCIONAL'!K34</f>
        <v>3</v>
      </c>
      <c r="H16" s="140" t="str">
        <f>+'01-FR-03 POA INSTITUCIONAL'!G34</f>
        <v>S.I.</v>
      </c>
      <c r="I16" s="140" t="str">
        <f>+'01-FR-03 POA INSTITUCIONAL'!H34</f>
        <v>Informes realizados en temas específicos.</v>
      </c>
      <c r="J16" s="140" t="s">
        <v>713</v>
      </c>
      <c r="K16" s="266" t="s">
        <v>290</v>
      </c>
      <c r="L16" s="220" t="s">
        <v>302</v>
      </c>
      <c r="M16" s="220" t="s">
        <v>291</v>
      </c>
      <c r="N16" s="220" t="s">
        <v>292</v>
      </c>
      <c r="O16" s="26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6" s="229">
        <v>0</v>
      </c>
      <c r="Q16" s="229">
        <v>0</v>
      </c>
      <c r="R16" s="229">
        <v>0</v>
      </c>
      <c r="S16" s="229">
        <v>0</v>
      </c>
      <c r="T16" s="229">
        <v>0</v>
      </c>
      <c r="U16" s="230">
        <v>0</v>
      </c>
      <c r="V16" s="41">
        <f>P16+R16+T16</f>
        <v>0</v>
      </c>
      <c r="W16" s="41">
        <f>Q16+S16+U16</f>
        <v>0</v>
      </c>
      <c r="X16" s="229">
        <v>0</v>
      </c>
      <c r="Y16" s="229">
        <v>0</v>
      </c>
      <c r="Z16" s="229">
        <v>0</v>
      </c>
      <c r="AA16" s="229">
        <v>0</v>
      </c>
      <c r="AB16" s="229">
        <v>0</v>
      </c>
      <c r="AC16" s="229">
        <v>0</v>
      </c>
      <c r="AD16" s="41">
        <f>X16+Z16+AB16</f>
        <v>0</v>
      </c>
      <c r="AE16" s="41">
        <f>Y16+AA16+AC16</f>
        <v>0</v>
      </c>
      <c r="AF16" s="229">
        <v>1</v>
      </c>
      <c r="AG16" s="229">
        <v>0</v>
      </c>
      <c r="AH16" s="229">
        <v>0</v>
      </c>
      <c r="AI16" s="229">
        <v>0</v>
      </c>
      <c r="AJ16" s="230">
        <v>1</v>
      </c>
      <c r="AK16" s="230">
        <v>0</v>
      </c>
      <c r="AL16" s="41">
        <f>AF16+AH16+AJ16</f>
        <v>2</v>
      </c>
      <c r="AM16" s="41">
        <f>AG16+AI16+AK16</f>
        <v>0</v>
      </c>
      <c r="AN16" s="229">
        <v>0</v>
      </c>
      <c r="AO16" s="229"/>
      <c r="AP16" s="229">
        <v>1</v>
      </c>
      <c r="AQ16" s="229"/>
      <c r="AR16" s="229">
        <v>0</v>
      </c>
      <c r="AS16" s="229"/>
      <c r="AT16" s="41">
        <f>AN16+AP16+AR16</f>
        <v>1</v>
      </c>
      <c r="AU16" s="41">
        <f>AO16+AQ16+AS16</f>
        <v>0</v>
      </c>
      <c r="AV16" s="25">
        <f>V16+AD16+AL16+AT16</f>
        <v>3</v>
      </c>
      <c r="AW16" s="81">
        <f>+W16</f>
        <v>0</v>
      </c>
      <c r="AX16" s="685">
        <f>+W16+AE16</f>
        <v>0</v>
      </c>
      <c r="AY16" s="81">
        <f>+W16+AE16+AM16</f>
        <v>0</v>
      </c>
      <c r="AZ16" s="386">
        <f>+W16+AE16+AM16+AU16</f>
        <v>0</v>
      </c>
      <c r="BA16" s="42">
        <f>IF(AND(AW16&gt;0,$AV16&gt;0),AW16/$AV16,0)</f>
        <v>0</v>
      </c>
      <c r="BB16" s="42">
        <f t="shared" ref="BB16:BD22" si="0">IF(AND(AX16&gt;0,$AV16&gt;0),AX16/$AV16,0)</f>
        <v>0</v>
      </c>
      <c r="BC16" s="42">
        <f t="shared" si="0"/>
        <v>0</v>
      </c>
      <c r="BD16" s="42">
        <f t="shared" si="0"/>
        <v>0</v>
      </c>
      <c r="BE16" s="335">
        <f>(IF(AND(AW16&gt;0,$F16&gt;0),AW16/$F16,0))</f>
        <v>0</v>
      </c>
      <c r="BF16" s="335">
        <f t="shared" ref="BF16:BH16" si="1">(IF(AND(AX16&gt;0,$F16&gt;0),AX16/$F16,0))</f>
        <v>0</v>
      </c>
      <c r="BG16" s="335">
        <f t="shared" si="1"/>
        <v>0</v>
      </c>
      <c r="BH16" s="396">
        <f t="shared" si="1"/>
        <v>0</v>
      </c>
      <c r="BI16" s="268"/>
    </row>
    <row r="17" spans="2:61" ht="135" customHeight="1">
      <c r="B17" s="1542"/>
      <c r="C17" s="1574"/>
      <c r="D17" s="3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INSTITUCIONAL'!E35</f>
        <v>0.27272727272727298</v>
      </c>
      <c r="F17" s="174">
        <f>+'01-FR-03 POA INSTITUCIONAL'!F35</f>
        <v>6</v>
      </c>
      <c r="G17" s="174">
        <f>+'01-FR-03 POA INSTITUCIONAL'!K35</f>
        <v>1</v>
      </c>
      <c r="H17" s="140" t="str">
        <f>+'01-FR-03 POA INSTITUCIONAL'!G35</f>
        <v>S.I.</v>
      </c>
      <c r="I17" s="140" t="str">
        <f>+'01-FR-03 POA INSTITUCIONAL'!H35</f>
        <v>Informes de seguimientos realizados en temas específicos.</v>
      </c>
      <c r="J17" s="140" t="s">
        <v>714</v>
      </c>
      <c r="K17" s="266" t="s">
        <v>293</v>
      </c>
      <c r="L17" s="220" t="s">
        <v>303</v>
      </c>
      <c r="M17" s="220" t="s">
        <v>291</v>
      </c>
      <c r="N17" s="220" t="s">
        <v>292</v>
      </c>
      <c r="O17" s="26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7" s="229">
        <v>0</v>
      </c>
      <c r="Q17" s="229">
        <v>0</v>
      </c>
      <c r="R17" s="229">
        <v>1</v>
      </c>
      <c r="S17" s="229">
        <v>1</v>
      </c>
      <c r="T17" s="229">
        <v>0</v>
      </c>
      <c r="U17" s="230">
        <v>0</v>
      </c>
      <c r="V17" s="41">
        <f t="shared" ref="V17:W22" si="2">P17+R17+T17</f>
        <v>1</v>
      </c>
      <c r="W17" s="41">
        <f t="shared" si="2"/>
        <v>1</v>
      </c>
      <c r="X17" s="229">
        <v>0</v>
      </c>
      <c r="Y17" s="229">
        <v>0</v>
      </c>
      <c r="Z17" s="229">
        <v>0</v>
      </c>
      <c r="AA17" s="229">
        <v>0</v>
      </c>
      <c r="AB17" s="229">
        <v>0</v>
      </c>
      <c r="AC17" s="229">
        <v>0</v>
      </c>
      <c r="AD17" s="41">
        <f t="shared" ref="AD17:AE22" si="3">X17+Z17+AB17</f>
        <v>0</v>
      </c>
      <c r="AE17" s="41">
        <f t="shared" si="3"/>
        <v>0</v>
      </c>
      <c r="AF17" s="229">
        <v>0</v>
      </c>
      <c r="AG17" s="229">
        <v>0</v>
      </c>
      <c r="AH17" s="229">
        <v>0</v>
      </c>
      <c r="AI17" s="229">
        <v>0</v>
      </c>
      <c r="AJ17" s="230">
        <v>0</v>
      </c>
      <c r="AK17" s="230">
        <v>0</v>
      </c>
      <c r="AL17" s="41">
        <f t="shared" ref="AL17:AM22" si="4">AF17+AH17+AJ17</f>
        <v>0</v>
      </c>
      <c r="AM17" s="41">
        <f t="shared" si="4"/>
        <v>0</v>
      </c>
      <c r="AN17" s="229">
        <v>0</v>
      </c>
      <c r="AO17" s="229"/>
      <c r="AP17" s="229">
        <v>0</v>
      </c>
      <c r="AQ17" s="229"/>
      <c r="AR17" s="229">
        <v>0</v>
      </c>
      <c r="AS17" s="229"/>
      <c r="AT17" s="41">
        <f t="shared" ref="AT17:AU22" si="5">AN17+AP17+AR17</f>
        <v>0</v>
      </c>
      <c r="AU17" s="41">
        <f t="shared" si="5"/>
        <v>0</v>
      </c>
      <c r="AV17" s="25">
        <f t="shared" ref="AV17:AV22" si="6">V17+AD17+AL17+AT17</f>
        <v>1</v>
      </c>
      <c r="AW17" s="81">
        <f t="shared" ref="AW17:AW22" si="7">+W17</f>
        <v>1</v>
      </c>
      <c r="AX17" s="685">
        <f t="shared" ref="AX17:AX22" si="8">+W17+AE17</f>
        <v>1</v>
      </c>
      <c r="AY17" s="81">
        <f t="shared" ref="AY17:AY22" si="9">+W17+AE17+AM17</f>
        <v>1</v>
      </c>
      <c r="AZ17" s="386">
        <f t="shared" ref="AZ17:AZ22" si="10">+W17+AE17+AM17+AU17</f>
        <v>1</v>
      </c>
      <c r="BA17" s="42">
        <f>IF(AND(AW17&gt;0,AV17&gt;0),AW17/AV17,0)</f>
        <v>1</v>
      </c>
      <c r="BB17" s="42">
        <f t="shared" si="0"/>
        <v>1</v>
      </c>
      <c r="BC17" s="42">
        <f t="shared" si="0"/>
        <v>1</v>
      </c>
      <c r="BD17" s="42">
        <f t="shared" si="0"/>
        <v>1</v>
      </c>
      <c r="BE17" s="335">
        <f t="shared" ref="BE17:BE19" si="11">(IF(AND(AW17&gt;0,$F17&gt;0),AW17/$F17,0))</f>
        <v>0.16666666666666666</v>
      </c>
      <c r="BF17" s="335">
        <f t="shared" ref="BF17:BF19" si="12">(IF(AND(AX17&gt;0,$F17&gt;0),AX17/$F17,0))</f>
        <v>0.16666666666666666</v>
      </c>
      <c r="BG17" s="335">
        <f t="shared" ref="BG17:BG19" si="13">(IF(AND(AY17&gt;0,$F17&gt;0),AY17/$F17,0))</f>
        <v>0.16666666666666666</v>
      </c>
      <c r="BH17" s="396">
        <f t="shared" ref="BH17:BH19" si="14">(IF(AND(AZ17&gt;0,$F17&gt;0),AZ17/$F17,0))</f>
        <v>0.16666666666666666</v>
      </c>
      <c r="BI17" s="268"/>
    </row>
    <row r="18" spans="2:61" ht="126" customHeight="1">
      <c r="B18" s="1542"/>
      <c r="C18" s="1541" t="str">
        <f>+'01-FR-03 POA INSTITUCIONAL'!C36</f>
        <v>2.2. Fortalecer la moralidad publica realizando  880 acciones de prevención y control a la función pública.</v>
      </c>
      <c r="D18" s="31" t="str">
        <f>+'01-FR-03 POA INSTITUCIONAL'!D36</f>
        <v>2.2.1 Realizar 790 acciones de prevención y control a la función pública para fortalecer la moralidad pública.</v>
      </c>
      <c r="E18" s="52">
        <f>+'01-FR-03 POA INSTITUCIONAL'!E36</f>
        <v>0.89772727272727271</v>
      </c>
      <c r="F18" s="174">
        <f>+'01-FR-03 POA INSTITUCIONAL'!F36</f>
        <v>790</v>
      </c>
      <c r="G18" s="174">
        <f>+'01-FR-03 POA INSTITUCIONAL'!K36</f>
        <v>200</v>
      </c>
      <c r="H18" s="140" t="str">
        <f>+'01-FR-03 POA INSTITUCIONAL'!G36</f>
        <v>S.I.</v>
      </c>
      <c r="I18" s="140" t="str">
        <f>+'01-FR-03 POA INSTITUCIONAL'!H36</f>
        <v>Acciones de Prevención y Control a la Función Pública realizadas, con informe.</v>
      </c>
      <c r="J18" s="140" t="s">
        <v>715</v>
      </c>
      <c r="K18" s="266" t="s">
        <v>294</v>
      </c>
      <c r="L18" s="220" t="s">
        <v>304</v>
      </c>
      <c r="M18" s="220" t="s">
        <v>291</v>
      </c>
      <c r="N18" s="220" t="s">
        <v>292</v>
      </c>
      <c r="O18" s="26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8" s="229">
        <v>0</v>
      </c>
      <c r="Q18" s="229">
        <v>0</v>
      </c>
      <c r="R18" s="229">
        <f>+(2+2)</f>
        <v>4</v>
      </c>
      <c r="S18" s="229">
        <v>1</v>
      </c>
      <c r="T18" s="229">
        <f>+(4+5)</f>
        <v>9</v>
      </c>
      <c r="U18" s="230">
        <v>36</v>
      </c>
      <c r="V18" s="41">
        <f t="shared" si="2"/>
        <v>13</v>
      </c>
      <c r="W18" s="41">
        <f t="shared" si="2"/>
        <v>37</v>
      </c>
      <c r="X18" s="229">
        <f>+(10+12)</f>
        <v>22</v>
      </c>
      <c r="Y18" s="229">
        <v>9</v>
      </c>
      <c r="Z18" s="229">
        <f>+(13+12)</f>
        <v>25</v>
      </c>
      <c r="AA18" s="229">
        <v>19</v>
      </c>
      <c r="AB18" s="230">
        <f>+(11+12)</f>
        <v>23</v>
      </c>
      <c r="AC18" s="229">
        <v>46</v>
      </c>
      <c r="AD18" s="41">
        <f t="shared" si="3"/>
        <v>70</v>
      </c>
      <c r="AE18" s="41">
        <f t="shared" si="3"/>
        <v>74</v>
      </c>
      <c r="AF18" s="230">
        <f>+(12+12)</f>
        <v>24</v>
      </c>
      <c r="AG18" s="229">
        <v>13</v>
      </c>
      <c r="AH18" s="229">
        <f>+(12+12)</f>
        <v>24</v>
      </c>
      <c r="AI18" s="229">
        <v>6</v>
      </c>
      <c r="AJ18" s="229">
        <f>+(12+12)</f>
        <v>24</v>
      </c>
      <c r="AK18" s="230">
        <v>21</v>
      </c>
      <c r="AL18" s="41">
        <f t="shared" si="4"/>
        <v>72</v>
      </c>
      <c r="AM18" s="41">
        <f t="shared" si="4"/>
        <v>40</v>
      </c>
      <c r="AN18" s="229">
        <f>+(12+12)</f>
        <v>24</v>
      </c>
      <c r="AO18" s="229"/>
      <c r="AP18" s="229">
        <f>+(12+9)</f>
        <v>21</v>
      </c>
      <c r="AQ18" s="229"/>
      <c r="AR18" s="229">
        <v>0</v>
      </c>
      <c r="AS18" s="229"/>
      <c r="AT18" s="41">
        <f t="shared" si="5"/>
        <v>45</v>
      </c>
      <c r="AU18" s="41">
        <f t="shared" si="5"/>
        <v>0</v>
      </c>
      <c r="AV18" s="25">
        <f t="shared" si="6"/>
        <v>200</v>
      </c>
      <c r="AW18" s="81">
        <f t="shared" si="7"/>
        <v>37</v>
      </c>
      <c r="AX18" s="685">
        <f t="shared" si="8"/>
        <v>111</v>
      </c>
      <c r="AY18" s="81">
        <f t="shared" si="9"/>
        <v>151</v>
      </c>
      <c r="AZ18" s="386">
        <f t="shared" si="10"/>
        <v>151</v>
      </c>
      <c r="BA18" s="42">
        <f t="shared" ref="BA18:BA22" si="15">IF(AND(AW18&gt;0,AV18&gt;0),AW18/AV18,0)</f>
        <v>0.185</v>
      </c>
      <c r="BB18" s="42">
        <f t="shared" si="0"/>
        <v>0.55500000000000005</v>
      </c>
      <c r="BC18" s="347">
        <f t="shared" si="0"/>
        <v>0.755</v>
      </c>
      <c r="BD18" s="347">
        <f t="shared" si="0"/>
        <v>0.755</v>
      </c>
      <c r="BE18" s="335">
        <f t="shared" si="11"/>
        <v>4.6835443037974683E-2</v>
      </c>
      <c r="BF18" s="335">
        <f t="shared" si="12"/>
        <v>0.14050632911392405</v>
      </c>
      <c r="BG18" s="335">
        <f t="shared" si="13"/>
        <v>0.19113924050632911</v>
      </c>
      <c r="BH18" s="396">
        <f t="shared" si="14"/>
        <v>0.19113924050632911</v>
      </c>
      <c r="BI18" s="268"/>
    </row>
    <row r="19" spans="2:61" ht="105.6" customHeight="1">
      <c r="B19" s="1542"/>
      <c r="C19" s="1574"/>
      <c r="D19" s="31" t="str">
        <f>+'01-FR-03 POA INSTITUCIONAL'!D37</f>
        <v>2.2.2 Realizar 90 acciones de prevención y control a la función pública - seguimientos, para fortalecer la moralidad pública en el Distrito Capital.</v>
      </c>
      <c r="E19" s="52">
        <f>+'01-FR-03 POA INSTITUCIONAL'!E37</f>
        <v>0.10227272727272728</v>
      </c>
      <c r="F19" s="174">
        <f>+'01-FR-03 POA INSTITUCIONAL'!F37</f>
        <v>90</v>
      </c>
      <c r="G19" s="174">
        <f>+'01-FR-03 POA INSTITUCIONAL'!K37</f>
        <v>20</v>
      </c>
      <c r="H19" s="140" t="str">
        <f>+'01-FR-03 POA INSTITUCIONAL'!G37</f>
        <v>S.I.</v>
      </c>
      <c r="I19" s="140" t="str">
        <f>+'01-FR-03 POA INSTITUCIONAL'!H37</f>
        <v>Seguimientos realizados sobre acciones previas, con informe</v>
      </c>
      <c r="J19" s="140" t="s">
        <v>716</v>
      </c>
      <c r="K19" s="266" t="s">
        <v>295</v>
      </c>
      <c r="L19" s="220" t="s">
        <v>309</v>
      </c>
      <c r="M19" s="220" t="s">
        <v>291</v>
      </c>
      <c r="N19" s="220" t="s">
        <v>292</v>
      </c>
      <c r="O19" s="267"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P19" s="229">
        <v>0</v>
      </c>
      <c r="Q19" s="229">
        <v>0</v>
      </c>
      <c r="R19" s="229">
        <v>0</v>
      </c>
      <c r="S19" s="229">
        <v>0</v>
      </c>
      <c r="T19" s="229">
        <v>0</v>
      </c>
      <c r="U19" s="230">
        <v>0</v>
      </c>
      <c r="V19" s="41">
        <f t="shared" si="2"/>
        <v>0</v>
      </c>
      <c r="W19" s="41">
        <f t="shared" si="2"/>
        <v>0</v>
      </c>
      <c r="X19" s="230">
        <f>0+0</f>
        <v>0</v>
      </c>
      <c r="Y19" s="229">
        <v>3</v>
      </c>
      <c r="Z19" s="229">
        <f>+(1+1)</f>
        <v>2</v>
      </c>
      <c r="AA19" s="229">
        <v>3</v>
      </c>
      <c r="AB19" s="229">
        <f>+(1+1)</f>
        <v>2</v>
      </c>
      <c r="AC19" s="229">
        <v>17</v>
      </c>
      <c r="AD19" s="41">
        <f t="shared" si="3"/>
        <v>4</v>
      </c>
      <c r="AE19" s="41">
        <f t="shared" si="3"/>
        <v>23</v>
      </c>
      <c r="AF19" s="229">
        <f>2+0</f>
        <v>2</v>
      </c>
      <c r="AG19" s="229">
        <v>0</v>
      </c>
      <c r="AH19" s="229">
        <f>+(2+1)</f>
        <v>3</v>
      </c>
      <c r="AI19" s="229">
        <v>0</v>
      </c>
      <c r="AJ19" s="229">
        <f>+(2+1)</f>
        <v>3</v>
      </c>
      <c r="AK19" s="230">
        <v>0</v>
      </c>
      <c r="AL19" s="41">
        <f t="shared" si="4"/>
        <v>8</v>
      </c>
      <c r="AM19" s="41">
        <f t="shared" si="4"/>
        <v>0</v>
      </c>
      <c r="AN19" s="229">
        <f>4+0</f>
        <v>4</v>
      </c>
      <c r="AO19" s="229"/>
      <c r="AP19" s="229">
        <f>+(3+1)</f>
        <v>4</v>
      </c>
      <c r="AQ19" s="229"/>
      <c r="AR19" s="229">
        <f>0+0</f>
        <v>0</v>
      </c>
      <c r="AS19" s="229"/>
      <c r="AT19" s="41">
        <f t="shared" si="5"/>
        <v>8</v>
      </c>
      <c r="AU19" s="41">
        <f t="shared" si="5"/>
        <v>0</v>
      </c>
      <c r="AV19" s="25">
        <f t="shared" si="6"/>
        <v>20</v>
      </c>
      <c r="AW19" s="81">
        <f t="shared" si="7"/>
        <v>0</v>
      </c>
      <c r="AX19" s="685">
        <f t="shared" si="8"/>
        <v>23</v>
      </c>
      <c r="AY19" s="81">
        <f t="shared" si="9"/>
        <v>23</v>
      </c>
      <c r="AZ19" s="386">
        <f t="shared" si="10"/>
        <v>23</v>
      </c>
      <c r="BA19" s="42">
        <f t="shared" si="15"/>
        <v>0</v>
      </c>
      <c r="BB19" s="42">
        <f t="shared" si="0"/>
        <v>1.1499999999999999</v>
      </c>
      <c r="BC19" s="42">
        <f t="shared" si="0"/>
        <v>1.1499999999999999</v>
      </c>
      <c r="BD19" s="42">
        <f t="shared" si="0"/>
        <v>1.1499999999999999</v>
      </c>
      <c r="BE19" s="335">
        <f t="shared" si="11"/>
        <v>0</v>
      </c>
      <c r="BF19" s="335">
        <f t="shared" si="12"/>
        <v>0.25555555555555554</v>
      </c>
      <c r="BG19" s="335">
        <f t="shared" si="13"/>
        <v>0.25555555555555554</v>
      </c>
      <c r="BH19" s="396">
        <f t="shared" si="14"/>
        <v>0.25555555555555554</v>
      </c>
      <c r="BI19" s="268"/>
    </row>
    <row r="20" spans="2:61" ht="322.5" customHeight="1">
      <c r="B20" s="1542"/>
      <c r="C20" s="1541" t="str">
        <f>+'01-FR-03 POA INSTITUCIONAL'!C38</f>
        <v>2.3. Fortalecer 295 espacios de participación ciudadana en la Personería de Bogotá</v>
      </c>
      <c r="D20" s="31" t="str">
        <f>+'01-FR-03 POA INSTITUCIONAL'!D38</f>
        <v>2.3.1 Realizar 55 audiencias públicas y/o mesas de trabajo, las cuales permitan la participación ciudadana, con énfasis en los Derechos e intereses colectivos.</v>
      </c>
      <c r="E20" s="52">
        <f>+'01-FR-03 POA INSTITUCIONAL'!E38</f>
        <v>0.1864406779661017</v>
      </c>
      <c r="F20" s="174">
        <f>+'01-FR-03 POA INSTITUCIONAL'!F38</f>
        <v>55</v>
      </c>
      <c r="G20" s="174">
        <f>+'01-FR-03 POA INSTITUCIONAL'!K38</f>
        <v>7</v>
      </c>
      <c r="H20" s="140">
        <f>+'01-FR-03 POA INSTITUCIONAL'!G38</f>
        <v>75</v>
      </c>
      <c r="I20" s="140" t="str">
        <f>+'01-FR-03 POA INSTITUCIONAL'!H38</f>
        <v>Audiencias públicas y/o mesas de trabajo realizadas.</v>
      </c>
      <c r="J20" s="140" t="s">
        <v>296</v>
      </c>
      <c r="K20" s="266" t="s">
        <v>297</v>
      </c>
      <c r="L20" s="220" t="s">
        <v>310</v>
      </c>
      <c r="M20" s="220" t="s">
        <v>291</v>
      </c>
      <c r="N20" s="220" t="s">
        <v>292</v>
      </c>
      <c r="O20" s="267" t="str">
        <f>+'01-FR-03 POA INSTITUCIONAL'!J38</f>
        <v>Personería Delegada para la Coordinación de Prevención y Control a la Función Pública y sus Personerías Delegadas.</v>
      </c>
      <c r="P20" s="229">
        <v>0</v>
      </c>
      <c r="Q20" s="229">
        <v>0</v>
      </c>
      <c r="R20" s="229">
        <v>0</v>
      </c>
      <c r="S20" s="229">
        <v>1</v>
      </c>
      <c r="T20" s="229">
        <v>1</v>
      </c>
      <c r="U20" s="230">
        <v>1</v>
      </c>
      <c r="V20" s="41">
        <f t="shared" si="2"/>
        <v>1</v>
      </c>
      <c r="W20" s="41">
        <f t="shared" si="2"/>
        <v>2</v>
      </c>
      <c r="X20" s="229">
        <v>1</v>
      </c>
      <c r="Y20" s="229">
        <v>0</v>
      </c>
      <c r="Z20" s="229">
        <v>1</v>
      </c>
      <c r="AA20" s="229">
        <v>2</v>
      </c>
      <c r="AB20" s="229">
        <v>1</v>
      </c>
      <c r="AC20" s="229">
        <v>1</v>
      </c>
      <c r="AD20" s="41">
        <f t="shared" si="3"/>
        <v>3</v>
      </c>
      <c r="AE20" s="41">
        <f t="shared" si="3"/>
        <v>3</v>
      </c>
      <c r="AF20" s="229">
        <v>1</v>
      </c>
      <c r="AG20" s="229">
        <v>1</v>
      </c>
      <c r="AH20" s="229">
        <v>1</v>
      </c>
      <c r="AI20" s="229">
        <v>2</v>
      </c>
      <c r="AJ20" s="230">
        <v>1</v>
      </c>
      <c r="AK20" s="230">
        <v>0</v>
      </c>
      <c r="AL20" s="41">
        <f t="shared" si="4"/>
        <v>3</v>
      </c>
      <c r="AM20" s="41">
        <f t="shared" si="4"/>
        <v>3</v>
      </c>
      <c r="AN20" s="229">
        <v>0</v>
      </c>
      <c r="AO20" s="229"/>
      <c r="AP20" s="229">
        <v>0</v>
      </c>
      <c r="AQ20" s="229"/>
      <c r="AR20" s="229">
        <v>0</v>
      </c>
      <c r="AS20" s="229"/>
      <c r="AT20" s="41">
        <f t="shared" si="5"/>
        <v>0</v>
      </c>
      <c r="AU20" s="41">
        <f t="shared" si="5"/>
        <v>0</v>
      </c>
      <c r="AV20" s="25">
        <f t="shared" si="6"/>
        <v>7</v>
      </c>
      <c r="AW20" s="81">
        <f t="shared" si="7"/>
        <v>2</v>
      </c>
      <c r="AX20" s="685">
        <f t="shared" si="8"/>
        <v>5</v>
      </c>
      <c r="AY20" s="81">
        <f t="shared" si="9"/>
        <v>8</v>
      </c>
      <c r="AZ20" s="386">
        <f t="shared" si="10"/>
        <v>8</v>
      </c>
      <c r="BA20" s="42">
        <f t="shared" si="15"/>
        <v>0.2857142857142857</v>
      </c>
      <c r="BB20" s="42">
        <f t="shared" si="0"/>
        <v>0.7142857142857143</v>
      </c>
      <c r="BC20" s="42">
        <f t="shared" si="0"/>
        <v>1.1428571428571428</v>
      </c>
      <c r="BD20" s="42">
        <f t="shared" si="0"/>
        <v>1.1428571428571428</v>
      </c>
      <c r="BE20" s="335">
        <f t="shared" ref="BE20:BE22" si="16">(IF(AND(AW20&gt;0,$F20&gt;0),AW20/$F20,0))</f>
        <v>3.6363636363636362E-2</v>
      </c>
      <c r="BF20" s="335">
        <f t="shared" ref="BF20:BF22" si="17">(IF(AND(AX20&gt;0,$F20&gt;0),AX20/$F20,0))</f>
        <v>9.0909090909090912E-2</v>
      </c>
      <c r="BG20" s="335">
        <f t="shared" ref="BG20:BG22" si="18">(IF(AND(AY20&gt;0,$F20&gt;0),AY20/$F20,0))</f>
        <v>0.14545454545454545</v>
      </c>
      <c r="BH20" s="396">
        <f t="shared" ref="BH20:BH22" si="19">(IF(AND(AZ20&gt;0,$F20&gt;0),AZ20/$F20,0))</f>
        <v>0.14545454545454545</v>
      </c>
      <c r="BI20" s="268"/>
    </row>
    <row r="21" spans="2:61" ht="171" customHeight="1">
      <c r="B21" s="1542"/>
      <c r="C21" s="1542"/>
      <c r="D21" s="31" t="str">
        <f>+'01-FR-03 POA INSTITUCIONAL'!D39</f>
        <v>2.3.2 Realizar 140 acompañamientos a los ciudadanos que intervienen en los diferentes espacios de participación ciudadana.</v>
      </c>
      <c r="E21" s="52">
        <f>+'01-FR-03 POA INSTITUCIONAL'!E39</f>
        <v>0.47457627118644069</v>
      </c>
      <c r="F21" s="174">
        <f>+'01-FR-03 POA INSTITUCIONAL'!F39</f>
        <v>140</v>
      </c>
      <c r="G21" s="174">
        <f>+'01-FR-03 POA INSTITUCIONAL'!K39</f>
        <v>40</v>
      </c>
      <c r="H21" s="140" t="str">
        <f>+'01-FR-03 POA INSTITUCIONAL'!G39</f>
        <v>S.I.</v>
      </c>
      <c r="I21" s="140" t="str">
        <f>+'01-FR-03 POA INSTITUCIONAL'!H39</f>
        <v>Acompañamientos a los ciudadanos realizados.</v>
      </c>
      <c r="J21" s="140" t="s">
        <v>298</v>
      </c>
      <c r="K21" s="266" t="s">
        <v>299</v>
      </c>
      <c r="L21" s="220" t="s">
        <v>307</v>
      </c>
      <c r="M21" s="220" t="s">
        <v>291</v>
      </c>
      <c r="N21" s="220" t="s">
        <v>292</v>
      </c>
      <c r="O21" s="267" t="str">
        <f>+'01-FR-03 POA INSTITUCIONAL'!J39</f>
        <v xml:space="preserve">Personería Delegada para la Coordinación de Gestión de las Personerías Locales y sus Personerías Locales. </v>
      </c>
      <c r="P21" s="229">
        <v>0</v>
      </c>
      <c r="Q21" s="229">
        <v>3</v>
      </c>
      <c r="R21" s="229">
        <v>4</v>
      </c>
      <c r="S21" s="229">
        <v>6</v>
      </c>
      <c r="T21" s="229">
        <v>4</v>
      </c>
      <c r="U21" s="230">
        <v>14</v>
      </c>
      <c r="V21" s="41">
        <f t="shared" si="2"/>
        <v>8</v>
      </c>
      <c r="W21" s="41">
        <f t="shared" si="2"/>
        <v>23</v>
      </c>
      <c r="X21" s="229">
        <v>4</v>
      </c>
      <c r="Y21" s="229">
        <v>4</v>
      </c>
      <c r="Z21" s="229">
        <v>4</v>
      </c>
      <c r="AA21" s="229">
        <v>9</v>
      </c>
      <c r="AB21" s="229">
        <v>4</v>
      </c>
      <c r="AC21" s="229">
        <v>8</v>
      </c>
      <c r="AD21" s="41">
        <f t="shared" si="3"/>
        <v>12</v>
      </c>
      <c r="AE21" s="41">
        <f t="shared" si="3"/>
        <v>21</v>
      </c>
      <c r="AF21" s="229">
        <v>4</v>
      </c>
      <c r="AG21" s="229">
        <v>8</v>
      </c>
      <c r="AH21" s="229">
        <v>4</v>
      </c>
      <c r="AI21" s="229">
        <v>10</v>
      </c>
      <c r="AJ21" s="230">
        <v>4</v>
      </c>
      <c r="AK21" s="230">
        <v>8</v>
      </c>
      <c r="AL21" s="41">
        <f t="shared" si="4"/>
        <v>12</v>
      </c>
      <c r="AM21" s="41">
        <f t="shared" si="4"/>
        <v>26</v>
      </c>
      <c r="AN21" s="229">
        <v>4</v>
      </c>
      <c r="AO21" s="229"/>
      <c r="AP21" s="229">
        <v>4</v>
      </c>
      <c r="AQ21" s="229"/>
      <c r="AR21" s="229">
        <v>0</v>
      </c>
      <c r="AS21" s="229"/>
      <c r="AT21" s="41">
        <f t="shared" si="5"/>
        <v>8</v>
      </c>
      <c r="AU21" s="41">
        <f t="shared" si="5"/>
        <v>0</v>
      </c>
      <c r="AV21" s="25">
        <f t="shared" si="6"/>
        <v>40</v>
      </c>
      <c r="AW21" s="81">
        <f t="shared" si="7"/>
        <v>23</v>
      </c>
      <c r="AX21" s="685">
        <f t="shared" si="8"/>
        <v>44</v>
      </c>
      <c r="AY21" s="81">
        <f t="shared" si="9"/>
        <v>70</v>
      </c>
      <c r="AZ21" s="386">
        <f t="shared" si="10"/>
        <v>70</v>
      </c>
      <c r="BA21" s="42">
        <f t="shared" si="15"/>
        <v>0.57499999999999996</v>
      </c>
      <c r="BB21" s="42">
        <f t="shared" si="0"/>
        <v>1.1000000000000001</v>
      </c>
      <c r="BC21" s="42">
        <f t="shared" si="0"/>
        <v>1.75</v>
      </c>
      <c r="BD21" s="42">
        <f t="shared" si="0"/>
        <v>1.75</v>
      </c>
      <c r="BE21" s="335">
        <f t="shared" si="16"/>
        <v>0.16428571428571428</v>
      </c>
      <c r="BF21" s="335">
        <f t="shared" si="17"/>
        <v>0.31428571428571428</v>
      </c>
      <c r="BG21" s="335">
        <f t="shared" si="18"/>
        <v>0.5</v>
      </c>
      <c r="BH21" s="396">
        <f t="shared" si="19"/>
        <v>0.5</v>
      </c>
      <c r="BI21" s="268"/>
    </row>
    <row r="22" spans="2:61" ht="177" customHeight="1">
      <c r="B22" s="1574"/>
      <c r="C22" s="1574"/>
      <c r="D22" s="31" t="str">
        <f>+'01-FR-03 POA INSTITUCIONAL'!D40</f>
        <v>2.3.3 Realizar 100 espacios de diálogo con las personas para retroalimentar las actividades de participación ciudadana</v>
      </c>
      <c r="E22" s="52">
        <f>+'01-FR-03 POA INSTITUCIONAL'!E40</f>
        <v>0.33898305084745761</v>
      </c>
      <c r="F22" s="174">
        <f>+'01-FR-03 POA INSTITUCIONAL'!F40</f>
        <v>100</v>
      </c>
      <c r="G22" s="174">
        <f>+'01-FR-03 POA INSTITUCIONAL'!K40</f>
        <v>20</v>
      </c>
      <c r="H22" s="140" t="str">
        <f>+'01-FR-03 POA INSTITUCIONAL'!G40</f>
        <v>S.I.</v>
      </c>
      <c r="I22" s="140" t="str">
        <f>+'01-FR-03 POA INSTITUCIONAL'!H40</f>
        <v>Espacios de dialogo realizados.</v>
      </c>
      <c r="J22" s="140" t="s">
        <v>717</v>
      </c>
      <c r="K22" s="266" t="s">
        <v>300</v>
      </c>
      <c r="L22" s="220" t="s">
        <v>308</v>
      </c>
      <c r="M22" s="220" t="s">
        <v>291</v>
      </c>
      <c r="N22" s="220" t="s">
        <v>292</v>
      </c>
      <c r="O22" s="267" t="str">
        <f>+'01-FR-03 POA INSTITUCIONAL'!J40</f>
        <v>Personería Delegada para la Coordinación de Gestión de las Personerías Locales y sus Personerías Locales. 
Personería Delegada para la Coordinación de Prevención y Control a la Función Pública y sus Personerías Delegadas.</v>
      </c>
      <c r="P22" s="229">
        <v>0</v>
      </c>
      <c r="Q22" s="229">
        <v>0</v>
      </c>
      <c r="R22" s="229">
        <v>2</v>
      </c>
      <c r="S22" s="229">
        <v>0</v>
      </c>
      <c r="T22" s="229">
        <v>2</v>
      </c>
      <c r="U22" s="230">
        <v>0</v>
      </c>
      <c r="V22" s="41">
        <f t="shared" si="2"/>
        <v>4</v>
      </c>
      <c r="W22" s="41">
        <f t="shared" si="2"/>
        <v>0</v>
      </c>
      <c r="X22" s="229">
        <v>2</v>
      </c>
      <c r="Y22" s="229">
        <v>2</v>
      </c>
      <c r="Z22" s="229">
        <v>2</v>
      </c>
      <c r="AA22" s="229">
        <v>2</v>
      </c>
      <c r="AB22" s="229">
        <v>2</v>
      </c>
      <c r="AC22" s="229">
        <v>3</v>
      </c>
      <c r="AD22" s="41">
        <f t="shared" si="3"/>
        <v>6</v>
      </c>
      <c r="AE22" s="41">
        <f t="shared" si="3"/>
        <v>7</v>
      </c>
      <c r="AF22" s="229">
        <v>2</v>
      </c>
      <c r="AG22" s="229">
        <v>3</v>
      </c>
      <c r="AH22" s="229">
        <v>2</v>
      </c>
      <c r="AI22" s="229">
        <v>1</v>
      </c>
      <c r="AJ22" s="230">
        <v>2</v>
      </c>
      <c r="AK22" s="230">
        <v>3</v>
      </c>
      <c r="AL22" s="41">
        <f t="shared" si="4"/>
        <v>6</v>
      </c>
      <c r="AM22" s="41">
        <f t="shared" si="4"/>
        <v>7</v>
      </c>
      <c r="AN22" s="229">
        <v>2</v>
      </c>
      <c r="AO22" s="229"/>
      <c r="AP22" s="229">
        <v>2</v>
      </c>
      <c r="AQ22" s="229"/>
      <c r="AR22" s="229">
        <v>0</v>
      </c>
      <c r="AS22" s="229"/>
      <c r="AT22" s="41">
        <f t="shared" si="5"/>
        <v>4</v>
      </c>
      <c r="AU22" s="41">
        <f t="shared" si="5"/>
        <v>0</v>
      </c>
      <c r="AV22" s="25">
        <f t="shared" si="6"/>
        <v>20</v>
      </c>
      <c r="AW22" s="81">
        <f t="shared" si="7"/>
        <v>0</v>
      </c>
      <c r="AX22" s="685">
        <f t="shared" si="8"/>
        <v>7</v>
      </c>
      <c r="AY22" s="81">
        <f t="shared" si="9"/>
        <v>14</v>
      </c>
      <c r="AZ22" s="386">
        <f t="shared" si="10"/>
        <v>14</v>
      </c>
      <c r="BA22" s="42">
        <f t="shared" si="15"/>
        <v>0</v>
      </c>
      <c r="BB22" s="42">
        <f t="shared" si="0"/>
        <v>0.35</v>
      </c>
      <c r="BC22" s="42">
        <f t="shared" si="0"/>
        <v>0.7</v>
      </c>
      <c r="BD22" s="42">
        <f t="shared" si="0"/>
        <v>0.7</v>
      </c>
      <c r="BE22" s="335">
        <f t="shared" si="16"/>
        <v>0</v>
      </c>
      <c r="BF22" s="335">
        <f t="shared" si="17"/>
        <v>7.0000000000000007E-2</v>
      </c>
      <c r="BG22" s="335">
        <f t="shared" si="18"/>
        <v>0.14000000000000001</v>
      </c>
      <c r="BH22" s="396">
        <f t="shared" si="19"/>
        <v>0.14000000000000001</v>
      </c>
      <c r="BI22" s="268"/>
    </row>
    <row r="23" spans="2:61" ht="22.8">
      <c r="B23" s="1491"/>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c r="AT23" s="1492"/>
      <c r="AU23" s="1492"/>
      <c r="AV23" s="1492"/>
      <c r="AW23" s="1575"/>
      <c r="AX23" s="1539" t="s">
        <v>19</v>
      </c>
      <c r="AY23" s="1573"/>
      <c r="AZ23" s="1573"/>
      <c r="BA23" s="70">
        <f t="shared" ref="BA23:BD23" si="20">AVERAGE(BA16:BA22)</f>
        <v>0.29224489795918362</v>
      </c>
      <c r="BB23" s="70">
        <f t="shared" si="20"/>
        <v>0.69561224489795925</v>
      </c>
      <c r="BC23" s="70">
        <f t="shared" si="20"/>
        <v>0.92826530612244895</v>
      </c>
      <c r="BD23" s="70">
        <f t="shared" si="20"/>
        <v>0.92826530612244895</v>
      </c>
      <c r="BE23" s="1614"/>
      <c r="BF23" s="1615"/>
      <c r="BG23" s="1615"/>
      <c r="BH23" s="1616"/>
    </row>
    <row r="24" spans="2:61">
      <c r="B24" s="1512"/>
      <c r="C24" s="1512"/>
      <c r="D24" s="1512"/>
      <c r="E24" s="1512"/>
      <c r="F24" s="1512"/>
      <c r="G24" s="1512"/>
      <c r="H24" s="247"/>
      <c r="I24" s="248"/>
      <c r="J24" s="248"/>
      <c r="K24" s="248"/>
      <c r="L24" s="248"/>
      <c r="M24" s="248"/>
      <c r="N24" s="248"/>
      <c r="O24" s="248"/>
    </row>
    <row r="25" spans="2:61">
      <c r="B25" s="248"/>
      <c r="C25" s="248"/>
      <c r="D25" s="1524"/>
      <c r="E25" s="1524"/>
      <c r="F25" s="1524"/>
      <c r="G25" s="1524"/>
      <c r="H25" s="1524"/>
      <c r="I25" s="1524"/>
      <c r="J25" s="1524"/>
      <c r="K25" s="1524"/>
      <c r="L25" s="1524"/>
      <c r="M25" s="1524"/>
      <c r="N25" s="1524"/>
      <c r="O25" s="1524"/>
    </row>
    <row r="26" spans="2:61" ht="38.25" customHeight="1">
      <c r="B26" s="77" t="s">
        <v>26</v>
      </c>
      <c r="C26" s="249">
        <v>44224</v>
      </c>
      <c r="D26" s="250"/>
      <c r="E26" s="1514" t="s">
        <v>50</v>
      </c>
      <c r="F26" s="1638" t="s">
        <v>301</v>
      </c>
      <c r="G26" s="1639"/>
      <c r="H26" s="1639"/>
      <c r="I26" s="1639"/>
      <c r="J26" s="1640"/>
      <c r="K26" s="251"/>
      <c r="L26" s="1568"/>
      <c r="M26" s="1568"/>
      <c r="N26" s="1568"/>
      <c r="O26" s="1577"/>
    </row>
    <row r="27" spans="2:61" ht="32.25" customHeight="1">
      <c r="B27" s="248"/>
      <c r="C27" s="248"/>
      <c r="D27" s="251"/>
      <c r="E27" s="1514"/>
      <c r="F27" s="1641"/>
      <c r="G27" s="1642"/>
      <c r="H27" s="1642"/>
      <c r="I27" s="1642"/>
      <c r="J27" s="1643"/>
      <c r="K27" s="248"/>
      <c r="L27" s="248"/>
      <c r="M27" s="248"/>
      <c r="N27" s="248"/>
      <c r="O27" s="248"/>
    </row>
    <row r="28" spans="2:61" ht="31.5" customHeight="1">
      <c r="B28" s="77" t="s">
        <v>49</v>
      </c>
      <c r="C28" s="249"/>
      <c r="D28" s="248"/>
      <c r="E28" s="248"/>
      <c r="F28" s="248"/>
      <c r="K28" s="248"/>
      <c r="L28" s="248"/>
      <c r="M28" s="248"/>
      <c r="N28" s="248"/>
      <c r="O28" s="248"/>
    </row>
    <row r="29" spans="2:61">
      <c r="B29" s="248"/>
      <c r="C29" s="248"/>
      <c r="D29" s="248"/>
      <c r="E29" s="248"/>
      <c r="F29" s="248"/>
      <c r="K29" s="248"/>
      <c r="L29" s="248"/>
      <c r="M29" s="248"/>
      <c r="N29" s="248"/>
      <c r="O29" s="248"/>
    </row>
    <row r="30" spans="2:61" ht="15" customHeight="1">
      <c r="B30" s="688" t="s">
        <v>983</v>
      </c>
      <c r="C30" s="248"/>
      <c r="D30" s="248"/>
      <c r="E30" s="248"/>
      <c r="F30" s="248"/>
      <c r="G30" s="247"/>
      <c r="H30" s="247"/>
      <c r="I30" s="1576"/>
      <c r="J30" s="1576"/>
      <c r="K30" s="1576"/>
      <c r="L30" s="1576"/>
      <c r="M30" s="252"/>
      <c r="N30" s="252"/>
      <c r="O30" s="252"/>
    </row>
    <row r="31" spans="2:61" ht="15" customHeight="1">
      <c r="B31" s="248"/>
      <c r="C31" s="248"/>
      <c r="D31" s="248"/>
      <c r="E31" s="248"/>
      <c r="F31" s="248"/>
      <c r="G31" s="247"/>
      <c r="H31" s="247"/>
      <c r="I31" s="248"/>
      <c r="J31" s="248"/>
      <c r="K31" s="253"/>
      <c r="L31" s="248"/>
      <c r="M31" s="248"/>
      <c r="N31" s="248"/>
      <c r="O31" s="248"/>
    </row>
    <row r="32" spans="2:61" ht="15" customHeight="1">
      <c r="B32" s="248"/>
      <c r="C32" s="248"/>
      <c r="D32" s="248"/>
      <c r="E32" s="248"/>
      <c r="F32" s="248"/>
      <c r="G32" s="247"/>
      <c r="H32" s="247"/>
      <c r="I32" s="1576"/>
      <c r="J32" s="1576"/>
      <c r="K32" s="1576"/>
      <c r="L32" s="1576"/>
      <c r="M32" s="252"/>
      <c r="N32" s="252"/>
      <c r="O32" s="252"/>
    </row>
    <row r="33" spans="2:15" ht="15" customHeight="1">
      <c r="B33" s="248"/>
      <c r="C33" s="248"/>
      <c r="D33" s="248"/>
      <c r="E33" s="248"/>
      <c r="F33" s="248"/>
      <c r="G33" s="247"/>
      <c r="H33" s="247"/>
      <c r="I33" s="248"/>
      <c r="J33" s="248"/>
      <c r="K33" s="253"/>
      <c r="L33" s="248"/>
      <c r="M33" s="248"/>
      <c r="N33" s="248"/>
      <c r="O33" s="248"/>
    </row>
    <row r="34" spans="2:15" ht="15" customHeight="1">
      <c r="B34" s="248"/>
      <c r="C34" s="248"/>
      <c r="D34" s="248"/>
      <c r="E34" s="248"/>
      <c r="F34" s="248"/>
      <c r="G34" s="247"/>
      <c r="H34" s="247"/>
      <c r="I34" s="1576"/>
      <c r="J34" s="1576"/>
      <c r="K34" s="1576"/>
      <c r="L34" s="1576"/>
      <c r="M34" s="252"/>
      <c r="N34" s="252"/>
      <c r="O34" s="252"/>
    </row>
  </sheetData>
  <sheetProtection algorithmName="SHA-512" hashValue="7t8dfl5LzeBAhmCv/YPMFr2Dx1ea97c2WFsYVUH5KPu8MYcuXDN7cAoAcpa+GZNX7y0GcFThX05hR1Y9GBnVHQ==" saltValue="4u+bsX+/aD991ZILjOZWDA==" spinCount="100000" sheet="1" objects="1" scenarios="1"/>
  <mergeCells count="73">
    <mergeCell ref="BE23:BH23"/>
    <mergeCell ref="I30:L30"/>
    <mergeCell ref="I32:L32"/>
    <mergeCell ref="I34:L34"/>
    <mergeCell ref="B24:G24"/>
    <mergeCell ref="B23:AW23"/>
    <mergeCell ref="AX23:AZ23"/>
    <mergeCell ref="D25:O25"/>
    <mergeCell ref="E26:E27"/>
    <mergeCell ref="L26:O26"/>
    <mergeCell ref="F26:J27"/>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00B050"/>
  </sheetPr>
  <dimension ref="B1:BH35"/>
  <sheetViews>
    <sheetView showGridLines="0" zoomScale="55" zoomScaleNormal="55"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2.8">
      <c r="B8" s="216" t="s">
        <v>45</v>
      </c>
      <c r="C8" s="1644" t="s">
        <v>90</v>
      </c>
      <c r="D8" s="1644"/>
      <c r="E8" s="217"/>
      <c r="F8" s="217"/>
      <c r="G8" s="217"/>
      <c r="H8" s="217"/>
      <c r="I8" s="217"/>
      <c r="J8" s="217"/>
      <c r="K8" s="217"/>
      <c r="L8" s="217"/>
      <c r="M8" s="217"/>
      <c r="N8" s="217"/>
      <c r="O8" s="217"/>
      <c r="AW8" s="238"/>
      <c r="AX8" s="238"/>
      <c r="AY8" s="238"/>
      <c r="AZ8" s="238"/>
      <c r="BA8" s="238"/>
      <c r="BB8" s="238"/>
      <c r="BC8" s="238"/>
      <c r="BD8" s="238"/>
    </row>
    <row r="9" spans="2:60" ht="69.75" customHeight="1">
      <c r="B9" s="216" t="s">
        <v>34</v>
      </c>
      <c r="C9" s="1535" t="s">
        <v>356</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1.6"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350</v>
      </c>
      <c r="AZ13" s="1553" t="s">
        <v>351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90">
      <c r="B16" s="1541" t="str">
        <f>+'01-FR-03 POA INSTITUCIONAL'!B41</f>
        <v>3. Vigilar la conducta oficial de los(as) servidores(as) públicos(as) del Distrito Capital, mediante acciones preventivas y correctivas, que permitan un adecuado cumplimiento de los principios de la Función Pública</v>
      </c>
      <c r="C16" s="1541" t="str">
        <f>+'01-FR-03 POA INSTITUCIONAL'!C41</f>
        <v>3.1. Descongestionar 4500 procesos disciplinarios con criterios de calidad, efectividad y garantía del debido proceso.</v>
      </c>
      <c r="D16" s="31" t="str">
        <f>+'01-FR-03 POA INSTITUCIONAL'!D41</f>
        <v xml:space="preserve">3.1.1 Identificar y decidir de fondo 4.500  procesos, priorizando aquellos que se encuentren con riesgo de prescripción y/o vencidos en su etapa procesal (indagación, investigación y juzgamiento). </v>
      </c>
      <c r="E16" s="52">
        <f>+'01-FR-03 POA INSTITUCIONAL'!E41</f>
        <v>0.8</v>
      </c>
      <c r="F16" s="270">
        <f>+'01-FR-03 POA INSTITUCIONAL'!F41</f>
        <v>4500</v>
      </c>
      <c r="G16" s="270">
        <f>+'01-FR-03 POA INSTITUCIONAL'!K41</f>
        <v>900</v>
      </c>
      <c r="H16" s="270">
        <f>+'01-FR-03 POA INSTITUCIONAL'!G41</f>
        <v>6287</v>
      </c>
      <c r="I16" s="140" t="str">
        <f>+'01-FR-03 POA INSTITUCIONAL'!H41</f>
        <v>Procesos priorizados identificados y decididos de fondo</v>
      </c>
      <c r="J16" s="218" t="s">
        <v>340</v>
      </c>
      <c r="K16" s="241" t="s">
        <v>352</v>
      </c>
      <c r="L16" s="221" t="s">
        <v>329</v>
      </c>
      <c r="M16" s="221" t="s">
        <v>357</v>
      </c>
      <c r="N16" s="221" t="s">
        <v>347</v>
      </c>
      <c r="O16" s="82" t="str">
        <f>+'01-FR-03 POA INSTITUCIONAL'!J41</f>
        <v>Personería Delegada para la Coordinación de Potestad Disciplinaria</v>
      </c>
      <c r="P16" s="271">
        <v>50</v>
      </c>
      <c r="Q16" s="271">
        <v>87</v>
      </c>
      <c r="R16" s="271">
        <v>80</v>
      </c>
      <c r="S16" s="271">
        <v>124</v>
      </c>
      <c r="T16" s="271">
        <v>120</v>
      </c>
      <c r="U16" s="271">
        <v>108</v>
      </c>
      <c r="V16" s="67">
        <f>P16+R16+T16</f>
        <v>250</v>
      </c>
      <c r="W16" s="67">
        <f>Q16+S16+U16</f>
        <v>319</v>
      </c>
      <c r="X16" s="271">
        <v>150</v>
      </c>
      <c r="Y16" s="271">
        <v>157</v>
      </c>
      <c r="Z16" s="271">
        <v>150</v>
      </c>
      <c r="AA16" s="271">
        <v>148</v>
      </c>
      <c r="AB16" s="271">
        <v>150</v>
      </c>
      <c r="AC16" s="271">
        <v>223</v>
      </c>
      <c r="AD16" s="67">
        <f>X16+Z16+AB16</f>
        <v>450</v>
      </c>
      <c r="AE16" s="67">
        <f>Y16+AA16+AC16</f>
        <v>528</v>
      </c>
      <c r="AF16" s="271">
        <v>60</v>
      </c>
      <c r="AG16" s="271">
        <v>104</v>
      </c>
      <c r="AH16" s="271">
        <v>40</v>
      </c>
      <c r="AI16" s="271">
        <v>117</v>
      </c>
      <c r="AJ16" s="272">
        <v>40</v>
      </c>
      <c r="AK16" s="272">
        <v>108</v>
      </c>
      <c r="AL16" s="67">
        <f>AF16+AH16+AJ16</f>
        <v>140</v>
      </c>
      <c r="AM16" s="67">
        <f>AG16+AI16+AK16</f>
        <v>329</v>
      </c>
      <c r="AN16" s="271">
        <v>20</v>
      </c>
      <c r="AO16" s="271"/>
      <c r="AP16" s="271">
        <v>20</v>
      </c>
      <c r="AQ16" s="271"/>
      <c r="AR16" s="271">
        <v>20</v>
      </c>
      <c r="AS16" s="271"/>
      <c r="AT16" s="67">
        <f>AN16+AP16+AR16</f>
        <v>60</v>
      </c>
      <c r="AU16" s="67">
        <f>AO16+AQ16+AS16</f>
        <v>0</v>
      </c>
      <c r="AV16" s="245">
        <f>V16+AD16+AL16+AT16</f>
        <v>900</v>
      </c>
      <c r="AW16" s="81">
        <f>+W16</f>
        <v>319</v>
      </c>
      <c r="AX16" s="81">
        <f>+W16+AE16</f>
        <v>847</v>
      </c>
      <c r="AY16" s="685">
        <f>+W16+AE16+AM16</f>
        <v>1176</v>
      </c>
      <c r="AZ16" s="386">
        <f>+W16+AE16+AM16+AU16</f>
        <v>1176</v>
      </c>
      <c r="BA16" s="347">
        <f>IF(AND(AW16&gt;0,$AV16&gt;0),AW16/$AV16,0)</f>
        <v>0.35444444444444445</v>
      </c>
      <c r="BB16" s="347">
        <f t="shared" ref="BB16:BD23" si="0">IF(AND(AX16&gt;0,$AV16&gt;0),AX16/$AV16,0)</f>
        <v>0.94111111111111112</v>
      </c>
      <c r="BC16" s="347">
        <f t="shared" si="0"/>
        <v>1.3066666666666666</v>
      </c>
      <c r="BD16" s="347">
        <f t="shared" si="0"/>
        <v>1.3066666666666666</v>
      </c>
      <c r="BE16" s="390">
        <f>(IF(AND(AW16&gt;0,$F16&gt;0),AW16/$F16,0))</f>
        <v>7.088888888888889E-2</v>
      </c>
      <c r="BF16" s="390">
        <f t="shared" ref="BF16:BH16" si="1">(IF(AND(AX16&gt;0,$F16&gt;0),AX16/$F16,0))</f>
        <v>0.18822222222222224</v>
      </c>
      <c r="BG16" s="689">
        <f t="shared" ref="BG16:BG18" si="2">(IF(AND(AY16&gt;0,$F16&gt;0),AY16/$F16,0))</f>
        <v>0.26133333333333331</v>
      </c>
      <c r="BH16" s="391">
        <f t="shared" si="1"/>
        <v>0.26133333333333331</v>
      </c>
    </row>
    <row r="17" spans="2:60" ht="90" customHeight="1">
      <c r="B17" s="1542"/>
      <c r="C17" s="1574"/>
      <c r="D17" s="31" t="str">
        <f>+'01-FR-03 POA INSTITUCIONAL'!D42</f>
        <v>3.1.2 Evaluar y dar impulso procesal al 100% las noticias disciplinarias (quejas) puestas en conocimiento de la Entidad.</v>
      </c>
      <c r="E17" s="52">
        <f>+'01-FR-03 POA INSTITUCIONAL'!E42</f>
        <v>0.2</v>
      </c>
      <c r="F17" s="176">
        <f>+'01-FR-03 POA INSTITUCIONAL'!F42</f>
        <v>1</v>
      </c>
      <c r="G17" s="176">
        <f>+'01-FR-03 POA INSTITUCIONAL'!K42</f>
        <v>1</v>
      </c>
      <c r="H17" s="176">
        <f>+'01-FR-03 POA INSTITUCIONAL'!G42</f>
        <v>0.98</v>
      </c>
      <c r="I17" s="140" t="str">
        <f>+'01-FR-03 POA INSTITUCIONAL'!H42</f>
        <v>Noticias disciplinarias  evaluadas y con impulso procesal</v>
      </c>
      <c r="J17" s="218" t="s">
        <v>348</v>
      </c>
      <c r="K17" s="241" t="s">
        <v>330</v>
      </c>
      <c r="L17" s="221" t="s">
        <v>331</v>
      </c>
      <c r="M17" s="221" t="s">
        <v>357</v>
      </c>
      <c r="N17" s="221" t="s">
        <v>347</v>
      </c>
      <c r="O17" s="82" t="str">
        <f>+'01-FR-03 POA INSTITUCIONAL'!J42</f>
        <v>Personería Delegada para la Coordinación de Potestad Disciplinaria</v>
      </c>
      <c r="P17" s="273">
        <v>1</v>
      </c>
      <c r="Q17" s="345">
        <v>0.81899999999999995</v>
      </c>
      <c r="R17" s="273">
        <v>1</v>
      </c>
      <c r="S17" s="345">
        <v>0.57299999999999995</v>
      </c>
      <c r="T17" s="273">
        <v>1</v>
      </c>
      <c r="U17" s="345">
        <v>0.77700000000000002</v>
      </c>
      <c r="V17" s="89">
        <f>AVERAGE(P17,R17,T17)</f>
        <v>1</v>
      </c>
      <c r="W17" s="346">
        <f>IFERROR(AVERAGE(Q17,S17,U17),0)</f>
        <v>0.72299999999999998</v>
      </c>
      <c r="X17" s="273">
        <v>1</v>
      </c>
      <c r="Y17" s="349">
        <v>0.55200000000000005</v>
      </c>
      <c r="Z17" s="273">
        <v>1</v>
      </c>
      <c r="AA17" s="349">
        <v>0.74099999999999999</v>
      </c>
      <c r="AB17" s="273">
        <v>1</v>
      </c>
      <c r="AC17" s="349">
        <v>0.78300000000000003</v>
      </c>
      <c r="AD17" s="89">
        <f>AVERAGE(X17,Z17,AB17)</f>
        <v>1</v>
      </c>
      <c r="AE17" s="346">
        <f>IFERROR(AVERAGE(Y17,AA17,AC17),0)</f>
        <v>0.69200000000000006</v>
      </c>
      <c r="AF17" s="273">
        <v>1</v>
      </c>
      <c r="AG17" s="682">
        <v>2.016</v>
      </c>
      <c r="AH17" s="273">
        <v>1</v>
      </c>
      <c r="AI17" s="682">
        <v>0.751</v>
      </c>
      <c r="AJ17" s="273">
        <v>1</v>
      </c>
      <c r="AK17" s="682">
        <v>0.47699999999999998</v>
      </c>
      <c r="AL17" s="89">
        <f>AVERAGE(AF17,AH17,AJ17)</f>
        <v>1</v>
      </c>
      <c r="AM17" s="89">
        <f>IFERROR(AVERAGE(AG17,AI17,AK17),0)</f>
        <v>1.0813333333333333</v>
      </c>
      <c r="AN17" s="273">
        <v>1</v>
      </c>
      <c r="AO17" s="398">
        <v>0</v>
      </c>
      <c r="AP17" s="273">
        <v>1</v>
      </c>
      <c r="AQ17" s="398">
        <v>0</v>
      </c>
      <c r="AR17" s="273">
        <v>1</v>
      </c>
      <c r="AS17" s="398">
        <v>0</v>
      </c>
      <c r="AT17" s="89">
        <f>AVERAGE(AN17,AP17,AR17)</f>
        <v>1</v>
      </c>
      <c r="AU17" s="89">
        <f>IFERROR(AVERAGE(AO17,AQ17,AS17),0)</f>
        <v>0</v>
      </c>
      <c r="AV17" s="89">
        <f>AVERAGE(P17,R17,T17,X17,Z17,AB17,AF17,AH17,AJ17,AN17,AP17,AR17)</f>
        <v>1</v>
      </c>
      <c r="AW17" s="334">
        <f>IFERROR(IF(OR($AV$17="",$AV$17=0),0,ROUNDDOWN(AVERAGE($Q17,$S17,$U17),3)),0)</f>
        <v>0.72299999999999998</v>
      </c>
      <c r="AX17" s="334">
        <f>IFERROR(IF(OR($AV$17="",$AV$17=0),0,ROUNDDOWN(AVERAGE($Q17,$S17,$U17,$Y17,$AA17,$AC17),3)),0)</f>
        <v>0.70699999999999996</v>
      </c>
      <c r="AY17" s="676">
        <f>IFERROR(IF(OR($AV$17="",$AV$17=0),0,ROUNDDOWN(AVERAGE($Q17,$S17,$U17,$Y17,$AA17,$AC17,$AG17,$AI17,$AK17),3)),0)</f>
        <v>0.83199999999999996</v>
      </c>
      <c r="AZ17" s="379">
        <f>IFERROR(IF(OR($AV$17="",$AV$17=0),0,ROUNDDOWN(AVERAGE($Q17,$S17,$U17,$Y17,$AA17,$AC17,$AG17,$AI17,$AK17,$AO17,$AQ17,$AS17),3)),0)</f>
        <v>0.624</v>
      </c>
      <c r="BA17" s="347">
        <f>IF(AND(AW17&gt;0,AV17&gt;0),AW17/AV17,0)*0.25</f>
        <v>0.18074999999999999</v>
      </c>
      <c r="BB17" s="347">
        <f>IF(AND(AX17&gt;0,$AV17&gt;0),AX17/$AV17,0)*0.5</f>
        <v>0.35349999999999998</v>
      </c>
      <c r="BC17" s="347">
        <f>IF(AND(AY17&gt;0,$AV17&gt;0),AY17/$AV17,0)*0.75</f>
        <v>0.624</v>
      </c>
      <c r="BD17" s="347">
        <f>IF(AND(AZ17&gt;0,$AV17&gt;0),AZ17/$AV17,0)*1</f>
        <v>0.624</v>
      </c>
      <c r="BE17" s="390">
        <f>((IF(AND(AW17&gt;0,$F17&gt;0),AW17/$F17,0))/4)*0.25</f>
        <v>4.5187499999999999E-2</v>
      </c>
      <c r="BF17" s="390">
        <f>((IF(AND(AX17&gt;0,$F17&gt;0),AX17/$F17,0))/4)*0.5</f>
        <v>8.8374999999999995E-2</v>
      </c>
      <c r="BG17" s="689">
        <f>((IF(AND(AY17&gt;0,$F17&gt;0),AY17/$F17,0))/4)*0.75</f>
        <v>0.156</v>
      </c>
      <c r="BH17" s="391">
        <f>((IF(AND(AZ17&gt;0,$F17&gt;0),AZ17/$F17,0))/4)</f>
        <v>0.156</v>
      </c>
    </row>
    <row r="18" spans="2:60" ht="90" customHeight="1">
      <c r="B18" s="1542"/>
      <c r="C18" s="1541" t="str">
        <f>+'01-FR-03 POA INSTITUCIONAL'!C43</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INSTITUCIONAL'!D43</f>
        <v>3.2.1 Realizar una visita de seguimiento a las 51 Oficinas de Control Interno Disciplinario del Distrito e identificar hechos constitutivos de faltas relevantes en temas de interés e impacto en cada anualidad.</v>
      </c>
      <c r="E18" s="52">
        <f>+'01-FR-03 POA INSTITUCIONAL'!E43</f>
        <v>0.5</v>
      </c>
      <c r="F18" s="270">
        <f>+'01-FR-03 POA INSTITUCIONAL'!F43</f>
        <v>204</v>
      </c>
      <c r="G18" s="270">
        <f>+'01-FR-03 POA INSTITUCIONAL'!K43</f>
        <v>51</v>
      </c>
      <c r="H18" s="270">
        <f>+'01-FR-03 POA INSTITUCIONAL'!G43</f>
        <v>204</v>
      </c>
      <c r="I18" s="140" t="str">
        <f>+'01-FR-03 POA INSTITUCIONAL'!H43</f>
        <v>Visitas de seguimiento a Oficinas de Control Interno Disciplinario realizadas</v>
      </c>
      <c r="J18" s="218" t="s">
        <v>332</v>
      </c>
      <c r="K18" s="241" t="s">
        <v>353</v>
      </c>
      <c r="L18" s="221" t="s">
        <v>333</v>
      </c>
      <c r="M18" s="221" t="s">
        <v>357</v>
      </c>
      <c r="N18" s="221" t="s">
        <v>347</v>
      </c>
      <c r="O18" s="82" t="str">
        <f>+'01-FR-03 POA INSTITUCIONAL'!J43</f>
        <v>Personería Delegada para la Coordinación de Potestad Disciplinaria</v>
      </c>
      <c r="P18" s="271">
        <v>0</v>
      </c>
      <c r="Q18" s="271">
        <v>0</v>
      </c>
      <c r="R18" s="271">
        <v>0</v>
      </c>
      <c r="S18" s="271">
        <v>0</v>
      </c>
      <c r="T18" s="271">
        <v>0</v>
      </c>
      <c r="U18" s="271">
        <v>12</v>
      </c>
      <c r="V18" s="67">
        <f t="shared" ref="V18:W23" si="3">P18+R18+T18</f>
        <v>0</v>
      </c>
      <c r="W18" s="67">
        <f t="shared" si="3"/>
        <v>12</v>
      </c>
      <c r="X18" s="271">
        <v>5</v>
      </c>
      <c r="Y18" s="271">
        <v>17</v>
      </c>
      <c r="Z18" s="271">
        <v>5</v>
      </c>
      <c r="AA18" s="271">
        <v>22</v>
      </c>
      <c r="AB18" s="271">
        <v>5</v>
      </c>
      <c r="AC18" s="271">
        <v>0</v>
      </c>
      <c r="AD18" s="67">
        <f t="shared" ref="AD18:AE23" si="4">X18+Z18+AB18</f>
        <v>15</v>
      </c>
      <c r="AE18" s="67">
        <f t="shared" si="4"/>
        <v>39</v>
      </c>
      <c r="AF18" s="271">
        <v>5</v>
      </c>
      <c r="AG18" s="271">
        <v>0</v>
      </c>
      <c r="AH18" s="271">
        <v>5</v>
      </c>
      <c r="AI18" s="271">
        <v>0</v>
      </c>
      <c r="AJ18" s="272">
        <v>5</v>
      </c>
      <c r="AK18" s="272">
        <v>0</v>
      </c>
      <c r="AL18" s="67">
        <f t="shared" ref="AL18:AM23" si="5">AF18+AH18+AJ18</f>
        <v>15</v>
      </c>
      <c r="AM18" s="67">
        <f t="shared" si="5"/>
        <v>0</v>
      </c>
      <c r="AN18" s="271">
        <v>5</v>
      </c>
      <c r="AO18" s="271"/>
      <c r="AP18" s="271">
        <v>10</v>
      </c>
      <c r="AQ18" s="271"/>
      <c r="AR18" s="271">
        <v>6</v>
      </c>
      <c r="AS18" s="271"/>
      <c r="AT18" s="67">
        <f t="shared" ref="AT18:AU23" si="6">AN18+AP18+AR18</f>
        <v>21</v>
      </c>
      <c r="AU18" s="67">
        <f t="shared" si="6"/>
        <v>0</v>
      </c>
      <c r="AV18" s="245">
        <f t="shared" ref="AV18:AV23" si="7">V18+AD18+AL18+AT18</f>
        <v>51</v>
      </c>
      <c r="AW18" s="81">
        <f t="shared" ref="AW18:AW23" si="8">+W18</f>
        <v>12</v>
      </c>
      <c r="AX18" s="81">
        <f t="shared" ref="AX18:AX23" si="9">+W18+AE18</f>
        <v>51</v>
      </c>
      <c r="AY18" s="685">
        <f t="shared" ref="AY18:AY23" si="10">+W18+AE18+AM18</f>
        <v>51</v>
      </c>
      <c r="AZ18" s="386">
        <f t="shared" ref="AZ18:AZ23" si="11">+W18+AE18+AM18+AU18</f>
        <v>51</v>
      </c>
      <c r="BA18" s="347">
        <f t="shared" ref="BA18:BA22" si="12">IF(AND(AW18&gt;0,AV18&gt;0),AW18/AV18,0)</f>
        <v>0.23529411764705882</v>
      </c>
      <c r="BB18" s="347">
        <f t="shared" si="0"/>
        <v>1</v>
      </c>
      <c r="BC18" s="347">
        <f t="shared" si="0"/>
        <v>1</v>
      </c>
      <c r="BD18" s="347">
        <f t="shared" si="0"/>
        <v>1</v>
      </c>
      <c r="BE18" s="390">
        <f>(IF(AND(AW18&gt;0,$F18&gt;0),AW18/$F18,0))</f>
        <v>5.8823529411764705E-2</v>
      </c>
      <c r="BF18" s="390">
        <f t="shared" ref="BF18" si="13">(IF(AND(AX18&gt;0,$F18&gt;0),AX18/$F18,0))</f>
        <v>0.25</v>
      </c>
      <c r="BG18" s="689">
        <f t="shared" si="2"/>
        <v>0.25</v>
      </c>
      <c r="BH18" s="391">
        <f t="shared" ref="BH18" si="14">(IF(AND(AZ18&gt;0,$F18&gt;0),AZ18/$F18,0))</f>
        <v>0.25</v>
      </c>
    </row>
    <row r="19" spans="2:60" ht="102" customHeight="1">
      <c r="B19" s="1542"/>
      <c r="C19" s="1574"/>
      <c r="D19" s="31" t="str">
        <f>+'01-FR-03 POA INSTITUCIONAL'!D44</f>
        <v>3.2.2 Asumir por competencia preferente el 100% de los procesos cuyos temas sean considerados de interés e impacto el Distrito Capital.</v>
      </c>
      <c r="E19" s="52">
        <f>+'01-FR-03 POA INSTITUCIONAL'!E44</f>
        <v>0.5</v>
      </c>
      <c r="F19" s="176">
        <f>+'01-FR-03 POA INSTITUCIONAL'!F44</f>
        <v>1</v>
      </c>
      <c r="G19" s="176">
        <f>+'01-FR-03 POA INSTITUCIONAL'!K44</f>
        <v>1</v>
      </c>
      <c r="H19" s="176">
        <f>+'01-FR-03 POA INSTITUCIONAL'!G44</f>
        <v>1</v>
      </c>
      <c r="I19" s="140" t="str">
        <f>+'01-FR-03 POA INSTITUCIONAL'!H44</f>
        <v>Procesos de interés e impacto asumidos por competencia</v>
      </c>
      <c r="J19" s="218" t="s">
        <v>712</v>
      </c>
      <c r="K19" s="241" t="s">
        <v>344</v>
      </c>
      <c r="L19" s="221" t="s">
        <v>349</v>
      </c>
      <c r="M19" s="221" t="s">
        <v>357</v>
      </c>
      <c r="N19" s="221" t="s">
        <v>347</v>
      </c>
      <c r="O19" s="82" t="str">
        <f>+'01-FR-03 POA INSTITUCIONAL'!J44</f>
        <v>Personería Delegada para la Coordinación de Potestad Disciplinaria</v>
      </c>
      <c r="P19" s="273">
        <v>0</v>
      </c>
      <c r="Q19" s="145">
        <v>0</v>
      </c>
      <c r="R19" s="273">
        <v>0</v>
      </c>
      <c r="S19" s="145">
        <v>1</v>
      </c>
      <c r="T19" s="271">
        <v>0</v>
      </c>
      <c r="U19" s="145">
        <v>1</v>
      </c>
      <c r="V19" s="89">
        <f>AVERAGE(P19,R19,T19)</f>
        <v>0</v>
      </c>
      <c r="W19" s="89">
        <f>IFERROR(AVERAGE(S19,U19),0)</f>
        <v>1</v>
      </c>
      <c r="X19" s="273">
        <v>1</v>
      </c>
      <c r="Y19" s="145">
        <v>1</v>
      </c>
      <c r="Z19" s="273">
        <v>1</v>
      </c>
      <c r="AA19" s="145">
        <v>1</v>
      </c>
      <c r="AB19" s="273">
        <v>1</v>
      </c>
      <c r="AC19" s="145">
        <v>1</v>
      </c>
      <c r="AD19" s="89">
        <f>AVERAGE(X19,Z19,AB19)</f>
        <v>1</v>
      </c>
      <c r="AE19" s="89">
        <f>IFERROR(AVERAGE(Y19,AA19,AC19),0)</f>
        <v>1</v>
      </c>
      <c r="AF19" s="273">
        <v>1</v>
      </c>
      <c r="AG19" s="684">
        <v>1</v>
      </c>
      <c r="AH19" s="273">
        <v>1</v>
      </c>
      <c r="AI19" s="684">
        <v>1</v>
      </c>
      <c r="AJ19" s="273">
        <v>1</v>
      </c>
      <c r="AK19" s="1006">
        <v>1</v>
      </c>
      <c r="AL19" s="89">
        <f>AVERAGE(AF19,AH19,AJ19)</f>
        <v>1</v>
      </c>
      <c r="AM19" s="89">
        <f>IFERROR(AVERAGE(AG19,AI19,AK19),0)</f>
        <v>1</v>
      </c>
      <c r="AN19" s="273">
        <v>1</v>
      </c>
      <c r="AO19" s="398">
        <v>0</v>
      </c>
      <c r="AP19" s="273">
        <v>1</v>
      </c>
      <c r="AQ19" s="398">
        <v>0</v>
      </c>
      <c r="AR19" s="273">
        <v>1</v>
      </c>
      <c r="AS19" s="399">
        <v>0</v>
      </c>
      <c r="AT19" s="89">
        <f>AVERAGE(AN19,AP19,AR19)</f>
        <v>1</v>
      </c>
      <c r="AU19" s="89">
        <f>IFERROR(AVERAGE(AO19,AQ19,AS19),0)</f>
        <v>0</v>
      </c>
      <c r="AV19" s="89">
        <f>AVERAGE(X19,Z19,AB19,AF19,AH19,AJ19,AN19,AP19,AR19)</f>
        <v>1</v>
      </c>
      <c r="AW19" s="334">
        <f>IFERROR(IF(OR($AV$19="",$AV$19=0),0,ROUNDDOWN(AVERAGE($S19,$U19),3)),0)</f>
        <v>1</v>
      </c>
      <c r="AX19" s="334">
        <f>IFERROR(IF(OR($AV$19="",$AV$19=0),0,ROUNDDOWN(AVERAGE($S19,$U19,$Y19,$AA19,$AC19),3)),0)</f>
        <v>1</v>
      </c>
      <c r="AY19" s="676">
        <f>IFERROR(IF(OR($AV$19="",$AV$19=0),0,ROUNDDOWN(AVERAGE($S19,$U19,$Y19,$AA19,$AC19,$AG19,$AI19,$AK19),3)),0)</f>
        <v>1</v>
      </c>
      <c r="AZ19" s="379">
        <f>IFERROR(IF(OR($AV$19="",$AV$19=0),0,ROUNDDOWN(AVERAGE($S19,$U19,$Y19,$AA19,$AC19,$AG19,$AI19,$AK19,$AO19,$AQ19,$AS19),3)),0)</f>
        <v>0.72699999999999998</v>
      </c>
      <c r="BA19" s="347">
        <f>IF(AND(AW19&gt;0,AV19&gt;0),AW19/AV19,0)*0.25</f>
        <v>0.25</v>
      </c>
      <c r="BB19" s="347">
        <f>IF(AND(AX19&gt;0,$AV19&gt;0),AX19/$AV19,0)*0.5</f>
        <v>0.5</v>
      </c>
      <c r="BC19" s="347">
        <f>IF(AND(AY19&gt;0,$AV19&gt;0),AY19/$AV19,0)*0.75</f>
        <v>0.75</v>
      </c>
      <c r="BD19" s="347">
        <f>IF(AND(AZ19&gt;0,$AV19&gt;0),AZ19/$AV19,0)*1</f>
        <v>0.72699999999999998</v>
      </c>
      <c r="BE19" s="390">
        <f>((IF(AND(AW19&gt;0,$F19&gt;0),AW19/$F19,0))/4)*0.25</f>
        <v>6.25E-2</v>
      </c>
      <c r="BF19" s="390">
        <f>((IF(AND(AX19&gt;0,$F19&gt;0),AX19/$F19,0))/4)*0.5</f>
        <v>0.125</v>
      </c>
      <c r="BG19" s="689">
        <f>((IF(AND(AY19&gt;0,$F19&gt;0),AY19/$F19,0))/4)*0.75</f>
        <v>0.1875</v>
      </c>
      <c r="BH19" s="391">
        <f>((IF(AND(AZ19&gt;0,$F19&gt;0),AZ19/$F19,0))/4)</f>
        <v>0.18174999999999999</v>
      </c>
    </row>
    <row r="20" spans="2:60" ht="135">
      <c r="B20" s="1542"/>
      <c r="C20" s="31" t="str">
        <f>+'01-FR-03 POA INSTITUCIONAL'!C45</f>
        <v>3.3. Generar 8 escenarios que fortalezcan el conocimiento y las competencias del operador disciplinario, que apoya el cumplimiento de la labor misional, extendiendo el alcance a los jueces naturales en el Distrito Capital.</v>
      </c>
      <c r="D20" s="31" t="str">
        <f>+'01-FR-03 POA INSTITUCIONAL'!D45</f>
        <v>3.3.1 Generar 8 escenarios de intercambio de conocimiento con los(as) servidores(as) públicos(as) para fortalecer el conocimiento en la sustanciación de procesos disciplinarios en el Distrito Capital.</v>
      </c>
      <c r="E20" s="52">
        <f>+'01-FR-03 POA INSTITUCIONAL'!E45</f>
        <v>1</v>
      </c>
      <c r="F20" s="270">
        <f>+'01-FR-03 POA INSTITUCIONAL'!F45</f>
        <v>8</v>
      </c>
      <c r="G20" s="270">
        <f>+'01-FR-03 POA INSTITUCIONAL'!K45</f>
        <v>2</v>
      </c>
      <c r="H20" s="270">
        <f>+'01-FR-03 POA INSTITUCIONAL'!G45</f>
        <v>8</v>
      </c>
      <c r="I20" s="140" t="str">
        <f>+'01-FR-03 POA INSTITUCIONAL'!H45</f>
        <v>Escenarios de intercambio de conocimiento generados</v>
      </c>
      <c r="J20" s="218" t="s">
        <v>334</v>
      </c>
      <c r="K20" s="241" t="s">
        <v>345</v>
      </c>
      <c r="L20" s="221" t="s">
        <v>335</v>
      </c>
      <c r="M20" s="221" t="s">
        <v>357</v>
      </c>
      <c r="N20" s="221" t="s">
        <v>347</v>
      </c>
      <c r="O20" s="82" t="str">
        <f>+'01-FR-03 POA INSTITUCIONAL'!J45</f>
        <v>Personería Delegada para la Coordinación de Potestad Disciplinaria</v>
      </c>
      <c r="P20" s="271">
        <v>0</v>
      </c>
      <c r="Q20" s="271">
        <v>0</v>
      </c>
      <c r="R20" s="271">
        <v>0</v>
      </c>
      <c r="S20" s="271">
        <v>0</v>
      </c>
      <c r="T20" s="271">
        <v>0</v>
      </c>
      <c r="U20" s="271">
        <v>0</v>
      </c>
      <c r="V20" s="67">
        <f t="shared" si="3"/>
        <v>0</v>
      </c>
      <c r="W20" s="67">
        <f t="shared" si="3"/>
        <v>0</v>
      </c>
      <c r="X20" s="271">
        <v>0</v>
      </c>
      <c r="Y20" s="271">
        <v>0</v>
      </c>
      <c r="Z20" s="271">
        <v>0</v>
      </c>
      <c r="AA20" s="271">
        <v>1</v>
      </c>
      <c r="AB20" s="271">
        <v>0</v>
      </c>
      <c r="AC20" s="271">
        <v>0</v>
      </c>
      <c r="AD20" s="67">
        <f t="shared" si="4"/>
        <v>0</v>
      </c>
      <c r="AE20" s="67">
        <f t="shared" si="4"/>
        <v>1</v>
      </c>
      <c r="AF20" s="271">
        <v>0</v>
      </c>
      <c r="AG20" s="271">
        <v>0</v>
      </c>
      <c r="AH20" s="271">
        <v>0</v>
      </c>
      <c r="AI20" s="271">
        <v>0</v>
      </c>
      <c r="AJ20" s="272">
        <v>1</v>
      </c>
      <c r="AK20" s="272">
        <v>0</v>
      </c>
      <c r="AL20" s="67">
        <f t="shared" si="5"/>
        <v>1</v>
      </c>
      <c r="AM20" s="67">
        <f t="shared" si="5"/>
        <v>0</v>
      </c>
      <c r="AN20" s="271">
        <v>0</v>
      </c>
      <c r="AO20" s="271"/>
      <c r="AP20" s="271">
        <v>1</v>
      </c>
      <c r="AQ20" s="271"/>
      <c r="AR20" s="271">
        <v>0</v>
      </c>
      <c r="AS20" s="271"/>
      <c r="AT20" s="67">
        <f t="shared" si="6"/>
        <v>1</v>
      </c>
      <c r="AU20" s="67">
        <f t="shared" si="6"/>
        <v>0</v>
      </c>
      <c r="AV20" s="245">
        <f>V20+AD20+AL20+AT20</f>
        <v>2</v>
      </c>
      <c r="AW20" s="81">
        <f t="shared" si="8"/>
        <v>0</v>
      </c>
      <c r="AX20" s="81">
        <f t="shared" si="9"/>
        <v>1</v>
      </c>
      <c r="AY20" s="685">
        <f t="shared" si="10"/>
        <v>1</v>
      </c>
      <c r="AZ20" s="386">
        <f t="shared" si="11"/>
        <v>1</v>
      </c>
      <c r="BA20" s="347">
        <f t="shared" si="12"/>
        <v>0</v>
      </c>
      <c r="BB20" s="347">
        <f t="shared" si="0"/>
        <v>0.5</v>
      </c>
      <c r="BC20" s="347">
        <f t="shared" si="0"/>
        <v>0.5</v>
      </c>
      <c r="BD20" s="347">
        <f t="shared" si="0"/>
        <v>0.5</v>
      </c>
      <c r="BE20" s="390">
        <f>(IF(AND(AW20&gt;0,$F20&gt;0),AW20/$F20,0))</f>
        <v>0</v>
      </c>
      <c r="BF20" s="390">
        <f t="shared" ref="BF20:BF23" si="15">(IF(AND(AX20&gt;0,$F20&gt;0),AX20/$F20,0))</f>
        <v>0.125</v>
      </c>
      <c r="BG20" s="689">
        <f t="shared" ref="BG20:BG23" si="16">(IF(AND(AY20&gt;0,$F20&gt;0),AY20/$F20,0))</f>
        <v>0.125</v>
      </c>
      <c r="BH20" s="391">
        <f t="shared" ref="BH20:BH23" si="17">(IF(AND(AZ20&gt;0,$F20&gt;0),AZ20/$F20,0))</f>
        <v>0.125</v>
      </c>
    </row>
    <row r="21" spans="2:60" ht="90">
      <c r="B21" s="1542"/>
      <c r="C21" s="1541" t="str">
        <f>+'01-FR-03 POA INSTITUCIONAL'!C46</f>
        <v>3.4. Implementar al 100% tres soluciones informáticas propias para la ejecución y gestión de la Potestad Disciplinaria.</v>
      </c>
      <c r="D21" s="31" t="str">
        <f>+'01-FR-03 POA INSTITUCIONAL'!D46</f>
        <v>3.4.1 Implementar un sistema de comunicación efectiva y eficiente con las Oficinas de Control Interno del Distrito Capital.</v>
      </c>
      <c r="E21" s="52">
        <f>+'01-FR-03 POA INSTITUCIONAL'!E46</f>
        <v>0.2</v>
      </c>
      <c r="F21" s="270">
        <f>+'01-FR-03 POA INSTITUCIONAL'!F46</f>
        <v>1</v>
      </c>
      <c r="G21" s="274">
        <f>+'01-FR-03 POA INSTITUCIONAL'!K46</f>
        <v>0.5</v>
      </c>
      <c r="H21" s="270" t="str">
        <f>+'01-FR-03 POA INSTITUCIONAL'!G46</f>
        <v>S.I.</v>
      </c>
      <c r="I21" s="140" t="str">
        <f>+'01-FR-03 POA INSTITUCIONAL'!H46</f>
        <v xml:space="preserve">Sistema de Comunicación con las Oficinas de Control Interno Disciplinario implementado </v>
      </c>
      <c r="J21" s="218" t="s">
        <v>341</v>
      </c>
      <c r="K21" s="241" t="s">
        <v>346</v>
      </c>
      <c r="L21" s="221" t="s">
        <v>336</v>
      </c>
      <c r="M21" s="221" t="s">
        <v>357</v>
      </c>
      <c r="N21" s="221" t="s">
        <v>347</v>
      </c>
      <c r="O21" s="82" t="str">
        <f>+'01-FR-03 POA INSTITUCIONAL'!J46</f>
        <v>Personería Delegada para la Coordinación de Potestad Disciplinaria</v>
      </c>
      <c r="P21" s="271">
        <v>0</v>
      </c>
      <c r="Q21" s="271">
        <v>0</v>
      </c>
      <c r="R21" s="271">
        <v>0</v>
      </c>
      <c r="S21" s="271">
        <v>0</v>
      </c>
      <c r="T21" s="271">
        <v>0.05</v>
      </c>
      <c r="U21" s="271">
        <v>0.05</v>
      </c>
      <c r="V21" s="269">
        <f t="shared" si="3"/>
        <v>0.05</v>
      </c>
      <c r="W21" s="269">
        <f t="shared" si="3"/>
        <v>0.05</v>
      </c>
      <c r="X21" s="271">
        <v>0.1</v>
      </c>
      <c r="Y21" s="271">
        <v>0</v>
      </c>
      <c r="Z21" s="271">
        <v>0.05</v>
      </c>
      <c r="AA21" s="271">
        <v>0</v>
      </c>
      <c r="AB21" s="271">
        <v>0.05</v>
      </c>
      <c r="AC21" s="271">
        <v>0</v>
      </c>
      <c r="AD21" s="269">
        <f t="shared" si="4"/>
        <v>0.2</v>
      </c>
      <c r="AE21" s="269">
        <f t="shared" si="4"/>
        <v>0</v>
      </c>
      <c r="AF21" s="271">
        <v>0.05</v>
      </c>
      <c r="AG21" s="271">
        <v>0.05</v>
      </c>
      <c r="AH21" s="271">
        <v>0.05</v>
      </c>
      <c r="AI21" s="271">
        <v>0.25</v>
      </c>
      <c r="AJ21" s="271">
        <v>0.05</v>
      </c>
      <c r="AK21" s="272">
        <v>0.05</v>
      </c>
      <c r="AL21" s="269">
        <f t="shared" si="5"/>
        <v>0.15000000000000002</v>
      </c>
      <c r="AM21" s="269">
        <f t="shared" si="5"/>
        <v>0.35</v>
      </c>
      <c r="AN21" s="271">
        <v>0.05</v>
      </c>
      <c r="AO21" s="271"/>
      <c r="AP21" s="271">
        <v>0.05</v>
      </c>
      <c r="AQ21" s="271"/>
      <c r="AR21" s="271">
        <v>0</v>
      </c>
      <c r="AS21" s="271"/>
      <c r="AT21" s="269">
        <f t="shared" si="6"/>
        <v>0.1</v>
      </c>
      <c r="AU21" s="269">
        <f t="shared" si="6"/>
        <v>0</v>
      </c>
      <c r="AV21" s="275">
        <f t="shared" si="7"/>
        <v>0.5</v>
      </c>
      <c r="AW21" s="348">
        <f t="shared" si="8"/>
        <v>0.05</v>
      </c>
      <c r="AX21" s="348">
        <f t="shared" si="9"/>
        <v>0.05</v>
      </c>
      <c r="AY21" s="1005">
        <f t="shared" si="10"/>
        <v>0.39999999999999997</v>
      </c>
      <c r="AZ21" s="400">
        <f t="shared" si="11"/>
        <v>0.39999999999999997</v>
      </c>
      <c r="BA21" s="347">
        <f t="shared" si="12"/>
        <v>0.1</v>
      </c>
      <c r="BB21" s="347">
        <f t="shared" si="0"/>
        <v>0.1</v>
      </c>
      <c r="BC21" s="347">
        <f t="shared" si="0"/>
        <v>0.79999999999999993</v>
      </c>
      <c r="BD21" s="347">
        <f t="shared" si="0"/>
        <v>0.79999999999999993</v>
      </c>
      <c r="BE21" s="390">
        <f>(IF(AND(AW21&gt;0,$F21&gt;0),AW21/$F21,0))</f>
        <v>0.05</v>
      </c>
      <c r="BF21" s="390">
        <f t="shared" si="15"/>
        <v>0.05</v>
      </c>
      <c r="BG21" s="689">
        <f t="shared" si="16"/>
        <v>0.39999999999999997</v>
      </c>
      <c r="BH21" s="391">
        <f t="shared" si="17"/>
        <v>0.39999999999999997</v>
      </c>
    </row>
    <row r="22" spans="2:60" ht="90">
      <c r="B22" s="1542"/>
      <c r="C22" s="1542"/>
      <c r="D22" s="31" t="str">
        <f>+'01-FR-03 POA INSTITUCIONAL'!D47</f>
        <v xml:space="preserve">3.4.2 Diseñar e implementar un sistema de información misional que generé el expediente electrónico  </v>
      </c>
      <c r="E22" s="52">
        <f>+'01-FR-03 POA INSTITUCIONAL'!E47</f>
        <v>0.7</v>
      </c>
      <c r="F22" s="270">
        <f>+'01-FR-03 POA INSTITUCIONAL'!F47</f>
        <v>1</v>
      </c>
      <c r="G22" s="274">
        <f>+'01-FR-03 POA INSTITUCIONAL'!K47</f>
        <v>0.2</v>
      </c>
      <c r="H22" s="270" t="str">
        <f>+'01-FR-03 POA INSTITUCIONAL'!G47</f>
        <v>S.I.</v>
      </c>
      <c r="I22" s="140" t="str">
        <f>+'01-FR-03 POA INSTITUCIONAL'!H47</f>
        <v xml:space="preserve">Sistema de información misional implementado </v>
      </c>
      <c r="J22" s="218" t="s">
        <v>342</v>
      </c>
      <c r="K22" s="241" t="s">
        <v>354</v>
      </c>
      <c r="L22" s="221" t="s">
        <v>336</v>
      </c>
      <c r="M22" s="221" t="s">
        <v>357</v>
      </c>
      <c r="N22" s="221" t="s">
        <v>347</v>
      </c>
      <c r="O22" s="82" t="str">
        <f>+'01-FR-03 POA INSTITUCIONAL'!J47</f>
        <v>Personería Delegada para la Coordinación de Potestad Disciplinaria</v>
      </c>
      <c r="P22" s="271">
        <v>0</v>
      </c>
      <c r="Q22" s="271">
        <v>0</v>
      </c>
      <c r="R22" s="271">
        <v>0</v>
      </c>
      <c r="S22" s="271">
        <v>0</v>
      </c>
      <c r="T22" s="271">
        <v>0.02</v>
      </c>
      <c r="U22" s="271">
        <v>0.02</v>
      </c>
      <c r="V22" s="269">
        <f t="shared" si="3"/>
        <v>0.02</v>
      </c>
      <c r="W22" s="269">
        <f t="shared" si="3"/>
        <v>0.02</v>
      </c>
      <c r="X22" s="271">
        <v>0.02</v>
      </c>
      <c r="Y22" s="271">
        <v>0.02</v>
      </c>
      <c r="Z22" s="271">
        <v>0.02</v>
      </c>
      <c r="AA22" s="271">
        <v>0.02</v>
      </c>
      <c r="AB22" s="271">
        <v>0.02</v>
      </c>
      <c r="AC22" s="271">
        <v>0.02</v>
      </c>
      <c r="AD22" s="269">
        <f t="shared" si="4"/>
        <v>0.06</v>
      </c>
      <c r="AE22" s="269">
        <f t="shared" si="4"/>
        <v>0.06</v>
      </c>
      <c r="AF22" s="271">
        <v>0.02</v>
      </c>
      <c r="AG22" s="271">
        <v>0.02</v>
      </c>
      <c r="AH22" s="271">
        <v>0.02</v>
      </c>
      <c r="AI22" s="271">
        <v>0.02</v>
      </c>
      <c r="AJ22" s="271">
        <v>0.02</v>
      </c>
      <c r="AK22" s="272">
        <v>0.02</v>
      </c>
      <c r="AL22" s="269">
        <f t="shared" si="5"/>
        <v>0.06</v>
      </c>
      <c r="AM22" s="269">
        <f t="shared" si="5"/>
        <v>0.06</v>
      </c>
      <c r="AN22" s="271">
        <v>0.02</v>
      </c>
      <c r="AO22" s="271"/>
      <c r="AP22" s="271">
        <v>0.02</v>
      </c>
      <c r="AQ22" s="271"/>
      <c r="AR22" s="271">
        <v>0.02</v>
      </c>
      <c r="AS22" s="271"/>
      <c r="AT22" s="269">
        <f>AN22+AP22+AR22</f>
        <v>0.06</v>
      </c>
      <c r="AU22" s="269">
        <f t="shared" si="6"/>
        <v>0</v>
      </c>
      <c r="AV22" s="276">
        <f t="shared" si="7"/>
        <v>0.2</v>
      </c>
      <c r="AW22" s="348">
        <f t="shared" si="8"/>
        <v>0.02</v>
      </c>
      <c r="AX22" s="348">
        <f t="shared" si="9"/>
        <v>0.08</v>
      </c>
      <c r="AY22" s="1005">
        <f t="shared" si="10"/>
        <v>0.14000000000000001</v>
      </c>
      <c r="AZ22" s="400">
        <f t="shared" si="11"/>
        <v>0.14000000000000001</v>
      </c>
      <c r="BA22" s="347">
        <f t="shared" si="12"/>
        <v>9.9999999999999992E-2</v>
      </c>
      <c r="BB22" s="347">
        <f t="shared" si="0"/>
        <v>0.39999999999999997</v>
      </c>
      <c r="BC22" s="347">
        <f t="shared" si="0"/>
        <v>0.70000000000000007</v>
      </c>
      <c r="BD22" s="347">
        <f t="shared" si="0"/>
        <v>0.70000000000000007</v>
      </c>
      <c r="BE22" s="390">
        <f>(IF(AND(AW22&gt;0,$F22&gt;0),AW22/$F22,0))</f>
        <v>0.02</v>
      </c>
      <c r="BF22" s="390">
        <f t="shared" si="15"/>
        <v>0.08</v>
      </c>
      <c r="BG22" s="689">
        <f t="shared" si="16"/>
        <v>0.14000000000000001</v>
      </c>
      <c r="BH22" s="391">
        <f t="shared" si="17"/>
        <v>0.14000000000000001</v>
      </c>
    </row>
    <row r="23" spans="2:60" ht="90">
      <c r="B23" s="1542"/>
      <c r="C23" s="1574"/>
      <c r="D23" s="31" t="str">
        <f>+'01-FR-03 POA INSTITUCIONAL'!D48</f>
        <v xml:space="preserve">3.4.3 Diseñar e implementar una relatoría de las decisiones de fondo adoptadas en ejercicio de la potestad disciplinaria  </v>
      </c>
      <c r="E23" s="52">
        <f>+'01-FR-03 POA INSTITUCIONAL'!E48</f>
        <v>0.1</v>
      </c>
      <c r="F23" s="270">
        <f>+'01-FR-03 POA INSTITUCIONAL'!F48</f>
        <v>1</v>
      </c>
      <c r="G23" s="274">
        <f>+'01-FR-03 POA INSTITUCIONAL'!K48</f>
        <v>0.1</v>
      </c>
      <c r="H23" s="270" t="str">
        <f>+'01-FR-03 POA INSTITUCIONAL'!G48</f>
        <v>S.I.</v>
      </c>
      <c r="I23" s="140" t="str">
        <f>+'01-FR-03 POA INSTITUCIONAL'!H48</f>
        <v>Relatoría diseñada e implementada</v>
      </c>
      <c r="J23" s="218" t="s">
        <v>343</v>
      </c>
      <c r="K23" s="241" t="s">
        <v>355</v>
      </c>
      <c r="L23" s="221" t="s">
        <v>337</v>
      </c>
      <c r="M23" s="221" t="s">
        <v>357</v>
      </c>
      <c r="N23" s="221" t="s">
        <v>347</v>
      </c>
      <c r="O23" s="82" t="str">
        <f>+'01-FR-03 POA INSTITUCIONAL'!J48</f>
        <v>Personería Delegada para la Coordinación de Potestad Disciplinaria</v>
      </c>
      <c r="P23" s="271">
        <v>0</v>
      </c>
      <c r="Q23" s="271">
        <v>0</v>
      </c>
      <c r="R23" s="271">
        <v>0</v>
      </c>
      <c r="S23" s="271">
        <v>0</v>
      </c>
      <c r="T23" s="271">
        <v>0</v>
      </c>
      <c r="U23" s="271">
        <v>0</v>
      </c>
      <c r="V23" s="269">
        <f t="shared" si="3"/>
        <v>0</v>
      </c>
      <c r="W23" s="269">
        <f t="shared" si="3"/>
        <v>0</v>
      </c>
      <c r="X23" s="271">
        <v>0</v>
      </c>
      <c r="Y23" s="271">
        <v>0</v>
      </c>
      <c r="Z23" s="271">
        <v>0.01</v>
      </c>
      <c r="AA23" s="271">
        <v>0.01</v>
      </c>
      <c r="AB23" s="271">
        <v>0.01</v>
      </c>
      <c r="AC23" s="271">
        <v>0.01</v>
      </c>
      <c r="AD23" s="269">
        <f t="shared" si="4"/>
        <v>0.02</v>
      </c>
      <c r="AE23" s="269">
        <f t="shared" si="4"/>
        <v>0.02</v>
      </c>
      <c r="AF23" s="271">
        <v>0.01</v>
      </c>
      <c r="AG23" s="271">
        <v>0.01</v>
      </c>
      <c r="AH23" s="271">
        <v>0.02</v>
      </c>
      <c r="AI23" s="271">
        <v>0.02</v>
      </c>
      <c r="AJ23" s="271">
        <v>0.02</v>
      </c>
      <c r="AK23" s="272">
        <v>0.03</v>
      </c>
      <c r="AL23" s="269">
        <f t="shared" si="5"/>
        <v>0.05</v>
      </c>
      <c r="AM23" s="269">
        <f t="shared" si="5"/>
        <v>0.06</v>
      </c>
      <c r="AN23" s="271">
        <v>0.02</v>
      </c>
      <c r="AO23" s="271"/>
      <c r="AP23" s="271">
        <v>0.01</v>
      </c>
      <c r="AQ23" s="271"/>
      <c r="AR23" s="271">
        <v>0</v>
      </c>
      <c r="AS23" s="271"/>
      <c r="AT23" s="269">
        <f t="shared" si="6"/>
        <v>0.03</v>
      </c>
      <c r="AU23" s="269">
        <f t="shared" si="6"/>
        <v>0</v>
      </c>
      <c r="AV23" s="276">
        <f t="shared" si="7"/>
        <v>0.1</v>
      </c>
      <c r="AW23" s="348">
        <f t="shared" si="8"/>
        <v>0</v>
      </c>
      <c r="AX23" s="348">
        <f t="shared" si="9"/>
        <v>0.02</v>
      </c>
      <c r="AY23" s="1005">
        <f t="shared" si="10"/>
        <v>0.08</v>
      </c>
      <c r="AZ23" s="400">
        <f t="shared" si="11"/>
        <v>0.08</v>
      </c>
      <c r="BA23" s="347">
        <f>IF(AND(AW23&gt;0,AV23&gt;0),AW23/AV23,0)</f>
        <v>0</v>
      </c>
      <c r="BB23" s="347">
        <f t="shared" si="0"/>
        <v>0.19999999999999998</v>
      </c>
      <c r="BC23" s="347">
        <f t="shared" si="0"/>
        <v>0.79999999999999993</v>
      </c>
      <c r="BD23" s="347">
        <f t="shared" si="0"/>
        <v>0.79999999999999993</v>
      </c>
      <c r="BE23" s="390">
        <f>(IF(AND(AW23&gt;0,$F23&gt;0),AW23/$F23,0))</f>
        <v>0</v>
      </c>
      <c r="BF23" s="390">
        <f t="shared" si="15"/>
        <v>0.02</v>
      </c>
      <c r="BG23" s="689">
        <f t="shared" si="16"/>
        <v>0.08</v>
      </c>
      <c r="BH23" s="391">
        <f t="shared" si="17"/>
        <v>0.08</v>
      </c>
    </row>
    <row r="24" spans="2:60" ht="22.8">
      <c r="B24" s="1491"/>
      <c r="C24" s="1492"/>
      <c r="D24" s="1492"/>
      <c r="E24" s="1492"/>
      <c r="F24" s="1492"/>
      <c r="G24" s="1492"/>
      <c r="H24" s="1492"/>
      <c r="I24" s="1492"/>
      <c r="J24" s="1492"/>
      <c r="K24" s="1492"/>
      <c r="L24" s="1492"/>
      <c r="M24" s="1492"/>
      <c r="N24" s="1492"/>
      <c r="O24" s="1492"/>
      <c r="P24" s="1492"/>
      <c r="Q24" s="1492"/>
      <c r="R24" s="1492"/>
      <c r="S24" s="1492"/>
      <c r="T24" s="1492"/>
      <c r="U24" s="1492"/>
      <c r="V24" s="1492"/>
      <c r="W24" s="1492"/>
      <c r="X24" s="1492"/>
      <c r="Y24" s="1492"/>
      <c r="Z24" s="1492"/>
      <c r="AA24" s="1492"/>
      <c r="AB24" s="1492"/>
      <c r="AC24" s="1492"/>
      <c r="AD24" s="1492"/>
      <c r="AE24" s="1492"/>
      <c r="AF24" s="1492"/>
      <c r="AG24" s="1492"/>
      <c r="AH24" s="1492"/>
      <c r="AI24" s="1492"/>
      <c r="AJ24" s="1492"/>
      <c r="AK24" s="1492"/>
      <c r="AL24" s="1492"/>
      <c r="AM24" s="1492"/>
      <c r="AN24" s="1492"/>
      <c r="AO24" s="1492"/>
      <c r="AP24" s="1492"/>
      <c r="AQ24" s="1492"/>
      <c r="AR24" s="1492"/>
      <c r="AS24" s="1492"/>
      <c r="AT24" s="1492"/>
      <c r="AU24" s="1492"/>
      <c r="AV24" s="1492"/>
      <c r="AW24" s="1575"/>
      <c r="AX24" s="1539" t="s">
        <v>19</v>
      </c>
      <c r="AY24" s="1573"/>
      <c r="AZ24" s="1573"/>
      <c r="BA24" s="70">
        <f t="shared" ref="BA24:BD24" si="18">AVERAGE(BA16:BA23)</f>
        <v>0.15256107026143792</v>
      </c>
      <c r="BB24" s="70">
        <f t="shared" si="18"/>
        <v>0.49932638888888892</v>
      </c>
      <c r="BC24" s="70">
        <f t="shared" si="18"/>
        <v>0.81008333333333338</v>
      </c>
      <c r="BD24" s="70">
        <f t="shared" si="18"/>
        <v>0.80720833333333331</v>
      </c>
      <c r="BE24" s="1614"/>
      <c r="BF24" s="1615"/>
      <c r="BG24" s="1615"/>
      <c r="BH24" s="1616"/>
    </row>
    <row r="25" spans="2:60">
      <c r="B25" s="1512"/>
      <c r="C25" s="1512"/>
      <c r="D25" s="1512"/>
      <c r="E25" s="1512"/>
      <c r="F25" s="1512"/>
      <c r="G25" s="1512"/>
      <c r="H25" s="247"/>
      <c r="I25" s="248"/>
      <c r="J25" s="248"/>
      <c r="K25" s="248"/>
      <c r="L25" s="248"/>
      <c r="M25" s="248"/>
      <c r="N25" s="248"/>
      <c r="O25" s="248"/>
    </row>
    <row r="26" spans="2:60">
      <c r="B26" s="248"/>
      <c r="C26" s="248"/>
      <c r="D26" s="1524"/>
      <c r="E26" s="1524"/>
      <c r="F26" s="1524"/>
      <c r="G26" s="1524"/>
      <c r="H26" s="1524"/>
      <c r="I26" s="1524"/>
      <c r="J26" s="1524"/>
      <c r="K26" s="1524"/>
      <c r="L26" s="1524"/>
      <c r="M26" s="1524"/>
      <c r="N26" s="1524"/>
      <c r="O26" s="1524"/>
    </row>
    <row r="27" spans="2:60" ht="15.6" customHeight="1">
      <c r="B27" s="77" t="s">
        <v>26</v>
      </c>
      <c r="C27" s="249">
        <v>44224</v>
      </c>
      <c r="D27" s="250"/>
      <c r="E27" s="1514" t="s">
        <v>50</v>
      </c>
      <c r="F27" s="1638" t="s">
        <v>726</v>
      </c>
      <c r="G27" s="1639"/>
      <c r="H27" s="1639"/>
      <c r="I27" s="1639"/>
      <c r="J27" s="1640"/>
      <c r="K27" s="251"/>
      <c r="L27" s="1568"/>
      <c r="M27" s="1568"/>
      <c r="N27" s="1568"/>
      <c r="O27" s="1577"/>
    </row>
    <row r="28" spans="2:60" ht="33" customHeight="1">
      <c r="B28" s="248"/>
      <c r="C28" s="248"/>
      <c r="D28" s="251"/>
      <c r="E28" s="1514"/>
      <c r="F28" s="1641"/>
      <c r="G28" s="1642"/>
      <c r="H28" s="1642"/>
      <c r="I28" s="1642"/>
      <c r="J28" s="1643"/>
      <c r="K28" s="248"/>
      <c r="L28" s="248"/>
      <c r="M28" s="248"/>
      <c r="N28" s="248"/>
      <c r="O28" s="248"/>
    </row>
    <row r="29" spans="2:60" ht="15.6">
      <c r="B29" s="77" t="s">
        <v>49</v>
      </c>
      <c r="C29" s="249"/>
      <c r="D29" s="248"/>
      <c r="E29" s="248"/>
      <c r="F29" s="248"/>
      <c r="K29" s="248"/>
      <c r="L29" s="248"/>
      <c r="M29" s="248"/>
      <c r="N29" s="248"/>
      <c r="O29" s="248"/>
    </row>
    <row r="30" spans="2:60">
      <c r="B30" s="248"/>
      <c r="C30" s="248"/>
      <c r="D30" s="248"/>
      <c r="E30" s="248"/>
      <c r="F30" s="248"/>
      <c r="K30" s="248"/>
      <c r="L30" s="248"/>
      <c r="M30" s="248"/>
      <c r="N30" s="248"/>
      <c r="O30" s="248"/>
    </row>
    <row r="31" spans="2:60">
      <c r="B31" s="688" t="s">
        <v>983</v>
      </c>
      <c r="C31" s="248"/>
      <c r="D31" s="248"/>
      <c r="E31" s="248"/>
      <c r="F31" s="248"/>
      <c r="G31" s="247"/>
      <c r="H31" s="247"/>
      <c r="I31" s="1576"/>
      <c r="J31" s="1576"/>
      <c r="K31" s="1576"/>
      <c r="L31" s="1576"/>
      <c r="M31" s="252"/>
      <c r="N31" s="252"/>
      <c r="O31" s="252"/>
    </row>
    <row r="32" spans="2:60">
      <c r="B32" s="248"/>
      <c r="C32" s="248"/>
      <c r="D32" s="248"/>
      <c r="E32" s="248"/>
      <c r="F32" s="248"/>
      <c r="G32" s="247"/>
      <c r="H32" s="247"/>
      <c r="I32" s="248"/>
      <c r="J32" s="248"/>
      <c r="K32" s="253"/>
      <c r="L32" s="248"/>
      <c r="M32" s="248"/>
      <c r="N32" s="248"/>
      <c r="O32" s="248"/>
    </row>
    <row r="33" spans="2:15">
      <c r="B33" s="248"/>
      <c r="C33" s="248"/>
      <c r="D33" s="248"/>
      <c r="E33" s="248"/>
      <c r="F33" s="248"/>
      <c r="G33" s="247"/>
      <c r="H33" s="247"/>
      <c r="I33" s="1576"/>
      <c r="J33" s="1576"/>
      <c r="K33" s="1576"/>
      <c r="L33" s="1576"/>
      <c r="M33" s="252"/>
      <c r="N33" s="252"/>
      <c r="O33" s="252"/>
    </row>
    <row r="34" spans="2:15">
      <c r="B34" s="248"/>
      <c r="C34" s="248"/>
      <c r="D34" s="248"/>
      <c r="E34" s="248"/>
      <c r="F34" s="248"/>
      <c r="G34" s="247"/>
      <c r="H34" s="247"/>
      <c r="I34" s="248"/>
      <c r="J34" s="248"/>
      <c r="K34" s="253"/>
      <c r="L34" s="248"/>
      <c r="M34" s="248"/>
      <c r="N34" s="248"/>
      <c r="O34" s="248"/>
    </row>
    <row r="35" spans="2:15">
      <c r="B35" s="248"/>
      <c r="C35" s="248"/>
      <c r="D35" s="248"/>
      <c r="E35" s="248"/>
      <c r="F35" s="248"/>
      <c r="G35" s="247"/>
      <c r="H35" s="247"/>
      <c r="I35" s="1576"/>
      <c r="J35" s="1576"/>
      <c r="K35" s="1576"/>
      <c r="L35" s="1576"/>
      <c r="M35" s="252"/>
      <c r="N35" s="252"/>
      <c r="O35" s="252"/>
    </row>
  </sheetData>
  <sheetProtection algorithmName="SHA-512" hashValue="zsmhqHkqq6kCncfo5628c+BSB1x0RGDiMD2rQ17qOD90Ae+BXbpP+j120UbhCshumcELNJj/hrZEyM399tQ8IA==" saltValue="ZGUO2OGMdRGTr1RTaiyBgA==" spinCount="100000" sheet="1" objects="1" scenarios="1"/>
  <mergeCells count="73">
    <mergeCell ref="I33:L33"/>
    <mergeCell ref="I35:L35"/>
    <mergeCell ref="B25:G25"/>
    <mergeCell ref="B24:AW24"/>
    <mergeCell ref="D26:O26"/>
    <mergeCell ref="E27:E28"/>
    <mergeCell ref="L27:O27"/>
    <mergeCell ref="F27:J28"/>
    <mergeCell ref="I31:L31"/>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24:BH24"/>
    <mergeCell ref="I12:I15"/>
    <mergeCell ref="J12:J15"/>
    <mergeCell ref="K12:K15"/>
    <mergeCell ref="L12:L15"/>
    <mergeCell ref="AV12:AV15"/>
    <mergeCell ref="AW12:AZ12"/>
    <mergeCell ref="BA12:BD12"/>
    <mergeCell ref="BB13:BB15"/>
    <mergeCell ref="AX24:AZ24"/>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00B050"/>
  </sheetPr>
  <dimension ref="B1:BH35"/>
  <sheetViews>
    <sheetView showGridLines="0" zoomScale="60" zoomScaleNormal="60" workbookViewId="0">
      <selection activeCell="F31" sqref="F31"/>
    </sheetView>
  </sheetViews>
  <sheetFormatPr baseColWidth="10" defaultColWidth="17.33203125" defaultRowHeight="15"/>
  <cols>
    <col min="1" max="1" width="4.33203125" style="277" customWidth="1"/>
    <col min="2" max="2" width="50.44140625" style="277" customWidth="1"/>
    <col min="3" max="3" width="31.44140625" style="277" customWidth="1"/>
    <col min="4" max="4" width="49.6640625" style="277" customWidth="1"/>
    <col min="5" max="6" width="27.5546875" style="277" customWidth="1"/>
    <col min="7" max="8" width="29.33203125" style="278" customWidth="1"/>
    <col min="9" max="9" width="36.33203125" style="277" customWidth="1"/>
    <col min="10" max="10" width="31.88671875" style="277" customWidth="1"/>
    <col min="11" max="11" width="63.88671875" style="277" customWidth="1"/>
    <col min="12" max="12" width="48.44140625" style="277" customWidth="1"/>
    <col min="13" max="14" width="28.5546875" style="277" customWidth="1"/>
    <col min="15" max="15" width="50" style="277" customWidth="1"/>
    <col min="16" max="47" width="15.88671875" style="277" customWidth="1"/>
    <col min="48" max="48" width="24.5546875" style="277" customWidth="1"/>
    <col min="49" max="49" width="22.88671875" style="277" customWidth="1"/>
    <col min="50" max="50" width="19.33203125" style="277" customWidth="1"/>
    <col min="51" max="51" width="18.44140625" style="277" customWidth="1"/>
    <col min="52" max="52" width="19.44140625" style="277" customWidth="1"/>
    <col min="53" max="53" width="23.33203125" style="277" customWidth="1"/>
    <col min="54" max="55" width="25.109375" style="277" customWidth="1"/>
    <col min="56" max="56" width="26.6640625" style="277" customWidth="1"/>
    <col min="57" max="57" width="26.33203125" style="277" customWidth="1"/>
    <col min="58" max="58" width="26.5546875" style="277" customWidth="1"/>
    <col min="59" max="59" width="26.33203125" style="277" customWidth="1"/>
    <col min="60" max="60" width="27.33203125" style="277" customWidth="1"/>
    <col min="61" max="16384" width="17.33203125" style="277"/>
  </cols>
  <sheetData>
    <row r="1" spans="2:60" ht="15.6" thickBot="1"/>
    <row r="2" spans="2:60"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79" t="s">
        <v>446</v>
      </c>
      <c r="BH2" s="280"/>
    </row>
    <row r="3" spans="2:60"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81" t="s">
        <v>28</v>
      </c>
      <c r="BH3" s="282"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217"/>
      <c r="C7" s="217"/>
      <c r="D7" s="217"/>
      <c r="E7" s="217"/>
      <c r="F7" s="217"/>
      <c r="G7" s="283"/>
      <c r="H7" s="283"/>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1546"/>
      <c r="AX7" s="1568"/>
      <c r="AY7" s="1568"/>
      <c r="AZ7" s="1568"/>
      <c r="BA7" s="1548"/>
      <c r="BB7" s="238"/>
      <c r="BC7" s="238"/>
      <c r="BD7" s="238"/>
      <c r="BE7" s="217"/>
      <c r="BF7" s="217"/>
    </row>
    <row r="8" spans="2:60" ht="15.6">
      <c r="B8" s="284" t="s">
        <v>45</v>
      </c>
      <c r="C8" s="1659" t="s">
        <v>91</v>
      </c>
      <c r="D8" s="1659"/>
      <c r="E8" s="217"/>
      <c r="F8" s="217"/>
      <c r="G8" s="217"/>
      <c r="H8" s="217"/>
      <c r="I8" s="217"/>
      <c r="J8" s="217"/>
      <c r="K8" s="217"/>
      <c r="L8" s="217"/>
      <c r="M8" s="217"/>
      <c r="N8" s="217"/>
      <c r="O8" s="217"/>
      <c r="AW8" s="238"/>
      <c r="AX8" s="238"/>
      <c r="AY8" s="238"/>
      <c r="AZ8" s="238"/>
      <c r="BA8" s="238"/>
      <c r="BB8" s="238"/>
      <c r="BC8" s="238"/>
      <c r="BD8" s="238"/>
    </row>
    <row r="9" spans="2:60" ht="95.25" customHeight="1">
      <c r="B9" s="284" t="s">
        <v>34</v>
      </c>
      <c r="C9" s="1658" t="s">
        <v>470</v>
      </c>
      <c r="D9" s="1536"/>
      <c r="E9" s="217"/>
      <c r="F9" s="217"/>
      <c r="G9" s="217"/>
      <c r="H9" s="217"/>
      <c r="I9" s="217"/>
      <c r="J9" s="217"/>
      <c r="K9" s="217"/>
      <c r="L9" s="217"/>
      <c r="M9" s="217"/>
      <c r="N9" s="217"/>
      <c r="O9" s="217"/>
      <c r="AW9" s="238"/>
      <c r="AX9" s="238"/>
      <c r="AY9" s="238"/>
      <c r="AZ9" s="238"/>
      <c r="BA9" s="238"/>
      <c r="BB9" s="238"/>
      <c r="BC9" s="238"/>
      <c r="BD9" s="238"/>
    </row>
    <row r="10" spans="2:60" ht="15.6">
      <c r="B10" s="284" t="s">
        <v>101</v>
      </c>
      <c r="C10" s="1660">
        <v>2021</v>
      </c>
      <c r="D10" s="1661"/>
      <c r="E10" s="217"/>
      <c r="F10" s="217"/>
      <c r="G10" s="217"/>
      <c r="H10" s="217"/>
      <c r="I10" s="217"/>
      <c r="J10" s="217"/>
      <c r="K10" s="217"/>
      <c r="L10" s="217"/>
      <c r="M10" s="217"/>
      <c r="N10" s="217"/>
      <c r="O10" s="217"/>
      <c r="AW10" s="238"/>
      <c r="AX10" s="238"/>
      <c r="AY10" s="238"/>
      <c r="AZ10" s="238"/>
      <c r="BA10" s="238"/>
      <c r="BB10" s="238"/>
      <c r="BC10" s="238"/>
      <c r="BD10" s="238"/>
    </row>
    <row r="11" spans="2:60">
      <c r="B11" s="217"/>
      <c r="C11" s="217"/>
      <c r="D11" s="217"/>
      <c r="E11" s="217"/>
      <c r="F11" s="217"/>
      <c r="G11" s="283"/>
      <c r="H11" s="283"/>
      <c r="I11" s="217"/>
      <c r="J11" s="217"/>
      <c r="K11" s="217"/>
      <c r="L11" s="217"/>
      <c r="M11" s="217"/>
      <c r="N11" s="217"/>
      <c r="O11" s="217"/>
      <c r="AW11" s="238"/>
      <c r="AX11" s="238"/>
      <c r="AY11" s="238"/>
      <c r="AZ11" s="238"/>
      <c r="BA11" s="238"/>
      <c r="BB11" s="238"/>
      <c r="BC11" s="238"/>
      <c r="BD11" s="238"/>
    </row>
    <row r="12" spans="2:60" ht="31.95" customHeight="1">
      <c r="B12" s="1442" t="s">
        <v>0</v>
      </c>
      <c r="C12" s="1442" t="s">
        <v>52</v>
      </c>
      <c r="D12" s="1442" t="s">
        <v>53</v>
      </c>
      <c r="E12" s="1442" t="s">
        <v>61</v>
      </c>
      <c r="F12" s="1253" t="s">
        <v>732</v>
      </c>
      <c r="G12" s="1442" t="s">
        <v>58</v>
      </c>
      <c r="H12" s="1442" t="s">
        <v>25</v>
      </c>
      <c r="I12" s="1442" t="s">
        <v>60</v>
      </c>
      <c r="J12" s="1442" t="s">
        <v>39</v>
      </c>
      <c r="K12" s="1442" t="s">
        <v>36</v>
      </c>
      <c r="L12" s="1442" t="s">
        <v>20</v>
      </c>
      <c r="M12" s="1442" t="s">
        <v>51</v>
      </c>
      <c r="N12" s="1442" t="s">
        <v>40</v>
      </c>
      <c r="O12" s="1442" t="s">
        <v>42</v>
      </c>
      <c r="P12" s="1651" t="s">
        <v>112</v>
      </c>
      <c r="Q12" s="1651"/>
      <c r="R12" s="1651"/>
      <c r="S12" s="1651"/>
      <c r="T12" s="1651"/>
      <c r="U12" s="1651"/>
      <c r="V12" s="1651"/>
      <c r="W12" s="1651"/>
      <c r="X12" s="1651"/>
      <c r="Y12" s="1651"/>
      <c r="Z12" s="1651"/>
      <c r="AA12" s="1651"/>
      <c r="AB12" s="1651"/>
      <c r="AC12" s="1651"/>
      <c r="AD12" s="1651"/>
      <c r="AE12" s="1651"/>
      <c r="AF12" s="1651"/>
      <c r="AG12" s="1651"/>
      <c r="AH12" s="1651"/>
      <c r="AI12" s="1651"/>
      <c r="AJ12" s="1651"/>
      <c r="AK12" s="1651"/>
      <c r="AL12" s="1651"/>
      <c r="AM12" s="1651"/>
      <c r="AN12" s="1651"/>
      <c r="AO12" s="1651"/>
      <c r="AP12" s="1651"/>
      <c r="AQ12" s="1651"/>
      <c r="AR12" s="1651"/>
      <c r="AS12" s="1651"/>
      <c r="AT12" s="1651"/>
      <c r="AU12" s="1651"/>
      <c r="AV12" s="1669" t="s">
        <v>62</v>
      </c>
      <c r="AW12" s="1550" t="s">
        <v>733</v>
      </c>
      <c r="AX12" s="1551"/>
      <c r="AY12" s="1551"/>
      <c r="AZ12" s="1552"/>
      <c r="BA12" s="1556" t="s">
        <v>734</v>
      </c>
      <c r="BB12" s="1557"/>
      <c r="BC12" s="1557"/>
      <c r="BD12" s="1558"/>
      <c r="BE12" s="1543" t="s">
        <v>735</v>
      </c>
      <c r="BF12" s="1544"/>
      <c r="BG12" s="1544"/>
      <c r="BH12" s="1545"/>
    </row>
    <row r="13" spans="2:60" ht="15.6">
      <c r="B13" s="1442"/>
      <c r="C13" s="1442"/>
      <c r="D13" s="1442"/>
      <c r="E13" s="1442"/>
      <c r="F13" s="1253"/>
      <c r="G13" s="1442"/>
      <c r="H13" s="1442"/>
      <c r="I13" s="1442"/>
      <c r="J13" s="1442"/>
      <c r="K13" s="1442"/>
      <c r="L13" s="1442"/>
      <c r="M13" s="1442"/>
      <c r="N13" s="1442"/>
      <c r="O13" s="1442"/>
      <c r="P13" s="1514" t="s">
        <v>21</v>
      </c>
      <c r="Q13" s="1514"/>
      <c r="R13" s="1514"/>
      <c r="S13" s="1514"/>
      <c r="T13" s="1514"/>
      <c r="U13" s="1514"/>
      <c r="V13" s="1514"/>
      <c r="W13" s="1514"/>
      <c r="X13" s="1514" t="s">
        <v>22</v>
      </c>
      <c r="Y13" s="1514"/>
      <c r="Z13" s="1514"/>
      <c r="AA13" s="1514"/>
      <c r="AB13" s="1514"/>
      <c r="AC13" s="1514"/>
      <c r="AD13" s="1514"/>
      <c r="AE13" s="1514"/>
      <c r="AF13" s="1514" t="s">
        <v>23</v>
      </c>
      <c r="AG13" s="1514"/>
      <c r="AH13" s="1514"/>
      <c r="AI13" s="1514"/>
      <c r="AJ13" s="1514"/>
      <c r="AK13" s="1514"/>
      <c r="AL13" s="1514"/>
      <c r="AM13" s="1514"/>
      <c r="AN13" s="1514" t="s">
        <v>24</v>
      </c>
      <c r="AO13" s="1514"/>
      <c r="AP13" s="1514"/>
      <c r="AQ13" s="1514"/>
      <c r="AR13" s="1514"/>
      <c r="AS13" s="1514"/>
      <c r="AT13" s="1514"/>
      <c r="AU13" s="1514"/>
      <c r="AV13" s="1669"/>
      <c r="AW13" s="1662" t="s">
        <v>119</v>
      </c>
      <c r="AX13" s="1662" t="s">
        <v>22</v>
      </c>
      <c r="AY13" s="1662" t="s">
        <v>120</v>
      </c>
      <c r="AZ13" s="1662" t="s">
        <v>121</v>
      </c>
      <c r="BA13" s="1653" t="s">
        <v>119</v>
      </c>
      <c r="BB13" s="1653" t="s">
        <v>122</v>
      </c>
      <c r="BC13" s="1653" t="s">
        <v>123</v>
      </c>
      <c r="BD13" s="1653" t="s">
        <v>124</v>
      </c>
      <c r="BE13" s="1648" t="s">
        <v>21</v>
      </c>
      <c r="BF13" s="1648" t="s">
        <v>22</v>
      </c>
      <c r="BG13" s="1648" t="s">
        <v>23</v>
      </c>
      <c r="BH13" s="1648" t="s">
        <v>24</v>
      </c>
    </row>
    <row r="14" spans="2:60" ht="15.6">
      <c r="B14" s="1442"/>
      <c r="C14" s="1442"/>
      <c r="D14" s="1442"/>
      <c r="E14" s="1442"/>
      <c r="F14" s="1253"/>
      <c r="G14" s="1442"/>
      <c r="H14" s="1442"/>
      <c r="I14" s="1442"/>
      <c r="J14" s="1442"/>
      <c r="K14" s="1442"/>
      <c r="L14" s="1442"/>
      <c r="M14" s="1442"/>
      <c r="N14" s="1442"/>
      <c r="O14" s="1442"/>
      <c r="P14" s="1652" t="s">
        <v>5</v>
      </c>
      <c r="Q14" s="1652"/>
      <c r="R14" s="1652" t="s">
        <v>6</v>
      </c>
      <c r="S14" s="1652"/>
      <c r="T14" s="1652" t="s">
        <v>7</v>
      </c>
      <c r="U14" s="1652"/>
      <c r="V14" s="1651" t="s">
        <v>8</v>
      </c>
      <c r="W14" s="1651"/>
      <c r="X14" s="1652" t="s">
        <v>27</v>
      </c>
      <c r="Y14" s="1652"/>
      <c r="Z14" s="1652" t="s">
        <v>9</v>
      </c>
      <c r="AA14" s="1652"/>
      <c r="AB14" s="1652" t="s">
        <v>10</v>
      </c>
      <c r="AC14" s="1652"/>
      <c r="AD14" s="1651" t="s">
        <v>8</v>
      </c>
      <c r="AE14" s="1651"/>
      <c r="AF14" s="1652" t="s">
        <v>11</v>
      </c>
      <c r="AG14" s="1652"/>
      <c r="AH14" s="1652" t="s">
        <v>12</v>
      </c>
      <c r="AI14" s="1652"/>
      <c r="AJ14" s="1652" t="s">
        <v>13</v>
      </c>
      <c r="AK14" s="1652"/>
      <c r="AL14" s="1651" t="s">
        <v>8</v>
      </c>
      <c r="AM14" s="1651"/>
      <c r="AN14" s="1652" t="s">
        <v>14</v>
      </c>
      <c r="AO14" s="1652"/>
      <c r="AP14" s="1652" t="s">
        <v>15</v>
      </c>
      <c r="AQ14" s="1652"/>
      <c r="AR14" s="1652" t="s">
        <v>16</v>
      </c>
      <c r="AS14" s="1652"/>
      <c r="AT14" s="1651" t="s">
        <v>8</v>
      </c>
      <c r="AU14" s="1651"/>
      <c r="AV14" s="1669"/>
      <c r="AW14" s="1663"/>
      <c r="AX14" s="1663"/>
      <c r="AY14" s="1663"/>
      <c r="AZ14" s="1663"/>
      <c r="BA14" s="1654"/>
      <c r="BB14" s="1654"/>
      <c r="BC14" s="1654"/>
      <c r="BD14" s="1654"/>
      <c r="BE14" s="1649"/>
      <c r="BF14" s="1649"/>
      <c r="BG14" s="1649"/>
      <c r="BH14" s="1649"/>
    </row>
    <row r="15" spans="2:60" ht="16.2" thickBot="1">
      <c r="B15" s="1442"/>
      <c r="C15" s="1442"/>
      <c r="D15" s="1442"/>
      <c r="E15" s="1442"/>
      <c r="F15" s="1253"/>
      <c r="G15" s="1442"/>
      <c r="H15" s="1442"/>
      <c r="I15" s="1442"/>
      <c r="J15" s="1442"/>
      <c r="K15" s="1442"/>
      <c r="L15" s="1442"/>
      <c r="M15" s="1442"/>
      <c r="N15" s="1442"/>
      <c r="O15" s="1442"/>
      <c r="P15" s="285" t="s">
        <v>17</v>
      </c>
      <c r="Q15" s="285" t="s">
        <v>18</v>
      </c>
      <c r="R15" s="285" t="s">
        <v>17</v>
      </c>
      <c r="S15" s="285" t="s">
        <v>18</v>
      </c>
      <c r="T15" s="285" t="s">
        <v>17</v>
      </c>
      <c r="U15" s="285" t="s">
        <v>18</v>
      </c>
      <c r="V15" s="286" t="s">
        <v>17</v>
      </c>
      <c r="W15" s="286" t="s">
        <v>18</v>
      </c>
      <c r="X15" s="285" t="s">
        <v>17</v>
      </c>
      <c r="Y15" s="285" t="s">
        <v>18</v>
      </c>
      <c r="Z15" s="285" t="s">
        <v>17</v>
      </c>
      <c r="AA15" s="285" t="s">
        <v>18</v>
      </c>
      <c r="AB15" s="285" t="s">
        <v>17</v>
      </c>
      <c r="AC15" s="285" t="s">
        <v>18</v>
      </c>
      <c r="AD15" s="286" t="s">
        <v>17</v>
      </c>
      <c r="AE15" s="286" t="s">
        <v>18</v>
      </c>
      <c r="AF15" s="285" t="s">
        <v>17</v>
      </c>
      <c r="AG15" s="285" t="s">
        <v>18</v>
      </c>
      <c r="AH15" s="285" t="s">
        <v>17</v>
      </c>
      <c r="AI15" s="285" t="s">
        <v>18</v>
      </c>
      <c r="AJ15" s="285" t="s">
        <v>17</v>
      </c>
      <c r="AK15" s="285" t="s">
        <v>18</v>
      </c>
      <c r="AL15" s="286" t="s">
        <v>17</v>
      </c>
      <c r="AM15" s="286" t="s">
        <v>18</v>
      </c>
      <c r="AN15" s="285" t="s">
        <v>17</v>
      </c>
      <c r="AO15" s="285" t="s">
        <v>18</v>
      </c>
      <c r="AP15" s="285" t="s">
        <v>17</v>
      </c>
      <c r="AQ15" s="285" t="s">
        <v>18</v>
      </c>
      <c r="AR15" s="285" t="s">
        <v>17</v>
      </c>
      <c r="AS15" s="285" t="s">
        <v>18</v>
      </c>
      <c r="AT15" s="286" t="s">
        <v>17</v>
      </c>
      <c r="AU15" s="286" t="s">
        <v>18</v>
      </c>
      <c r="AV15" s="1669"/>
      <c r="AW15" s="1664"/>
      <c r="AX15" s="1664"/>
      <c r="AY15" s="1664"/>
      <c r="AZ15" s="1664"/>
      <c r="BA15" s="1655"/>
      <c r="BB15" s="1655"/>
      <c r="BC15" s="1655"/>
      <c r="BD15" s="1655"/>
      <c r="BE15" s="1650"/>
      <c r="BF15" s="1650"/>
      <c r="BG15" s="1650"/>
      <c r="BH15" s="1650"/>
    </row>
    <row r="16" spans="2:60" ht="397.95" customHeight="1">
      <c r="B16" s="166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66" t="str">
        <f>+'01-FR-03 POA INSTITUCIONAL'!C62</f>
        <v xml:space="preserve">4.3. Realizar el 100% de las actividades relacionadas con la Gestión del Talento Humano, que permita su fortalecimiento y el desarrollo de sus conocimientos, su competencia y bienestar. </v>
      </c>
      <c r="D16" s="31" t="str">
        <f>+'01-FR-03 POA INSTITUCIONAL'!D62</f>
        <v xml:space="preserve">4.3.1 Gestionar el 100% de las novedades y situaciones administrativas de los servidores públicos de la Entidad.
</v>
      </c>
      <c r="E16" s="52">
        <f>+'01-FR-03 POA INSTITUCIONAL'!E62</f>
        <v>0.1</v>
      </c>
      <c r="F16" s="52">
        <f>+'01-FR-03 POA INSTITUCIONAL'!F62</f>
        <v>1</v>
      </c>
      <c r="G16" s="52">
        <f>+'01-FR-03 POA INSTITUCIONAL'!K62</f>
        <v>1</v>
      </c>
      <c r="H16" s="52">
        <f>+'01-FR-03 POA INSTITUCIONAL'!G62</f>
        <v>1</v>
      </c>
      <c r="I16" s="140" t="str">
        <f>+'01-FR-03 POA INSTITUCIONAL'!H62</f>
        <v>Porcentaje de novedades y situaciones administrativas gestionadas</v>
      </c>
      <c r="J16" s="287" t="s">
        <v>447</v>
      </c>
      <c r="K16" s="288" t="s">
        <v>448</v>
      </c>
      <c r="L16" s="289" t="s">
        <v>449</v>
      </c>
      <c r="M16" s="221" t="s">
        <v>450</v>
      </c>
      <c r="N16" s="221" t="s">
        <v>451</v>
      </c>
      <c r="O16" s="241" t="str">
        <f>+'01-FR-03 POA INSTITUCIONAL'!J62</f>
        <v xml:space="preserve">
Dirección de Talento Humano
</v>
      </c>
      <c r="P16" s="273">
        <v>1</v>
      </c>
      <c r="Q16" s="145">
        <v>1</v>
      </c>
      <c r="R16" s="273">
        <v>1</v>
      </c>
      <c r="S16" s="145">
        <v>1</v>
      </c>
      <c r="T16" s="273">
        <v>1</v>
      </c>
      <c r="U16" s="145">
        <v>1</v>
      </c>
      <c r="V16" s="89">
        <f>AVERAGE(P16,R16,T16)</f>
        <v>1</v>
      </c>
      <c r="W16" s="89">
        <f>IFERROR(AVERAGE(Q16,S16,U16),0)</f>
        <v>1</v>
      </c>
      <c r="X16" s="273">
        <v>1</v>
      </c>
      <c r="Y16" s="145">
        <v>1</v>
      </c>
      <c r="Z16" s="273">
        <v>1</v>
      </c>
      <c r="AA16" s="145">
        <v>1</v>
      </c>
      <c r="AB16" s="273">
        <v>1</v>
      </c>
      <c r="AC16" s="145">
        <v>1</v>
      </c>
      <c r="AD16" s="89">
        <f>AVERAGE(X16,Z16,AB16)</f>
        <v>1</v>
      </c>
      <c r="AE16" s="89">
        <f>IFERROR(AVERAGE(Y16,AA16,AC16),0)</f>
        <v>1</v>
      </c>
      <c r="AF16" s="273">
        <v>1</v>
      </c>
      <c r="AG16" s="684">
        <v>1</v>
      </c>
      <c r="AH16" s="1007">
        <v>1</v>
      </c>
      <c r="AI16" s="684">
        <v>1</v>
      </c>
      <c r="AJ16" s="1007">
        <v>1</v>
      </c>
      <c r="AK16" s="1006">
        <v>1</v>
      </c>
      <c r="AL16" s="89">
        <f>AVERAGE(AF16,AH16,AJ16)</f>
        <v>1</v>
      </c>
      <c r="AM16" s="89">
        <f>IFERROR(AVERAGE(AG16,AI16,AK16),0)</f>
        <v>1</v>
      </c>
      <c r="AN16" s="273">
        <v>1</v>
      </c>
      <c r="AO16" s="398">
        <v>0</v>
      </c>
      <c r="AP16" s="273">
        <v>1</v>
      </c>
      <c r="AQ16" s="398">
        <v>0</v>
      </c>
      <c r="AR16" s="273">
        <v>1</v>
      </c>
      <c r="AS16" s="398">
        <v>0</v>
      </c>
      <c r="AT16" s="89">
        <f>AVERAGE(AN16,AP16,AR16)</f>
        <v>1</v>
      </c>
      <c r="AU16" s="89">
        <f>IFERROR(AVERAGE(AO16,AQ16,AS16),0)</f>
        <v>0</v>
      </c>
      <c r="AV16" s="89">
        <f>AVERAGE(P16,R16,T16,X16,Z16,AB16,AF16,AH16,AJ16,AN16,AP16,AR16)</f>
        <v>1</v>
      </c>
      <c r="AW16" s="334">
        <f>IFERROR(IF(OR($AV$16="",$AV$16=0),0,ROUNDDOWN(AVERAGE($Q16,$S16,$U16),3)),0)</f>
        <v>1</v>
      </c>
      <c r="AX16" s="334">
        <f>IFERROR(IF(OR($AV$17="",$AV$17=0),0,ROUNDDOWN(AVERAGE($Q16,$S16,$U16,$Y16,$AA16,$AC16),3)),0)</f>
        <v>1</v>
      </c>
      <c r="AY16" s="676">
        <f>IFERROR(IF(OR($AV$16="",$AV$16=0),0,ROUNDDOWN(AVERAGE($Q16,$S16,$U16,$Y16,$AA16,$AC16,$AG16,$AI16,$AK16),3)),0)</f>
        <v>1</v>
      </c>
      <c r="AZ16" s="379">
        <f t="shared" ref="AZ16:AZ17" si="0">IFERROR(IF(OR($AV$16="",$AV$16=0),0,ROUNDDOWN(AVERAGE($Q16,$S16,$U16,$Y16,$AA16,$AC16,$AG16,$AI16,$AK16,$AO16,$AQ16,$AS16),3)),0)</f>
        <v>0.75</v>
      </c>
      <c r="BA16" s="381">
        <f>(IF(AND(AW16&gt;0,$AV16&gt;0),AW16/$AV16,0))*0.25</f>
        <v>0.25</v>
      </c>
      <c r="BB16" s="381">
        <f>(IF(AND(AX16&gt;0,$AV16&gt;0),AX16/$AV16,0))*0.5</f>
        <v>0.5</v>
      </c>
      <c r="BC16" s="381">
        <f>(IF(AND(AY16&gt;0,$AV16&gt;0),AY16/$AV16,0))*0.75</f>
        <v>0.75</v>
      </c>
      <c r="BD16" s="381">
        <f>(IF(AND(AZ16&gt;0,$AV16&gt;0),AZ16/$AV16,0))*1</f>
        <v>0.75</v>
      </c>
      <c r="BE16" s="390">
        <f t="shared" ref="BE16:BE18" si="1">((IF(AND(AW16&gt;0,$F16&gt;0),AW16/$F16,0))/4)*0.25</f>
        <v>6.25E-2</v>
      </c>
      <c r="BF16" s="390">
        <f t="shared" ref="BF16:BF18" si="2">((IF(AND(AX16&gt;0,$F16&gt;0),AX16/$F16,0))/4)*0.5</f>
        <v>0.125</v>
      </c>
      <c r="BG16" s="689">
        <f t="shared" ref="BG16:BG18" si="3">((IF(AND(AY16&gt;0,$F16&gt;0),AY16/$F16,0))/4)*0.75</f>
        <v>0.1875</v>
      </c>
      <c r="BH16" s="391">
        <f t="shared" ref="BH16:BH19" si="4">((IF(AND(AZ16&gt;0,$F16&gt;0),AZ16/$F16,0))/4)</f>
        <v>0.1875</v>
      </c>
    </row>
    <row r="17" spans="2:60" ht="367.2" customHeight="1">
      <c r="B17" s="1667"/>
      <c r="C17" s="1667"/>
      <c r="D17" s="31" t="str">
        <f>+'01-FR-03 POA INSTITUCIONAL'!D63</f>
        <v xml:space="preserve">4.3.2 Incluir el 97% de las Novedades en la nómina oportunamente, para liquidación y pago </v>
      </c>
      <c r="E17" s="52">
        <f>+'01-FR-03 POA INSTITUCIONAL'!E63</f>
        <v>0.1</v>
      </c>
      <c r="F17" s="52">
        <f>+'01-FR-03 POA INSTITUCIONAL'!F63</f>
        <v>0.97</v>
      </c>
      <c r="G17" s="52">
        <f>+'01-FR-03 POA INSTITUCIONAL'!K63</f>
        <v>0.97</v>
      </c>
      <c r="H17" s="52">
        <f>+'01-FR-03 POA INSTITUCIONAL'!G63</f>
        <v>0.97</v>
      </c>
      <c r="I17" s="140" t="str">
        <f>+'01-FR-03 POA INSTITUCIONAL'!H63</f>
        <v xml:space="preserve">Novedades incluidas en la nómina  oportunamente  </v>
      </c>
      <c r="J17" s="290" t="s">
        <v>452</v>
      </c>
      <c r="K17" s="291" t="s">
        <v>453</v>
      </c>
      <c r="L17" s="292" t="s">
        <v>454</v>
      </c>
      <c r="M17" s="221" t="s">
        <v>450</v>
      </c>
      <c r="N17" s="221" t="s">
        <v>455</v>
      </c>
      <c r="O17" s="523" t="str">
        <f>+'01-FR-03 POA INSTITUCIONAL'!J63</f>
        <v>Dependencia Líder: 
Dirección de Talento Humano
Dependencia Operativa:
Subdirección de Gestión del Talento Humano</v>
      </c>
      <c r="P17" s="273">
        <v>0.97</v>
      </c>
      <c r="Q17" s="145">
        <v>1</v>
      </c>
      <c r="R17" s="145">
        <v>0.97</v>
      </c>
      <c r="S17" s="349">
        <v>1</v>
      </c>
      <c r="T17" s="145">
        <v>0.97</v>
      </c>
      <c r="U17" s="349">
        <v>0.98199999999999998</v>
      </c>
      <c r="V17" s="66">
        <f>AVERAGE(P17,R17,T17)</f>
        <v>0.97000000000000008</v>
      </c>
      <c r="W17" s="350">
        <f>IFERROR(AVERAGE(Q17,S17,U17),0)</f>
        <v>0.99400000000000011</v>
      </c>
      <c r="X17" s="145">
        <v>0.97</v>
      </c>
      <c r="Y17" s="349">
        <v>0.98499999999999999</v>
      </c>
      <c r="Z17" s="145">
        <v>0.97</v>
      </c>
      <c r="AA17" s="349">
        <v>0.98399999999999999</v>
      </c>
      <c r="AB17" s="145">
        <v>0.97</v>
      </c>
      <c r="AC17" s="349">
        <v>0.94199999999999995</v>
      </c>
      <c r="AD17" s="66">
        <f>AVERAGE(X17,Z17,AB17)</f>
        <v>0.97000000000000008</v>
      </c>
      <c r="AE17" s="66">
        <f>IFERROR(AVERAGE(Y17,AA17,AC17),0)</f>
        <v>0.97033333333333316</v>
      </c>
      <c r="AF17" s="145">
        <v>0.97</v>
      </c>
      <c r="AG17" s="682">
        <v>0.96799999999999997</v>
      </c>
      <c r="AH17" s="684">
        <v>0.97</v>
      </c>
      <c r="AI17" s="682">
        <v>0.97299999999999998</v>
      </c>
      <c r="AJ17" s="684">
        <v>0.97</v>
      </c>
      <c r="AK17" s="681">
        <v>0.96399999999999997</v>
      </c>
      <c r="AL17" s="350">
        <f>AVERAGE(AF17,AH17,AJ17)</f>
        <v>0.97000000000000008</v>
      </c>
      <c r="AM17" s="350">
        <f>IFERROR(AVERAGE(AG17,AI17,AK17),0)</f>
        <v>0.96833333333333327</v>
      </c>
      <c r="AN17" s="145">
        <v>0.97</v>
      </c>
      <c r="AO17" s="398">
        <v>0</v>
      </c>
      <c r="AP17" s="145">
        <v>0.97</v>
      </c>
      <c r="AQ17" s="398">
        <v>0</v>
      </c>
      <c r="AR17" s="145">
        <v>0.97</v>
      </c>
      <c r="AS17" s="398">
        <v>0</v>
      </c>
      <c r="AT17" s="66">
        <f>AVERAGE(AN17,AP17,AR17)</f>
        <v>0.97000000000000008</v>
      </c>
      <c r="AU17" s="66">
        <f>IFERROR(AVERAGE(AO17,AQ17,AS17),0)</f>
        <v>0</v>
      </c>
      <c r="AV17" s="66">
        <f>AVERAGE(P17,R17,T17,X17,Z17,AB17,AF17,AH17,AJ17,AN17,AP17,AR17)</f>
        <v>0.97000000000000008</v>
      </c>
      <c r="AW17" s="334">
        <f>IFERROR(IF(OR($AV$16="",$AV$16=0),0,ROUNDDOWN(AVERAGE($Q17,$S17,$U17),3)),0)</f>
        <v>0.99399999999999999</v>
      </c>
      <c r="AX17" s="334">
        <f>IFERROR(IF(OR($AV$17="",$AV$17=0),0,ROUNDDOWN(AVERAGE($Q17,$S17,$U17,$Y17,$AA17,$AC17),3)),0)</f>
        <v>0.98199999999999998</v>
      </c>
      <c r="AY17" s="676">
        <f>IFERROR(IF(OR($AV$16="",$AV$16=0),0,ROUNDDOWN(AVERAGE($Q17,$S17,$U17,$Y17,$AA17,$AC17,$AG17,$AI17,$AK17),3)),0)</f>
        <v>0.97699999999999998</v>
      </c>
      <c r="AZ17" s="379">
        <f t="shared" si="0"/>
        <v>0.73299999999999998</v>
      </c>
      <c r="BA17" s="381">
        <f t="shared" ref="BA17" si="5">(IF(AND(AW17&gt;0,$AV17&gt;0),AW17/$AV17,0))*0.25</f>
        <v>0.25618556701030926</v>
      </c>
      <c r="BB17" s="381">
        <f t="shared" ref="BB17" si="6">(IF(AND(AX17&gt;0,$AV17&gt;0),AX17/$AV17,0))*0.5</f>
        <v>0.50618556701030926</v>
      </c>
      <c r="BC17" s="381">
        <f t="shared" ref="BC17" si="7">(IF(AND(AY17&gt;0,$AV17&gt;0),AY17/$AV17,0))*0.75</f>
        <v>0.7554123711340206</v>
      </c>
      <c r="BD17" s="381">
        <f t="shared" ref="BD17" si="8">(IF(AND(AZ17&gt;0,$AV17&gt;0),AZ17/$AV17,0))*1</f>
        <v>0.75567010309278337</v>
      </c>
      <c r="BE17" s="390">
        <f t="shared" si="1"/>
        <v>6.4046391752577314E-2</v>
      </c>
      <c r="BF17" s="390">
        <f t="shared" si="2"/>
        <v>0.12654639175257731</v>
      </c>
      <c r="BG17" s="689">
        <f t="shared" si="3"/>
        <v>0.18885309278350515</v>
      </c>
      <c r="BH17" s="391">
        <f t="shared" si="4"/>
        <v>0.18891752577319587</v>
      </c>
    </row>
    <row r="18" spans="2:60" ht="184.8">
      <c r="B18" s="1667"/>
      <c r="C18" s="1667"/>
      <c r="D18" s="31" t="str">
        <f>+'01-FR-03 POA INSTITUCIONAL'!D64</f>
        <v xml:space="preserve">4.3.3 Lograr el 90 % de usuarios internos  satisfechos con las solicitudes de servicios atendidas de la SGTH (Certificaciones laborales, bonos pensionales y autorizaciones de retiro de cesantías). </v>
      </c>
      <c r="E18" s="52">
        <f>+'01-FR-03 POA INSTITUCIONAL'!E64</f>
        <v>0.1</v>
      </c>
      <c r="F18" s="52">
        <f>+'01-FR-03 POA INSTITUCIONAL'!F64</f>
        <v>0.9</v>
      </c>
      <c r="G18" s="52">
        <f>+'01-FR-03 POA INSTITUCIONAL'!K64</f>
        <v>0.9</v>
      </c>
      <c r="H18" s="52" t="str">
        <f>+'01-FR-03 POA INSTITUCIONAL'!G64</f>
        <v>S.I.</v>
      </c>
      <c r="I18" s="140" t="str">
        <f>+'01-FR-03 POA INSTITUCIONAL'!H64</f>
        <v>Porcentaje de Usuarios internos satisfechos con las solicitudes de los servicios atendidas de la SGTH (Certificaciones laborales, bonos pensionales y autorizaciones de retiro de cesantías)</v>
      </c>
      <c r="J18" s="218" t="s">
        <v>456</v>
      </c>
      <c r="K18" s="291" t="s">
        <v>457</v>
      </c>
      <c r="L18" s="192" t="s">
        <v>458</v>
      </c>
      <c r="M18" s="221" t="s">
        <v>450</v>
      </c>
      <c r="N18" s="221" t="s">
        <v>451</v>
      </c>
      <c r="O18" s="523" t="str">
        <f>+'01-FR-03 POA INSTITUCIONAL'!J64</f>
        <v>Dependencia Líder: 
Dirección de Talento Humano
Dependencia Operativa:
Subdirección de Gestión del Talento Humano</v>
      </c>
      <c r="P18" s="273">
        <v>0</v>
      </c>
      <c r="Q18" s="349">
        <v>0</v>
      </c>
      <c r="R18" s="145">
        <v>0</v>
      </c>
      <c r="S18" s="349">
        <v>0</v>
      </c>
      <c r="T18" s="145">
        <v>0</v>
      </c>
      <c r="U18" s="349">
        <v>0</v>
      </c>
      <c r="V18" s="66">
        <f>IFERROR(AVERAGE(P18,R18,T18),0)</f>
        <v>0</v>
      </c>
      <c r="W18" s="350">
        <f>IFERROR(ROUNDDOWN(AVERAGE(Q18,S18,U18),3),0)</f>
        <v>0</v>
      </c>
      <c r="X18" s="145">
        <v>0.9</v>
      </c>
      <c r="Y18" s="349">
        <v>0.91400000000000003</v>
      </c>
      <c r="Z18" s="145">
        <v>0.9</v>
      </c>
      <c r="AA18" s="349">
        <v>0.97499999999999998</v>
      </c>
      <c r="AB18" s="145">
        <v>0.9</v>
      </c>
      <c r="AC18" s="349">
        <v>0.95699999999999996</v>
      </c>
      <c r="AD18" s="66">
        <f>AVERAGE(X18,Z18,AB18)</f>
        <v>0.9</v>
      </c>
      <c r="AE18" s="350">
        <f>IFERROR(ROUNDDOWN(AVERAGE(Y18,AA18,AC18),3),0)</f>
        <v>0.94799999999999995</v>
      </c>
      <c r="AF18" s="145">
        <v>0.9</v>
      </c>
      <c r="AG18" s="682">
        <v>0.97</v>
      </c>
      <c r="AH18" s="684">
        <v>0.9</v>
      </c>
      <c r="AI18" s="682">
        <v>0.97299999999999998</v>
      </c>
      <c r="AJ18" s="684">
        <v>0.9</v>
      </c>
      <c r="AK18" s="681">
        <v>0.96799999999999997</v>
      </c>
      <c r="AL18" s="66">
        <f>AVERAGE(AF18,AH18,AJ18)</f>
        <v>0.9</v>
      </c>
      <c r="AM18" s="350">
        <f>IFERROR(ROUNDDOWN(AVERAGE(AG18,AI18,AK18),3),0)</f>
        <v>0.97</v>
      </c>
      <c r="AN18" s="145">
        <v>0.9</v>
      </c>
      <c r="AO18" s="398">
        <v>0</v>
      </c>
      <c r="AP18" s="145">
        <v>0.9</v>
      </c>
      <c r="AQ18" s="398">
        <v>0</v>
      </c>
      <c r="AR18" s="145">
        <v>0.9</v>
      </c>
      <c r="AS18" s="398">
        <v>0</v>
      </c>
      <c r="AT18" s="66">
        <f>AVERAGE(AN18,AP18,AR18)</f>
        <v>0.9</v>
      </c>
      <c r="AU18" s="350">
        <f>IFERROR(ROUNDDOWN(AVERAGE(AO18,AQ18,AS18),3),0)</f>
        <v>0</v>
      </c>
      <c r="AV18" s="66">
        <f>AVERAGE(X18,Z18,AB18,AF18,AH18,AJ18,AN18,AP18,AR18)</f>
        <v>0.90000000000000013</v>
      </c>
      <c r="AW18" s="334">
        <f>IFERROR(IF(OR($AV$16="",$AV$16=0),0,ROUNDDOWN(AVERAGE($Q18,$S18,$U18),3)),0)</f>
        <v>0</v>
      </c>
      <c r="AX18" s="334">
        <f>IFERROR(IF(OR($AV$17="",$AV$17=0),0,ROUNDDOWN(AVERAGE($Y18,$AA18,$AC18),3)),0)</f>
        <v>0.94799999999999995</v>
      </c>
      <c r="AY18" s="676">
        <f>IFERROR(IF(OR($AV$16="",$AV$16=0),0,ROUNDDOWN(AVERAGE($Y18,$AA18,$AC18,$AG18,$AI18,$AK18),3)),0)</f>
        <v>0.95899999999999996</v>
      </c>
      <c r="AZ18" s="379">
        <f>IFERROR(IF(OR($AV$16="",$AV$16=0),0,ROUNDDOWN(AVERAGE($Y18,$AA18,$AC18,$AG18,$AI18,$AK18,$AO18,$AQ18,$AS18),3)),0)</f>
        <v>0.63900000000000001</v>
      </c>
      <c r="BA18" s="381">
        <f t="shared" ref="BA18" si="9">(IF(AND(AW18&gt;0,$AV18&gt;0),AW18/$AV18,0))*0.25</f>
        <v>0</v>
      </c>
      <c r="BB18" s="381">
        <f t="shared" ref="BB18" si="10">(IF(AND(AX18&gt;0,$AV18&gt;0),AX18/$AV18,0))*0.5</f>
        <v>0.52666666666666662</v>
      </c>
      <c r="BC18" s="381">
        <f t="shared" ref="BC18" si="11">(IF(AND(AY18&gt;0,$AV18&gt;0),AY18/$AV18,0))*0.75</f>
        <v>0.79916666666666658</v>
      </c>
      <c r="BD18" s="381">
        <f t="shared" ref="BD18" si="12">(IF(AND(AZ18&gt;0,$AV18&gt;0),AZ18/$AV18,0))*1</f>
        <v>0.70999999999999985</v>
      </c>
      <c r="BE18" s="390">
        <f t="shared" si="1"/>
        <v>0</v>
      </c>
      <c r="BF18" s="390">
        <f t="shared" si="2"/>
        <v>0.13166666666666665</v>
      </c>
      <c r="BG18" s="689">
        <f t="shared" si="3"/>
        <v>0.19979166666666667</v>
      </c>
      <c r="BH18" s="391">
        <f t="shared" si="4"/>
        <v>0.17749999999999999</v>
      </c>
    </row>
    <row r="19" spans="2:60" ht="199.2" customHeight="1">
      <c r="B19" s="1667"/>
      <c r="C19" s="1667"/>
      <c r="D19" s="31" t="str">
        <f>+'01-FR-03 POA INSTITUCIONAL'!D65</f>
        <v xml:space="preserve">4.3.4 Formular e implementar el 100% del Plan Institucional de Capacitación de la vigencia.
</v>
      </c>
      <c r="E19" s="52">
        <f>+'01-FR-03 POA INSTITUCIONAL'!E65</f>
        <v>0.15</v>
      </c>
      <c r="F19" s="52">
        <f>+'01-FR-03 POA INSTITUCIONAL'!F65</f>
        <v>1</v>
      </c>
      <c r="G19" s="52">
        <f>+'01-FR-03 POA INSTITUCIONAL'!K65</f>
        <v>1</v>
      </c>
      <c r="H19" s="52">
        <f>+'01-FR-03 POA INSTITUCIONAL'!G65</f>
        <v>1</v>
      </c>
      <c r="I19" s="140" t="str">
        <f>+'01-FR-03 POA INSTITUCIONAL'!H65</f>
        <v>Plan Institucional de Capacitación formulado y ejecutado</v>
      </c>
      <c r="J19" s="293" t="s">
        <v>471</v>
      </c>
      <c r="K19" s="294" t="s">
        <v>459</v>
      </c>
      <c r="L19" s="241" t="s">
        <v>460</v>
      </c>
      <c r="M19" s="221" t="s">
        <v>476</v>
      </c>
      <c r="N19" s="221" t="s">
        <v>461</v>
      </c>
      <c r="O19" s="523" t="str">
        <f>+'01-FR-03 POA INSTITUCIONAL'!J65</f>
        <v>Dependencia Líder: 
Dirección de Talento Humano
Dependencia Operativa:
Subdirección de Desarrollo del Talento Humano</v>
      </c>
      <c r="P19" s="295">
        <v>0.1</v>
      </c>
      <c r="Q19" s="355">
        <v>0.1</v>
      </c>
      <c r="R19" s="355">
        <v>0.114</v>
      </c>
      <c r="S19" s="349">
        <v>0.1</v>
      </c>
      <c r="T19" s="349">
        <v>2.7E-2</v>
      </c>
      <c r="U19" s="349">
        <v>4.1000000000000002E-2</v>
      </c>
      <c r="V19" s="354">
        <f>+P19+R19+T19</f>
        <v>0.24100000000000002</v>
      </c>
      <c r="W19" s="354">
        <f>+Q19+S19+U19</f>
        <v>0.24100000000000002</v>
      </c>
      <c r="X19" s="353">
        <v>0.11</v>
      </c>
      <c r="Y19" s="353">
        <v>4.1200000000000001E-2</v>
      </c>
      <c r="Z19" s="353">
        <v>9.6000000000000002E-2</v>
      </c>
      <c r="AA19" s="353">
        <v>5.4899999999999997E-2</v>
      </c>
      <c r="AB19" s="353">
        <v>6.9000000000000006E-2</v>
      </c>
      <c r="AC19" s="349">
        <v>0.16500000000000001</v>
      </c>
      <c r="AD19" s="350">
        <f>+X19+Z19+AB19</f>
        <v>0.27500000000000002</v>
      </c>
      <c r="AE19" s="350">
        <f>+Y19+AA19+AC19</f>
        <v>0.2611</v>
      </c>
      <c r="AF19" s="349">
        <v>6.9000000000000006E-2</v>
      </c>
      <c r="AG19" s="1008">
        <v>4.1200000000000001E-2</v>
      </c>
      <c r="AH19" s="682">
        <v>5.5E-2</v>
      </c>
      <c r="AI19" s="1008">
        <v>0.10979999999999999</v>
      </c>
      <c r="AJ19" s="681">
        <v>4.1000000000000002E-2</v>
      </c>
      <c r="AK19" s="1009">
        <v>1.37E-2</v>
      </c>
      <c r="AL19" s="354">
        <f>+AF19+AH19+AJ19</f>
        <v>0.16500000000000001</v>
      </c>
      <c r="AM19" s="354">
        <f>+AG19+AI19+AK19</f>
        <v>0.16469999999999999</v>
      </c>
      <c r="AN19" s="450">
        <v>0.16450000000000001</v>
      </c>
      <c r="AO19" s="353"/>
      <c r="AP19" s="450">
        <v>5.45E-2</v>
      </c>
      <c r="AQ19" s="353"/>
      <c r="AR19" s="349">
        <v>0.1</v>
      </c>
      <c r="AS19" s="349"/>
      <c r="AT19" s="350">
        <f>+AN19+AP19+AR19</f>
        <v>0.31900000000000001</v>
      </c>
      <c r="AU19" s="350">
        <f>+AO19+AQ19+AS19</f>
        <v>0</v>
      </c>
      <c r="AV19" s="354">
        <f t="shared" ref="AV19:AV22" si="13">V19+AD19+AL19+AT19</f>
        <v>1</v>
      </c>
      <c r="AW19" s="334">
        <f t="shared" ref="AW19:AW22" si="14">+W19</f>
        <v>0.24100000000000002</v>
      </c>
      <c r="AX19" s="360">
        <f t="shared" ref="AX19:AX22" si="15">+W19+AE19</f>
        <v>0.50209999999999999</v>
      </c>
      <c r="AY19" s="676">
        <f t="shared" ref="AY19:AY22" si="16">+W19+AE19+AM19</f>
        <v>0.66679999999999995</v>
      </c>
      <c r="AZ19" s="379">
        <f t="shared" ref="AZ19:AZ22" si="17">+W19+AE19+AM19+AU19</f>
        <v>0.66679999999999995</v>
      </c>
      <c r="BA19" s="381">
        <f t="shared" ref="BA19:BA23" si="18">IF(AND(AW19&gt;0,AV19&gt;0),AW19/AV19,0)</f>
        <v>0.24100000000000002</v>
      </c>
      <c r="BB19" s="381">
        <f t="shared" ref="BB19:BD23" si="19">IF(AND(AX19&gt;0,$AV19&gt;0),AX19/$AV19,0)</f>
        <v>0.50209999999999999</v>
      </c>
      <c r="BC19" s="381">
        <f t="shared" si="19"/>
        <v>0.66679999999999995</v>
      </c>
      <c r="BD19" s="440">
        <f t="shared" si="19"/>
        <v>0.66679999999999995</v>
      </c>
      <c r="BE19" s="390">
        <f>((IF(AND(AW19&gt;0,$F19&gt;0),AW19/$F19,0))/4)</f>
        <v>6.0250000000000005E-2</v>
      </c>
      <c r="BF19" s="390">
        <f t="shared" ref="BF19:BG19" si="20">((IF(AND(AX19&gt;0,$F19&gt;0),AX19/$F19,0))/4)</f>
        <v>0.125525</v>
      </c>
      <c r="BG19" s="689">
        <f t="shared" si="20"/>
        <v>0.16669999999999999</v>
      </c>
      <c r="BH19" s="391">
        <f t="shared" si="4"/>
        <v>0.16669999999999999</v>
      </c>
    </row>
    <row r="20" spans="2:60" ht="158.4">
      <c r="B20" s="1667"/>
      <c r="C20" s="1667"/>
      <c r="D20" s="31" t="str">
        <f>+'01-FR-03 POA INSTITUCIONAL'!D66</f>
        <v>4.3.5 Formular e implementar el 100% del Plan Institucional de Bienestar de la vigencia .</v>
      </c>
      <c r="E20" s="52">
        <f>+'01-FR-03 POA INSTITUCIONAL'!E66</f>
        <v>0.15</v>
      </c>
      <c r="F20" s="52">
        <f>+'01-FR-03 POA INSTITUCIONAL'!F66</f>
        <v>1</v>
      </c>
      <c r="G20" s="52">
        <f>+'01-FR-03 POA INSTITUCIONAL'!K66</f>
        <v>1</v>
      </c>
      <c r="H20" s="52">
        <f>+'01-FR-03 POA INSTITUCIONAL'!G66</f>
        <v>1</v>
      </c>
      <c r="I20" s="140" t="str">
        <f>+'01-FR-03 POA INSTITUCIONAL'!H66</f>
        <v>Plan Institucional de Bienestar formulado y ejecutado</v>
      </c>
      <c r="J20" s="293" t="s">
        <v>472</v>
      </c>
      <c r="K20" s="296" t="s">
        <v>462</v>
      </c>
      <c r="L20" s="241" t="s">
        <v>463</v>
      </c>
      <c r="M20" s="221" t="s">
        <v>476</v>
      </c>
      <c r="N20" s="221" t="s">
        <v>461</v>
      </c>
      <c r="O20" s="523" t="str">
        <f>+'01-FR-03 POA INSTITUCIONAL'!J66</f>
        <v>Dependencia Líder: 
Dirección de Talento Humano
Dependencia Operativa:
Subdirección de Desarrollo del Talento Humano</v>
      </c>
      <c r="P20" s="351">
        <v>0.1</v>
      </c>
      <c r="Q20" s="352">
        <v>0.1</v>
      </c>
      <c r="R20" s="352">
        <v>0.15</v>
      </c>
      <c r="S20" s="353">
        <v>0.15</v>
      </c>
      <c r="T20" s="353">
        <v>5.8000000000000003E-2</v>
      </c>
      <c r="U20" s="353">
        <v>5.8000000000000003E-2</v>
      </c>
      <c r="V20" s="354">
        <f t="shared" ref="V20:V22" si="21">+P20+R20+T20</f>
        <v>0.308</v>
      </c>
      <c r="W20" s="354">
        <f t="shared" ref="W20:W22" si="22">+Q20+S20+U20</f>
        <v>0.308</v>
      </c>
      <c r="X20" s="353">
        <v>5.8000000000000003E-2</v>
      </c>
      <c r="Y20" s="353">
        <v>5.8000000000000003E-2</v>
      </c>
      <c r="Z20" s="353">
        <v>5.8000000000000003E-2</v>
      </c>
      <c r="AA20" s="353">
        <v>2.86E-2</v>
      </c>
      <c r="AB20" s="353">
        <v>7.0999999999999994E-2</v>
      </c>
      <c r="AC20" s="353">
        <v>0.115</v>
      </c>
      <c r="AD20" s="354">
        <f t="shared" ref="AD20:AD22" si="23">+X20+Z20+AB20</f>
        <v>0.187</v>
      </c>
      <c r="AE20" s="354">
        <f t="shared" ref="AE20:AE22" si="24">+Y20+AA20+AC20</f>
        <v>0.2016</v>
      </c>
      <c r="AF20" s="353">
        <v>6.7000000000000004E-2</v>
      </c>
      <c r="AG20" s="1008">
        <v>0.1143</v>
      </c>
      <c r="AH20" s="1008">
        <v>6.3E-2</v>
      </c>
      <c r="AI20" s="1008">
        <v>8.5699999999999998E-2</v>
      </c>
      <c r="AJ20" s="1009">
        <v>6.7000000000000004E-2</v>
      </c>
      <c r="AK20" s="1009">
        <v>0.1</v>
      </c>
      <c r="AL20" s="354">
        <f t="shared" ref="AL20:AL22" si="25">+AF20+AH20+AJ20</f>
        <v>0.19700000000000001</v>
      </c>
      <c r="AM20" s="354">
        <f t="shared" ref="AM20:AM22" si="26">+AG20+AI20+AK20</f>
        <v>0.30000000000000004</v>
      </c>
      <c r="AN20" s="353">
        <v>7.4999999999999997E-2</v>
      </c>
      <c r="AO20" s="353"/>
      <c r="AP20" s="353">
        <v>5.8000000000000003E-2</v>
      </c>
      <c r="AQ20" s="353"/>
      <c r="AR20" s="353">
        <v>0.17499999999999999</v>
      </c>
      <c r="AS20" s="353"/>
      <c r="AT20" s="354">
        <f t="shared" ref="AT20:AT22" si="27">+AN20+AP20+AR20</f>
        <v>0.308</v>
      </c>
      <c r="AU20" s="354">
        <f t="shared" ref="AU20:AU22" si="28">+AO20+AQ20+AS20</f>
        <v>0</v>
      </c>
      <c r="AV20" s="354">
        <f t="shared" si="13"/>
        <v>1</v>
      </c>
      <c r="AW20" s="334">
        <f t="shared" si="14"/>
        <v>0.308</v>
      </c>
      <c r="AX20" s="360">
        <f t="shared" si="15"/>
        <v>0.50960000000000005</v>
      </c>
      <c r="AY20" s="690">
        <f t="shared" si="16"/>
        <v>0.8096000000000001</v>
      </c>
      <c r="AZ20" s="379">
        <f t="shared" si="17"/>
        <v>0.8096000000000001</v>
      </c>
      <c r="BA20" s="381">
        <f t="shared" si="18"/>
        <v>0.308</v>
      </c>
      <c r="BB20" s="381">
        <f t="shared" si="19"/>
        <v>0.50960000000000005</v>
      </c>
      <c r="BC20" s="381">
        <f t="shared" si="19"/>
        <v>0.8096000000000001</v>
      </c>
      <c r="BD20" s="381">
        <f t="shared" si="19"/>
        <v>0.8096000000000001</v>
      </c>
      <c r="BE20" s="390">
        <f t="shared" ref="BE20:BE22" si="29">((IF(AND(AW20&gt;0,$F20&gt;0),AW20/$F20,0))/4)</f>
        <v>7.6999999999999999E-2</v>
      </c>
      <c r="BF20" s="390">
        <f t="shared" ref="BF20:BF22" si="30">((IF(AND(AX20&gt;0,$F20&gt;0),AX20/$F20,0))/4)</f>
        <v>0.12740000000000001</v>
      </c>
      <c r="BG20" s="689">
        <f t="shared" ref="BG20:BG22" si="31">((IF(AND(AY20&gt;0,$F20&gt;0),AY20/$F20,0))/4)</f>
        <v>0.20240000000000002</v>
      </c>
      <c r="BH20" s="391">
        <f t="shared" ref="BH20:BH22" si="32">((IF(AND(AZ20&gt;0,$F20&gt;0),AZ20/$F20,0))/4)</f>
        <v>0.20240000000000002</v>
      </c>
    </row>
    <row r="21" spans="2:60" ht="156.6" customHeight="1">
      <c r="B21" s="1667"/>
      <c r="C21" s="1667"/>
      <c r="D21" s="31" t="str">
        <f>+'01-FR-03 POA INSTITUCIONAL'!D67</f>
        <v>4.3.6 Formular e implementar el 100% del Plan Institucional de Incentivos de la vigencia.</v>
      </c>
      <c r="E21" s="52">
        <f>+'01-FR-03 POA INSTITUCIONAL'!E67</f>
        <v>0.15</v>
      </c>
      <c r="F21" s="52">
        <f>+'01-FR-03 POA INSTITUCIONAL'!F67</f>
        <v>1</v>
      </c>
      <c r="G21" s="52">
        <f>+'01-FR-03 POA INSTITUCIONAL'!K67</f>
        <v>1</v>
      </c>
      <c r="H21" s="52">
        <f>+'01-FR-03 POA INSTITUCIONAL'!G67</f>
        <v>1</v>
      </c>
      <c r="I21" s="140" t="str">
        <f>+'01-FR-03 POA INSTITUCIONAL'!H67</f>
        <v>Plan Institucional de Incentivos formulado y ejecutado</v>
      </c>
      <c r="J21" s="293" t="s">
        <v>473</v>
      </c>
      <c r="K21" s="296" t="s">
        <v>464</v>
      </c>
      <c r="L21" s="241" t="s">
        <v>463</v>
      </c>
      <c r="M21" s="221" t="s">
        <v>476</v>
      </c>
      <c r="N21" s="221" t="s">
        <v>461</v>
      </c>
      <c r="O21" s="523" t="str">
        <f>+'01-FR-03 POA INSTITUCIONAL'!J67</f>
        <v>Dependencia Líder: 
Dirección de Talento Humano
Dependencia Operativa:
Subdirección de Desarrollo del Talento Humano</v>
      </c>
      <c r="P21" s="352">
        <v>0.1</v>
      </c>
      <c r="Q21" s="352">
        <v>0.1</v>
      </c>
      <c r="R21" s="352">
        <v>0.14799999999999999</v>
      </c>
      <c r="S21" s="353">
        <v>0.1</v>
      </c>
      <c r="T21" s="353">
        <v>1.6250000000000001E-2</v>
      </c>
      <c r="U21" s="353">
        <v>4.8000000000000001E-2</v>
      </c>
      <c r="V21" s="354">
        <f t="shared" si="21"/>
        <v>0.26424999999999998</v>
      </c>
      <c r="W21" s="354">
        <f t="shared" si="22"/>
        <v>0.248</v>
      </c>
      <c r="X21" s="353">
        <v>1.6250000000000001E-2</v>
      </c>
      <c r="Y21" s="353">
        <v>3.1800000000000002E-2</v>
      </c>
      <c r="Z21" s="353">
        <v>0.111</v>
      </c>
      <c r="AA21" s="353">
        <v>0</v>
      </c>
      <c r="AB21" s="353">
        <v>4.8000000000000001E-2</v>
      </c>
      <c r="AC21" s="353">
        <v>1.6E-2</v>
      </c>
      <c r="AD21" s="354">
        <f t="shared" si="23"/>
        <v>0.17525000000000002</v>
      </c>
      <c r="AE21" s="354">
        <f t="shared" si="24"/>
        <v>4.7800000000000002E-2</v>
      </c>
      <c r="AF21" s="353">
        <v>1.6250000000000001E-2</v>
      </c>
      <c r="AG21" s="1008">
        <v>3.1800000000000002E-2</v>
      </c>
      <c r="AH21" s="1008">
        <v>9.5000000000000001E-2</v>
      </c>
      <c r="AI21" s="1008">
        <v>7.9500000000000001E-2</v>
      </c>
      <c r="AJ21" s="1008">
        <v>1.6250000000000001E-2</v>
      </c>
      <c r="AK21" s="1009">
        <v>0.1114</v>
      </c>
      <c r="AL21" s="354">
        <f t="shared" si="25"/>
        <v>0.1275</v>
      </c>
      <c r="AM21" s="354">
        <f t="shared" si="26"/>
        <v>0.22270000000000001</v>
      </c>
      <c r="AN21" s="353">
        <v>9.5000000000000001E-2</v>
      </c>
      <c r="AO21" s="353"/>
      <c r="AP21" s="353">
        <v>0.127</v>
      </c>
      <c r="AQ21" s="353"/>
      <c r="AR21" s="353">
        <v>0.21099999999999999</v>
      </c>
      <c r="AS21" s="353"/>
      <c r="AT21" s="354">
        <f t="shared" si="27"/>
        <v>0.433</v>
      </c>
      <c r="AU21" s="354">
        <f t="shared" si="28"/>
        <v>0</v>
      </c>
      <c r="AV21" s="354">
        <f t="shared" si="13"/>
        <v>1</v>
      </c>
      <c r="AW21" s="334">
        <f t="shared" si="14"/>
        <v>0.248</v>
      </c>
      <c r="AX21" s="360">
        <f t="shared" si="15"/>
        <v>0.29580000000000001</v>
      </c>
      <c r="AY21" s="676">
        <f t="shared" si="16"/>
        <v>0.51849999999999996</v>
      </c>
      <c r="AZ21" s="379">
        <f t="shared" si="17"/>
        <v>0.51849999999999996</v>
      </c>
      <c r="BA21" s="381">
        <f t="shared" si="18"/>
        <v>0.248</v>
      </c>
      <c r="BB21" s="440">
        <f t="shared" si="19"/>
        <v>0.29580000000000001</v>
      </c>
      <c r="BC21" s="440">
        <f t="shared" si="19"/>
        <v>0.51849999999999996</v>
      </c>
      <c r="BD21" s="440">
        <f t="shared" si="19"/>
        <v>0.51849999999999996</v>
      </c>
      <c r="BE21" s="390">
        <f t="shared" si="29"/>
        <v>6.2E-2</v>
      </c>
      <c r="BF21" s="390">
        <f t="shared" si="30"/>
        <v>7.3950000000000002E-2</v>
      </c>
      <c r="BG21" s="689">
        <f t="shared" si="31"/>
        <v>0.12962499999999999</v>
      </c>
      <c r="BH21" s="391">
        <f t="shared" si="32"/>
        <v>0.12962499999999999</v>
      </c>
    </row>
    <row r="22" spans="2:60" ht="174" customHeight="1">
      <c r="B22" s="1667"/>
      <c r="C22" s="1667"/>
      <c r="D22" s="31" t="str">
        <f>+'01-FR-03 POA INSTITUCIONAL'!D68</f>
        <v>4.3.7 Diseñar e implementar el 100 % del Plan Anual de Trabajo del Sistema de Gestión de Seguridad y Salud en el Trabajo SG-SST de la vigencia.</v>
      </c>
      <c r="E22" s="52">
        <f>+'01-FR-03 POA INSTITUCIONAL'!E68</f>
        <v>0.15</v>
      </c>
      <c r="F22" s="52">
        <f>+'01-FR-03 POA INSTITUCIONAL'!F68</f>
        <v>1</v>
      </c>
      <c r="G22" s="52">
        <f>+'01-FR-03 POA INSTITUCIONAL'!K68</f>
        <v>1</v>
      </c>
      <c r="H22" s="52">
        <f>+'01-FR-03 POA INSTITUCIONAL'!G68</f>
        <v>0.99</v>
      </c>
      <c r="I22" s="140" t="str">
        <f>+'01-FR-03 POA INSTITUCIONAL'!H68</f>
        <v>Plan Anual de Trabajo del Sistema de Gestión de Seguridad y Salud en el Trabajo SG-SST diseñado y ejecutado</v>
      </c>
      <c r="J22" s="293" t="s">
        <v>474</v>
      </c>
      <c r="K22" s="296" t="s">
        <v>465</v>
      </c>
      <c r="L22" s="241" t="s">
        <v>466</v>
      </c>
      <c r="M22" s="221" t="s">
        <v>476</v>
      </c>
      <c r="N22" s="221" t="s">
        <v>461</v>
      </c>
      <c r="O22" s="523" t="str">
        <f>+'01-FR-03 POA INSTITUCIONAL'!J68</f>
        <v>Dependencia Líder: 
Dirección de Talento Humano
Dependencia Operativa:
Subdirección de Desarrollo del Talento Humano</v>
      </c>
      <c r="P22" s="351">
        <v>0.14799999999999999</v>
      </c>
      <c r="Q22" s="352">
        <v>0.14399999999999999</v>
      </c>
      <c r="R22" s="352">
        <v>0.15225</v>
      </c>
      <c r="S22" s="353">
        <v>0.14399999999999999</v>
      </c>
      <c r="T22" s="353">
        <v>8.8999999999999996E-2</v>
      </c>
      <c r="U22" s="353">
        <v>9.6000000000000002E-2</v>
      </c>
      <c r="V22" s="354">
        <f t="shared" si="21"/>
        <v>0.38924999999999998</v>
      </c>
      <c r="W22" s="354">
        <f t="shared" si="22"/>
        <v>0.38400000000000001</v>
      </c>
      <c r="X22" s="353">
        <v>3.2250000000000001E-2</v>
      </c>
      <c r="Y22" s="353">
        <v>3.6200000000000003E-2</v>
      </c>
      <c r="Z22" s="353">
        <v>1.6E-2</v>
      </c>
      <c r="AA22" s="353">
        <v>1.61E-2</v>
      </c>
      <c r="AB22" s="353">
        <v>9.2999999999999999E-2</v>
      </c>
      <c r="AC22" s="353">
        <v>9.2999999999999999E-2</v>
      </c>
      <c r="AD22" s="354">
        <f t="shared" si="23"/>
        <v>0.14124999999999999</v>
      </c>
      <c r="AE22" s="354">
        <f t="shared" si="24"/>
        <v>0.14529999999999998</v>
      </c>
      <c r="AF22" s="353">
        <v>3.2250000000000001E-2</v>
      </c>
      <c r="AG22" s="1008">
        <v>2.8199999999999999E-2</v>
      </c>
      <c r="AH22" s="1008">
        <v>2.8000000000000001E-2</v>
      </c>
      <c r="AI22" s="1008">
        <v>2.41E-2</v>
      </c>
      <c r="AJ22" s="1009">
        <v>8.4000000000000005E-2</v>
      </c>
      <c r="AK22" s="1009">
        <v>8.4500000000000006E-2</v>
      </c>
      <c r="AL22" s="354">
        <f t="shared" si="25"/>
        <v>0.14424999999999999</v>
      </c>
      <c r="AM22" s="354">
        <f t="shared" si="26"/>
        <v>0.1368</v>
      </c>
      <c r="AN22" s="353">
        <v>3.2250000000000001E-2</v>
      </c>
      <c r="AO22" s="353"/>
      <c r="AP22" s="353">
        <v>1.6E-2</v>
      </c>
      <c r="AQ22" s="353"/>
      <c r="AR22" s="353">
        <v>0.27700000000000002</v>
      </c>
      <c r="AS22" s="353"/>
      <c r="AT22" s="354">
        <f t="shared" si="27"/>
        <v>0.32525000000000004</v>
      </c>
      <c r="AU22" s="354">
        <f t="shared" si="28"/>
        <v>0</v>
      </c>
      <c r="AV22" s="354">
        <f t="shared" si="13"/>
        <v>1</v>
      </c>
      <c r="AW22" s="334">
        <f t="shared" si="14"/>
        <v>0.38400000000000001</v>
      </c>
      <c r="AX22" s="360">
        <f t="shared" si="15"/>
        <v>0.52929999999999999</v>
      </c>
      <c r="AY22" s="676">
        <f t="shared" si="16"/>
        <v>0.66610000000000003</v>
      </c>
      <c r="AZ22" s="379">
        <f t="shared" si="17"/>
        <v>0.66610000000000003</v>
      </c>
      <c r="BA22" s="381">
        <f t="shared" si="18"/>
        <v>0.38400000000000001</v>
      </c>
      <c r="BB22" s="440">
        <f t="shared" si="19"/>
        <v>0.52929999999999999</v>
      </c>
      <c r="BC22" s="440">
        <f t="shared" si="19"/>
        <v>0.66610000000000003</v>
      </c>
      <c r="BD22" s="440">
        <f t="shared" si="19"/>
        <v>0.66610000000000003</v>
      </c>
      <c r="BE22" s="390">
        <f t="shared" si="29"/>
        <v>9.6000000000000002E-2</v>
      </c>
      <c r="BF22" s="390">
        <f t="shared" si="30"/>
        <v>0.132325</v>
      </c>
      <c r="BG22" s="689">
        <f t="shared" si="31"/>
        <v>0.16652500000000001</v>
      </c>
      <c r="BH22" s="391">
        <f t="shared" si="32"/>
        <v>0.16652500000000001</v>
      </c>
    </row>
    <row r="23" spans="2:60" ht="132">
      <c r="B23" s="1668"/>
      <c r="C23" s="1668"/>
      <c r="D23" s="31" t="str">
        <f>+'01-FR-03 POA INSTITUCIONAL'!D69</f>
        <v>4.3.8 Realizar 36 capacitaciones sobre los Sistemas de Gestión y Evaluación del Desempeño Laboral de la Entidad.</v>
      </c>
      <c r="E23" s="52">
        <f>+'01-FR-03 POA INSTITUCIONAL'!E69</f>
        <v>0.1</v>
      </c>
      <c r="F23" s="88">
        <f>+'01-FR-03 POA INSTITUCIONAL'!F69</f>
        <v>36</v>
      </c>
      <c r="G23" s="88">
        <f>+'01-FR-03 POA INSTITUCIONAL'!K69</f>
        <v>9</v>
      </c>
      <c r="H23" s="52" t="str">
        <f>+'01-FR-03 POA INSTITUCIONAL'!G69</f>
        <v>S.I.</v>
      </c>
      <c r="I23" s="140" t="str">
        <f>+'01-FR-03 POA INSTITUCIONAL'!H69</f>
        <v>Capacitaciones realizadas sobre los Sistemas de Gestión y Evaluación del Desempeño Laboral de la Personería de Bogotá, D.C.</v>
      </c>
      <c r="J23" s="218" t="s">
        <v>475</v>
      </c>
      <c r="K23" s="296" t="s">
        <v>467</v>
      </c>
      <c r="L23" s="241" t="s">
        <v>468</v>
      </c>
      <c r="M23" s="221" t="s">
        <v>477</v>
      </c>
      <c r="N23" s="221" t="s">
        <v>469</v>
      </c>
      <c r="O23" s="523" t="str">
        <f>+'01-FR-03 POA INSTITUCIONAL'!J69</f>
        <v>Dirección de Talento Humano</v>
      </c>
      <c r="P23" s="297">
        <v>0</v>
      </c>
      <c r="Q23" s="297">
        <v>0</v>
      </c>
      <c r="R23" s="297">
        <v>3</v>
      </c>
      <c r="S23" s="297">
        <v>3</v>
      </c>
      <c r="T23" s="297">
        <v>0</v>
      </c>
      <c r="U23" s="297">
        <v>0</v>
      </c>
      <c r="V23" s="90">
        <f>+P23+R23+T23</f>
        <v>3</v>
      </c>
      <c r="W23" s="90">
        <f>+Q23+S23+U23</f>
        <v>3</v>
      </c>
      <c r="X23" s="298">
        <v>0</v>
      </c>
      <c r="Y23" s="298">
        <v>0</v>
      </c>
      <c r="Z23" s="298">
        <v>0</v>
      </c>
      <c r="AA23" s="298">
        <v>0</v>
      </c>
      <c r="AB23" s="298">
        <v>0</v>
      </c>
      <c r="AC23" s="298">
        <v>0</v>
      </c>
      <c r="AD23" s="90">
        <f>+X23+Z23+AB23</f>
        <v>0</v>
      </c>
      <c r="AE23" s="90">
        <f>+Y23+AA23+AC23</f>
        <v>0</v>
      </c>
      <c r="AF23" s="299">
        <v>3</v>
      </c>
      <c r="AG23" s="1010">
        <v>3</v>
      </c>
      <c r="AH23" s="1010">
        <v>0</v>
      </c>
      <c r="AI23" s="1010">
        <v>0</v>
      </c>
      <c r="AJ23" s="1011">
        <v>0</v>
      </c>
      <c r="AK23" s="1011">
        <v>0</v>
      </c>
      <c r="AL23" s="90">
        <f>+AF23+AH23+AJ23</f>
        <v>3</v>
      </c>
      <c r="AM23" s="90">
        <f>+AG23+AI23+AK23</f>
        <v>3</v>
      </c>
      <c r="AN23" s="300"/>
      <c r="AO23" s="300"/>
      <c r="AP23" s="300">
        <v>3</v>
      </c>
      <c r="AQ23" s="300"/>
      <c r="AR23" s="300"/>
      <c r="AS23" s="300"/>
      <c r="AT23" s="90">
        <f>+AN23+AP23+AR23</f>
        <v>3</v>
      </c>
      <c r="AU23" s="90">
        <f>+AO23+AQ23+AS23</f>
        <v>0</v>
      </c>
      <c r="AV23" s="301">
        <v>9</v>
      </c>
      <c r="AW23" s="81">
        <f>+W23</f>
        <v>3</v>
      </c>
      <c r="AX23" s="81">
        <f t="shared" ref="AX23" si="33">+W23+AE23</f>
        <v>3</v>
      </c>
      <c r="AY23" s="685">
        <f t="shared" ref="AY23" si="34">+W23+AE23+AM23</f>
        <v>6</v>
      </c>
      <c r="AZ23" s="386">
        <f t="shared" ref="AZ23" si="35">+W23+AE23+AM23+AU23</f>
        <v>6</v>
      </c>
      <c r="BA23" s="382">
        <f t="shared" si="18"/>
        <v>0.33333333333333331</v>
      </c>
      <c r="BB23" s="440">
        <f t="shared" si="19"/>
        <v>0.33333333333333331</v>
      </c>
      <c r="BC23" s="440">
        <f t="shared" si="19"/>
        <v>0.66666666666666663</v>
      </c>
      <c r="BD23" s="440">
        <f t="shared" si="19"/>
        <v>0.66666666666666663</v>
      </c>
      <c r="BE23" s="390">
        <f>(IF(AND(AW23&gt;0,$F23&gt;0),AW23/$F23,0))</f>
        <v>8.3333333333333329E-2</v>
      </c>
      <c r="BF23" s="390">
        <f t="shared" ref="BF23:BH23" si="36">(IF(AND(AX23&gt;0,$F23&gt;0),AX23/$F23,0))</f>
        <v>8.3333333333333329E-2</v>
      </c>
      <c r="BG23" s="1012">
        <f t="shared" si="36"/>
        <v>0.16666666666666666</v>
      </c>
      <c r="BH23" s="396">
        <f t="shared" si="36"/>
        <v>0.16666666666666666</v>
      </c>
    </row>
    <row r="24" spans="2:60" ht="15.6">
      <c r="B24" s="1670"/>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671"/>
      <c r="AM24" s="1671"/>
      <c r="AN24" s="1671"/>
      <c r="AO24" s="1671"/>
      <c r="AP24" s="1671"/>
      <c r="AQ24" s="1671"/>
      <c r="AR24" s="1671"/>
      <c r="AS24" s="1671"/>
      <c r="AT24" s="1671"/>
      <c r="AU24" s="1671"/>
      <c r="AV24" s="1671"/>
      <c r="AW24" s="1672"/>
      <c r="AX24" s="1656" t="s">
        <v>19</v>
      </c>
      <c r="AY24" s="1657"/>
      <c r="AZ24" s="1657"/>
      <c r="BA24" s="87">
        <f t="shared" ref="BA24:BD24" si="37">AVERAGE(BA17:BA23)</f>
        <v>0.2529312714776632</v>
      </c>
      <c r="BB24" s="87">
        <f t="shared" si="37"/>
        <v>0.45756936671575849</v>
      </c>
      <c r="BC24" s="87">
        <f t="shared" si="37"/>
        <v>0.69746367206676485</v>
      </c>
      <c r="BD24" s="87">
        <f t="shared" si="37"/>
        <v>0.68476239567992148</v>
      </c>
      <c r="BE24" s="1645"/>
      <c r="BF24" s="1646"/>
      <c r="BG24" s="1646"/>
      <c r="BH24" s="1647"/>
    </row>
    <row r="25" spans="2:60">
      <c r="B25" s="1512"/>
      <c r="C25" s="1512"/>
      <c r="D25" s="1512"/>
      <c r="E25" s="1512"/>
      <c r="F25" s="1512"/>
      <c r="G25" s="1512"/>
      <c r="H25" s="302"/>
      <c r="I25" s="303"/>
      <c r="J25" s="303"/>
      <c r="K25" s="303"/>
      <c r="L25" s="303"/>
      <c r="M25" s="303"/>
      <c r="N25" s="303"/>
      <c r="O25" s="303"/>
    </row>
    <row r="26" spans="2:60">
      <c r="B26" s="303"/>
      <c r="C26" s="303"/>
      <c r="D26" s="1665"/>
      <c r="E26" s="1665"/>
      <c r="F26" s="1665"/>
      <c r="G26" s="1665"/>
      <c r="H26" s="1665"/>
      <c r="I26" s="1665"/>
      <c r="J26" s="1665"/>
      <c r="K26" s="1665"/>
      <c r="L26" s="1665"/>
      <c r="M26" s="1665"/>
      <c r="N26" s="1665"/>
      <c r="O26" s="1665"/>
    </row>
    <row r="27" spans="2:60" ht="15.6" customHeight="1">
      <c r="B27" s="77" t="s">
        <v>26</v>
      </c>
      <c r="C27" s="249">
        <v>44224</v>
      </c>
      <c r="D27" s="250"/>
      <c r="E27" s="1514" t="s">
        <v>50</v>
      </c>
      <c r="F27" s="1638" t="s">
        <v>719</v>
      </c>
      <c r="G27" s="1639"/>
      <c r="H27" s="1639"/>
      <c r="I27" s="1639"/>
      <c r="J27" s="1640"/>
      <c r="K27" s="251"/>
      <c r="L27" s="1568"/>
      <c r="M27" s="1568"/>
      <c r="N27" s="1568"/>
      <c r="O27" s="1577"/>
    </row>
    <row r="28" spans="2:60" ht="15.6">
      <c r="B28" s="303"/>
      <c r="C28" s="303"/>
      <c r="D28" s="251"/>
      <c r="E28" s="1514"/>
      <c r="F28" s="1641"/>
      <c r="G28" s="1642"/>
      <c r="H28" s="1642"/>
      <c r="I28" s="1642"/>
      <c r="J28" s="1643"/>
      <c r="K28" s="303"/>
      <c r="L28" s="303"/>
      <c r="M28" s="303"/>
      <c r="N28" s="303"/>
      <c r="O28" s="303"/>
    </row>
    <row r="29" spans="2:60" ht="15.6">
      <c r="B29" s="77" t="s">
        <v>49</v>
      </c>
      <c r="C29" s="249"/>
      <c r="D29" s="303"/>
      <c r="E29" s="303"/>
      <c r="F29" s="367"/>
      <c r="K29" s="303"/>
      <c r="L29" s="303"/>
      <c r="M29" s="303"/>
      <c r="N29" s="303"/>
      <c r="O29" s="303"/>
    </row>
    <row r="30" spans="2:60">
      <c r="B30" s="303"/>
      <c r="C30" s="303"/>
      <c r="D30" s="303"/>
      <c r="E30" s="303"/>
      <c r="F30" s="367"/>
      <c r="K30" s="303"/>
      <c r="L30" s="303"/>
      <c r="M30" s="303"/>
      <c r="N30" s="303"/>
      <c r="O30" s="303"/>
    </row>
    <row r="31" spans="2:60">
      <c r="B31" s="688" t="s">
        <v>983</v>
      </c>
      <c r="C31" s="303"/>
      <c r="D31" s="303"/>
      <c r="E31" s="303"/>
      <c r="F31" s="367"/>
      <c r="G31" s="302"/>
      <c r="H31" s="302"/>
      <c r="I31" s="1568"/>
      <c r="J31" s="1568"/>
      <c r="K31" s="1568"/>
      <c r="L31" s="1568"/>
      <c r="M31" s="238"/>
      <c r="N31" s="238"/>
      <c r="O31" s="238"/>
    </row>
    <row r="32" spans="2:60">
      <c r="B32" s="303"/>
      <c r="C32" s="303"/>
      <c r="D32" s="303"/>
      <c r="E32" s="303"/>
      <c r="F32" s="367"/>
      <c r="G32" s="302"/>
      <c r="H32" s="302"/>
      <c r="I32" s="303"/>
      <c r="J32" s="303"/>
      <c r="K32" s="304"/>
      <c r="L32" s="303"/>
      <c r="M32" s="303"/>
      <c r="N32" s="303"/>
      <c r="O32" s="303"/>
    </row>
    <row r="33" spans="2:15">
      <c r="B33" s="303"/>
      <c r="C33" s="303"/>
      <c r="D33" s="303"/>
      <c r="E33" s="303"/>
      <c r="F33" s="367"/>
      <c r="G33" s="302"/>
      <c r="H33" s="302"/>
      <c r="I33" s="1568"/>
      <c r="J33" s="1568"/>
      <c r="K33" s="1568"/>
      <c r="L33" s="1568"/>
      <c r="M33" s="238"/>
      <c r="N33" s="238"/>
      <c r="O33" s="238"/>
    </row>
    <row r="34" spans="2:15">
      <c r="B34" s="303"/>
      <c r="C34" s="303"/>
      <c r="D34" s="303"/>
      <c r="E34" s="303"/>
      <c r="F34" s="367"/>
      <c r="G34" s="302"/>
      <c r="H34" s="302"/>
      <c r="I34" s="303"/>
      <c r="J34" s="303"/>
      <c r="K34" s="304"/>
      <c r="L34" s="303"/>
      <c r="M34" s="303"/>
      <c r="N34" s="303"/>
      <c r="O34" s="303"/>
    </row>
    <row r="35" spans="2:15">
      <c r="B35" s="303"/>
      <c r="C35" s="303"/>
      <c r="D35" s="303"/>
      <c r="E35" s="303"/>
      <c r="F35" s="367"/>
      <c r="G35" s="302"/>
      <c r="H35" s="302"/>
      <c r="I35" s="1568"/>
      <c r="J35" s="1568"/>
      <c r="K35" s="1568"/>
      <c r="L35" s="1568"/>
      <c r="M35" s="238"/>
      <c r="N35" s="238"/>
      <c r="O35" s="238"/>
    </row>
  </sheetData>
  <sheetProtection algorithmName="SHA-512" hashValue="vRS06A0xOYZ96S/9tTjth9dUpV+2v7TSuxehjBj4t+AnJe+NW/wxAJv64y1jg2pXeo0aamTGC8sQOYOOSlK2nA==" saltValue="CWl0dPsnRX9SBHOpJw/GTA==" spinCount="100000" sheet="1" objects="1" scenarios="1"/>
  <mergeCells count="71">
    <mergeCell ref="E27:E28"/>
    <mergeCell ref="L27:O27"/>
    <mergeCell ref="I31:L31"/>
    <mergeCell ref="I33:L33"/>
    <mergeCell ref="F27:J28"/>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BC13:BC15"/>
    <mergeCell ref="AV12:AV15"/>
    <mergeCell ref="AW12:AZ12"/>
    <mergeCell ref="BA12:BD12"/>
    <mergeCell ref="BB13:BB15"/>
    <mergeCell ref="D26:O26"/>
    <mergeCell ref="B25:G25"/>
    <mergeCell ref="B16:B23"/>
    <mergeCell ref="C16:C23"/>
    <mergeCell ref="P14:Q14"/>
    <mergeCell ref="E12:E15"/>
    <mergeCell ref="G12:G15"/>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C9:D9"/>
    <mergeCell ref="B2:B6"/>
    <mergeCell ref="C2:BF6"/>
    <mergeCell ref="BG6:BH6"/>
    <mergeCell ref="AW7:BA7"/>
    <mergeCell ref="C8:D8"/>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00B050"/>
  </sheetPr>
  <dimension ref="B1:BI29"/>
  <sheetViews>
    <sheetView showGridLines="0" zoomScale="70" zoomScaleNormal="70"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3" width="28.5546875" style="133" customWidth="1"/>
    <col min="14" max="14" width="33.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1"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1"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1"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1"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1" ht="21">
      <c r="B8" s="216" t="s">
        <v>45</v>
      </c>
      <c r="C8" s="1584" t="s">
        <v>92</v>
      </c>
      <c r="D8" s="1584"/>
      <c r="E8" s="217"/>
      <c r="F8" s="217"/>
      <c r="G8" s="217"/>
      <c r="H8" s="217"/>
      <c r="I8" s="217"/>
      <c r="J8" s="217"/>
      <c r="K8" s="217"/>
      <c r="L8" s="217"/>
      <c r="M8" s="217"/>
      <c r="N8" s="217"/>
      <c r="O8" s="217"/>
      <c r="AW8" s="238"/>
      <c r="AX8" s="238"/>
      <c r="AY8" s="238"/>
      <c r="AZ8" s="238"/>
      <c r="BA8" s="238"/>
      <c r="BB8" s="238"/>
      <c r="BC8" s="238"/>
      <c r="BD8" s="238"/>
    </row>
    <row r="9" spans="2:61" ht="63" customHeight="1">
      <c r="B9" s="216" t="s">
        <v>34</v>
      </c>
      <c r="C9" s="1658" t="s">
        <v>482</v>
      </c>
      <c r="D9" s="1536"/>
      <c r="E9" s="1675"/>
      <c r="F9" s="1676"/>
      <c r="G9" s="1676"/>
      <c r="H9" s="217"/>
      <c r="I9" s="217"/>
      <c r="J9" s="217"/>
      <c r="K9" s="217"/>
      <c r="L9" s="217"/>
      <c r="M9" s="217"/>
      <c r="N9" s="217"/>
      <c r="O9" s="217"/>
      <c r="AW9" s="238"/>
      <c r="AX9" s="238"/>
      <c r="AY9" s="238"/>
      <c r="AZ9" s="238"/>
      <c r="BA9" s="238"/>
      <c r="BB9" s="238"/>
      <c r="BC9" s="238"/>
      <c r="BD9" s="238"/>
    </row>
    <row r="10" spans="2:61" ht="24.6">
      <c r="B10" s="216" t="s">
        <v>101</v>
      </c>
      <c r="C10" s="1537">
        <v>2021</v>
      </c>
      <c r="D10" s="1538"/>
      <c r="E10" s="305"/>
      <c r="F10" s="305"/>
      <c r="G10" s="217"/>
      <c r="H10" s="217"/>
      <c r="I10" s="217"/>
      <c r="J10" s="217"/>
      <c r="K10" s="217"/>
      <c r="L10" s="217"/>
      <c r="M10" s="217"/>
      <c r="N10" s="217"/>
      <c r="O10" s="217"/>
      <c r="AW10" s="238"/>
      <c r="AX10" s="238"/>
      <c r="AY10" s="238"/>
      <c r="AZ10" s="238"/>
      <c r="BA10" s="238"/>
      <c r="BB10" s="238"/>
      <c r="BC10" s="238"/>
      <c r="BD10" s="238"/>
    </row>
    <row r="11" spans="2:6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28.2"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1"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350</v>
      </c>
      <c r="AZ13" s="1553" t="s">
        <v>351</v>
      </c>
      <c r="BA13" s="1559" t="s">
        <v>119</v>
      </c>
      <c r="BB13" s="1559" t="s">
        <v>122</v>
      </c>
      <c r="BC13" s="1559" t="s">
        <v>123</v>
      </c>
      <c r="BD13" s="1559" t="s">
        <v>124</v>
      </c>
      <c r="BE13" s="1562" t="s">
        <v>21</v>
      </c>
      <c r="BF13" s="1562" t="s">
        <v>22</v>
      </c>
      <c r="BG13" s="1562" t="s">
        <v>23</v>
      </c>
      <c r="BH13" s="1562" t="s">
        <v>24</v>
      </c>
    </row>
    <row r="14" spans="2:61"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1"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1" ht="244.2" customHeight="1">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INSTITUCIONAL'!C70</f>
        <v>4.4. Implementar el 100% de las acciones necesarias para la modernización de la gestión institucional a través de los procesos de apoyo, que permita una mejor prestación del servicio.</v>
      </c>
      <c r="D16" s="255" t="str">
        <f>+'01-FR-03 POA INSTITUCIONAL'!D70</f>
        <v>4.4.1 Atender el 100% de los servicios de mantenimiento, almacén, transporte. Aseo y cafetería</v>
      </c>
      <c r="E16" s="52">
        <f>+'01-FR-03 POA INSTITUCIONAL'!E70</f>
        <v>0.1</v>
      </c>
      <c r="F16" s="52">
        <f>+'01-FR-03 POA INSTITUCIONAL'!F70</f>
        <v>1</v>
      </c>
      <c r="G16" s="161">
        <f>+'01-FR-03 POA INSTITUCIONAL'!K70</f>
        <v>1</v>
      </c>
      <c r="H16" s="306">
        <f>+'01-FR-03 POA INSTITUCIONAL'!G70</f>
        <v>0.99199999999999999</v>
      </c>
      <c r="I16" s="68" t="str">
        <f>+'[5]POA Anualizado (Pág 1 de 3)'!H13</f>
        <v>Porcentaje de servicios atendidos</v>
      </c>
      <c r="J16" s="218" t="s">
        <v>483</v>
      </c>
      <c r="K16" s="307" t="s">
        <v>484</v>
      </c>
      <c r="L16" s="242" t="s">
        <v>492</v>
      </c>
      <c r="M16" s="242" t="s">
        <v>485</v>
      </c>
      <c r="N16" s="242" t="s">
        <v>493</v>
      </c>
      <c r="O16" s="308" t="str">
        <f>+'01-FR-03 POA INSTITUCIONAL'!J70</f>
        <v>Subdirección de Gestión Documental y Recursos Físicos
Dirección Administrativa y Financiera</v>
      </c>
      <c r="P16" s="358">
        <v>1</v>
      </c>
      <c r="Q16" s="359">
        <v>0.99099999999999999</v>
      </c>
      <c r="R16" s="359">
        <v>1</v>
      </c>
      <c r="S16" s="359">
        <v>1</v>
      </c>
      <c r="T16" s="359">
        <v>1</v>
      </c>
      <c r="U16" s="359">
        <v>0.998</v>
      </c>
      <c r="V16" s="350">
        <f>AVERAGE(P16,R16,T16)</f>
        <v>1</v>
      </c>
      <c r="W16" s="350">
        <f>IFERROR(AVERAGE(Q16,S16,U16),0)</f>
        <v>0.99633333333333329</v>
      </c>
      <c r="X16" s="359">
        <v>1</v>
      </c>
      <c r="Y16" s="359">
        <v>1</v>
      </c>
      <c r="Z16" s="359">
        <v>1</v>
      </c>
      <c r="AA16" s="359">
        <v>1</v>
      </c>
      <c r="AB16" s="359">
        <v>1</v>
      </c>
      <c r="AC16" s="359">
        <v>1</v>
      </c>
      <c r="AD16" s="350">
        <f>AVERAGE(X16,Z16,AB16)</f>
        <v>1</v>
      </c>
      <c r="AE16" s="350">
        <f>IFERROR(AVERAGE(Y16,AA16,AC16),0)</f>
        <v>1</v>
      </c>
      <c r="AF16" s="359">
        <v>1</v>
      </c>
      <c r="AG16" s="359">
        <v>1</v>
      </c>
      <c r="AH16" s="359">
        <v>1</v>
      </c>
      <c r="AI16" s="359">
        <v>1</v>
      </c>
      <c r="AJ16" s="359">
        <v>1</v>
      </c>
      <c r="AK16" s="359">
        <v>1</v>
      </c>
      <c r="AL16" s="350">
        <f>AVERAGE(AF16,AH16,AJ16)</f>
        <v>1</v>
      </c>
      <c r="AM16" s="350">
        <f>IFERROR(AVERAGE(AG16,AI16,AK16),0)</f>
        <v>1</v>
      </c>
      <c r="AN16" s="359">
        <v>1</v>
      </c>
      <c r="AO16" s="401"/>
      <c r="AP16" s="359">
        <v>1</v>
      </c>
      <c r="AQ16" s="401"/>
      <c r="AR16" s="359">
        <v>1</v>
      </c>
      <c r="AS16" s="401"/>
      <c r="AT16" s="350">
        <f>AVERAGE(AN16,AP16,AR16)</f>
        <v>1</v>
      </c>
      <c r="AU16" s="350">
        <f>IFERROR(AVERAGE(AO16,AQ16,AS16),0)</f>
        <v>0</v>
      </c>
      <c r="AV16" s="350">
        <f>AVERAGE(P16,R16,T16,X16,Z16,AB16,AF16,AH16,AJ16,AN16,AP16,AR16)</f>
        <v>1</v>
      </c>
      <c r="AW16" s="334">
        <f>IFERROR(IF(OR($AV$16="",$AV$16=0),0,ROUNDDOWN(AVERAGE($Q16,$S16,$U16),3)),0)</f>
        <v>0.996</v>
      </c>
      <c r="AX16" s="334">
        <f>IFERROR(IF(OR($AV$17="",$AV$17=0),0,ROUNDDOWN(AVERAGE($Q16,$S16,$U16,$Y16,$AA16,$AC16),3)),0)</f>
        <v>0.998</v>
      </c>
      <c r="AY16" s="334">
        <f>IFERROR(IF(OR($AV$17="",$AV$17=0),0,ROUNDDOWN(AVERAGE($Q16,$S16,$U16,$Y16,$AA16,$AC16,$AG16,$AI16,$AK16),3)),0)</f>
        <v>0.998</v>
      </c>
      <c r="AZ16" s="379"/>
      <c r="BA16" s="381">
        <f>(IF(AND(AW16&gt;0,$AV16&gt;0),AW16/$AV16,0))*0.25</f>
        <v>0.249</v>
      </c>
      <c r="BB16" s="381">
        <f>(IF(AND(AX16&gt;0,$AV16&gt;0),AX16/$AV16,0))*0.5</f>
        <v>0.499</v>
      </c>
      <c r="BC16" s="381">
        <f>(IF(AND(AY16&gt;0,$AV16&gt;0),AY16/$AV16,0))*0.75</f>
        <v>0.74849999999999994</v>
      </c>
      <c r="BD16" s="679">
        <f>(IF(AND(AZ16&gt;0,$AV16&gt;0),AZ16/$AV16,0))*1</f>
        <v>0</v>
      </c>
      <c r="BE16" s="390">
        <f>((IF(AND(AW16&gt;0,$F16&gt;0),AW16/$F16,0))/4)*0.25</f>
        <v>6.225E-2</v>
      </c>
      <c r="BF16" s="458">
        <f>((IF(AND(AX16&gt;0,$F16&gt;0),AX16/$F16,0))/4)*0.5</f>
        <v>0.12475</v>
      </c>
      <c r="BG16" s="458">
        <f>((IF(AND(AY16&gt;0,$F16&gt;0),AY16/$F16,0))/4)*0.75</f>
        <v>0.18712499999999999</v>
      </c>
      <c r="BH16" s="680">
        <f>((IF(AND(AZ16&gt;0,$F16&gt;0),AZ16/$F16,0))/4)</f>
        <v>0</v>
      </c>
      <c r="BI16" s="309"/>
    </row>
    <row r="17" spans="2:60" ht="60">
      <c r="B17" s="1574"/>
      <c r="C17" s="1574"/>
      <c r="D17" s="255" t="str">
        <f>+'01-FR-03 POA INSTITUCIONAL'!D71</f>
        <v>4.4.2 Ejecutar el 97% de las actividades del Plan Estratégico de Seguridad Vial (PESV)</v>
      </c>
      <c r="E17" s="52">
        <f>+'01-FR-03 POA INSTITUCIONAL'!E71</f>
        <v>0.1</v>
      </c>
      <c r="F17" s="52">
        <f>+'01-FR-03 POA INSTITUCIONAL'!F71</f>
        <v>0.97</v>
      </c>
      <c r="G17" s="161">
        <f>+'01-FR-03 POA INSTITUCIONAL'!K71</f>
        <v>0.97</v>
      </c>
      <c r="H17" s="306">
        <f>+'01-FR-03 POA INSTITUCIONAL'!G71</f>
        <v>0.96599999999999997</v>
      </c>
      <c r="I17" s="68" t="str">
        <f>+'[5]POA Anualizado (Pág 1 de 3)'!H14</f>
        <v>Porcentaje de actividades del PESV ejecutadas</v>
      </c>
      <c r="J17" s="310" t="s">
        <v>486</v>
      </c>
      <c r="K17" s="307" t="s">
        <v>487</v>
      </c>
      <c r="L17" s="242" t="s">
        <v>488</v>
      </c>
      <c r="M17" s="242" t="s">
        <v>489</v>
      </c>
      <c r="N17" s="242" t="s">
        <v>490</v>
      </c>
      <c r="O17" s="308" t="str">
        <f>+'01-FR-03 POA INSTITUCIONAL'!J71</f>
        <v>Subdirección de Gestión Documental y Recursos Físicos
Dirección Administrativa y Financiera</v>
      </c>
      <c r="P17" s="358">
        <v>0.97</v>
      </c>
      <c r="Q17" s="359">
        <v>1</v>
      </c>
      <c r="R17" s="358">
        <v>0.97</v>
      </c>
      <c r="S17" s="359">
        <v>1</v>
      </c>
      <c r="T17" s="358">
        <v>0.97</v>
      </c>
      <c r="U17" s="359">
        <v>1</v>
      </c>
      <c r="V17" s="350">
        <f>AVERAGE(P17,R17,T17)</f>
        <v>0.97000000000000008</v>
      </c>
      <c r="W17" s="350">
        <f>IFERROR(AVERAGE(Q17,S17,U17),0)</f>
        <v>1</v>
      </c>
      <c r="X17" s="358">
        <v>0.97</v>
      </c>
      <c r="Y17" s="359">
        <v>1</v>
      </c>
      <c r="Z17" s="358">
        <v>0.97</v>
      </c>
      <c r="AA17" s="359">
        <v>1.1111111111111112</v>
      </c>
      <c r="AB17" s="358">
        <v>0.97</v>
      </c>
      <c r="AC17" s="359">
        <v>1</v>
      </c>
      <c r="AD17" s="350">
        <f>AVERAGE(X17,Z17,AB17)</f>
        <v>0.97000000000000008</v>
      </c>
      <c r="AE17" s="350">
        <f>IFERROR(AVERAGE(Y17,AA17,AC17),0)</f>
        <v>1.037037037037037</v>
      </c>
      <c r="AF17" s="358">
        <v>0.97</v>
      </c>
      <c r="AG17" s="359">
        <v>0.9</v>
      </c>
      <c r="AH17" s="358">
        <v>0.97</v>
      </c>
      <c r="AI17" s="359">
        <v>1.25</v>
      </c>
      <c r="AJ17" s="358">
        <v>0.97</v>
      </c>
      <c r="AK17" s="359">
        <v>1.333</v>
      </c>
      <c r="AL17" s="350">
        <f>AVERAGE(AF17,AH17,AJ17)</f>
        <v>0.97000000000000008</v>
      </c>
      <c r="AM17" s="350">
        <f>IFERROR(AVERAGE(AG17,AI17,AK17),0)</f>
        <v>1.1609999999999998</v>
      </c>
      <c r="AN17" s="358">
        <v>0.97</v>
      </c>
      <c r="AO17" s="401">
        <v>0</v>
      </c>
      <c r="AP17" s="358">
        <v>0.97</v>
      </c>
      <c r="AQ17" s="401">
        <v>0</v>
      </c>
      <c r="AR17" s="358">
        <v>0.97</v>
      </c>
      <c r="AS17" s="401">
        <v>0</v>
      </c>
      <c r="AT17" s="350">
        <f>AVERAGE(AN17,AP17,AR17)</f>
        <v>0.97000000000000008</v>
      </c>
      <c r="AU17" s="350">
        <f>IFERROR(AVERAGE(AO17,AQ17,AS17),0)</f>
        <v>0</v>
      </c>
      <c r="AV17" s="350">
        <f>AVERAGE(P17,R17,T17,X17,Z17,AB17,AF17,AH17,AJ17,AN17,AP17,AR17)</f>
        <v>0.97000000000000008</v>
      </c>
      <c r="AW17" s="334">
        <f>IFERROR(IF(OR($AV$17="",$AV$17=0),0,ROUNDDOWN(AVERAGE($Q17,$S17,$U17),3)),0)</f>
        <v>1</v>
      </c>
      <c r="AX17" s="334">
        <f>IFERROR(IF(OR($AV$17="",$AV$17=0),0,ROUNDDOWN(AVERAGE($Q17,$S17,$U17,$Y17,$AA17,$AC17),3)),0)</f>
        <v>1.018</v>
      </c>
      <c r="AY17" s="334">
        <f>IFERROR(IF(OR($AV$17="",$AV$17=0),0,ROUNDDOWN(AVERAGE($Q17,$S17,$U17,$Y17,$AA17,$AC17,$AG17,$AI17,$AK17),3)),0)</f>
        <v>1.0660000000000001</v>
      </c>
      <c r="AZ17" s="379"/>
      <c r="BA17" s="381">
        <f>(IF(AND(AW17&gt;0,$AV17&gt;0),AW17/$AV17,0))*0.25</f>
        <v>0.25773195876288657</v>
      </c>
      <c r="BB17" s="381">
        <f>(IF(AND(AX17&gt;0,$AV17&gt;0),AX17/$AV17,0))*0.5</f>
        <v>0.52474226804123703</v>
      </c>
      <c r="BC17" s="381">
        <f>(IF(AND(AY17&gt;0,$AV17&gt;0),AY17/$AV17,0))*0.75</f>
        <v>0.8242268041237113</v>
      </c>
      <c r="BD17" s="404">
        <f>(IF(AND(AZ17&gt;0,$AV17&gt;0),AZ17/$AV17,0))*1</f>
        <v>0</v>
      </c>
      <c r="BE17" s="390">
        <f>((IF(AND(AW17&gt;0,$F17&gt;0),AW17/$F17,0))*0.25)*0.25</f>
        <v>6.4432989690721656E-2</v>
      </c>
      <c r="BF17" s="458">
        <f>((IF(AND(AX17&gt;0,$F17&gt;0),AX17/$F17,0))/4)*0.5</f>
        <v>0.13118556701030928</v>
      </c>
      <c r="BG17" s="458">
        <f>((IF(AND(AY17&gt;0,$F17&gt;0),AY17/$F17,0))/4)*0.75</f>
        <v>0.20605670103092785</v>
      </c>
      <c r="BH17" s="680">
        <f>((IF(AND(AZ17&gt;0,$F17&gt;0),AZ17/$F17,0))/4)</f>
        <v>0</v>
      </c>
    </row>
    <row r="18" spans="2:60" ht="22.8">
      <c r="B18" s="1491"/>
      <c r="C18" s="1492"/>
      <c r="D18" s="1492"/>
      <c r="E18" s="1492"/>
      <c r="F18" s="1492"/>
      <c r="G18" s="1492"/>
      <c r="H18" s="1492"/>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2"/>
      <c r="AL18" s="1492"/>
      <c r="AM18" s="1492"/>
      <c r="AN18" s="1492"/>
      <c r="AO18" s="1492"/>
      <c r="AP18" s="1492"/>
      <c r="AQ18" s="1492"/>
      <c r="AR18" s="1492"/>
      <c r="AS18" s="1492"/>
      <c r="AT18" s="1492"/>
      <c r="AU18" s="1492"/>
      <c r="AV18" s="1492"/>
      <c r="AW18" s="1575"/>
      <c r="AX18" s="1539" t="s">
        <v>19</v>
      </c>
      <c r="AY18" s="1573"/>
      <c r="AZ18" s="1573"/>
      <c r="BA18" s="70">
        <f t="shared" ref="BA18:BD18" si="0">AVERAGE(BA16:BA17)</f>
        <v>0.25336597938144328</v>
      </c>
      <c r="BB18" s="70">
        <f t="shared" si="0"/>
        <v>0.51187113402061857</v>
      </c>
      <c r="BC18" s="70">
        <f t="shared" si="0"/>
        <v>0.78636340206185562</v>
      </c>
      <c r="BD18" s="70">
        <f t="shared" si="0"/>
        <v>0</v>
      </c>
      <c r="BE18" s="1614"/>
      <c r="BF18" s="1673"/>
      <c r="BG18" s="1673"/>
      <c r="BH18" s="1674"/>
    </row>
    <row r="19" spans="2:60">
      <c r="B19" s="1512"/>
      <c r="C19" s="1512"/>
      <c r="D19" s="1512"/>
      <c r="E19" s="1512"/>
      <c r="F19" s="1512"/>
      <c r="G19" s="1512"/>
      <c r="H19" s="247"/>
      <c r="I19" s="248"/>
      <c r="J19" s="248"/>
      <c r="K19" s="248"/>
      <c r="L19" s="248"/>
      <c r="M19" s="248"/>
      <c r="N19" s="248"/>
      <c r="O19" s="248"/>
    </row>
    <row r="20" spans="2:60">
      <c r="B20" s="248"/>
      <c r="C20" s="248"/>
      <c r="D20" s="1524"/>
      <c r="E20" s="1524"/>
      <c r="F20" s="1524"/>
      <c r="G20" s="1524"/>
      <c r="H20" s="1524"/>
      <c r="I20" s="1524"/>
      <c r="J20" s="1524"/>
      <c r="K20" s="1524"/>
      <c r="L20" s="1524"/>
      <c r="M20" s="1524"/>
      <c r="N20" s="1524"/>
      <c r="O20" s="1524"/>
    </row>
    <row r="21" spans="2:60" ht="15.6">
      <c r="B21" s="77" t="s">
        <v>26</v>
      </c>
      <c r="C21" s="249">
        <v>44224</v>
      </c>
      <c r="D21" s="250"/>
      <c r="E21" s="1514" t="s">
        <v>50</v>
      </c>
      <c r="F21" s="364"/>
      <c r="G21" s="1515" t="s">
        <v>491</v>
      </c>
      <c r="H21" s="1515"/>
      <c r="I21" s="1515"/>
      <c r="J21" s="1515"/>
      <c r="K21" s="251"/>
      <c r="L21" s="1568"/>
      <c r="M21" s="1568"/>
      <c r="N21" s="1568"/>
      <c r="O21" s="1577"/>
    </row>
    <row r="22" spans="2:60" ht="15.6">
      <c r="B22" s="248"/>
      <c r="C22" s="248"/>
      <c r="D22" s="251"/>
      <c r="E22" s="1514"/>
      <c r="F22" s="364"/>
      <c r="G22" s="1515"/>
      <c r="H22" s="1515"/>
      <c r="I22" s="1515"/>
      <c r="J22" s="1515"/>
      <c r="K22" s="248"/>
      <c r="L22" s="248"/>
      <c r="M22" s="248"/>
      <c r="N22" s="248"/>
      <c r="O22" s="248"/>
    </row>
    <row r="23" spans="2:60" ht="15.6">
      <c r="B23" s="77" t="s">
        <v>49</v>
      </c>
      <c r="C23" s="249"/>
      <c r="D23" s="248"/>
      <c r="E23" s="248"/>
      <c r="F23" s="248"/>
      <c r="K23" s="248"/>
      <c r="L23" s="248"/>
      <c r="M23" s="248"/>
      <c r="N23" s="248"/>
      <c r="O23" s="248"/>
    </row>
    <row r="24" spans="2:60">
      <c r="B24" s="248"/>
      <c r="C24" s="248"/>
      <c r="D24" s="248"/>
      <c r="E24" s="248"/>
      <c r="F24" s="248"/>
      <c r="K24" s="248"/>
      <c r="L24" s="248"/>
      <c r="M24" s="248"/>
      <c r="N24" s="248"/>
      <c r="O24" s="248"/>
    </row>
    <row r="25" spans="2:60">
      <c r="B25" s="688" t="s">
        <v>983</v>
      </c>
      <c r="C25" s="248"/>
      <c r="D25" s="248"/>
      <c r="E25" s="248"/>
      <c r="F25" s="248"/>
      <c r="G25" s="247"/>
      <c r="H25" s="247"/>
      <c r="I25" s="1576"/>
      <c r="J25" s="1576"/>
      <c r="K25" s="1576"/>
      <c r="L25" s="1576"/>
      <c r="M25" s="252"/>
      <c r="N25" s="252"/>
      <c r="O25" s="252"/>
    </row>
    <row r="26" spans="2:60">
      <c r="B26" s="248"/>
      <c r="C26" s="248"/>
      <c r="D26" s="248"/>
      <c r="E26" s="248"/>
      <c r="F26" s="248"/>
      <c r="G26" s="247"/>
      <c r="H26" s="247"/>
      <c r="I26" s="248"/>
      <c r="J26" s="248"/>
      <c r="K26" s="253"/>
      <c r="L26" s="248"/>
      <c r="M26" s="248"/>
      <c r="N26" s="248"/>
      <c r="O26" s="248"/>
    </row>
    <row r="27" spans="2:60">
      <c r="B27" s="248"/>
      <c r="C27" s="248"/>
      <c r="D27" s="248"/>
      <c r="E27" s="248"/>
      <c r="F27" s="248"/>
      <c r="G27" s="247"/>
      <c r="H27" s="247"/>
      <c r="I27" s="1576"/>
      <c r="J27" s="1576"/>
      <c r="K27" s="1576"/>
      <c r="L27" s="1576"/>
      <c r="M27" s="252"/>
      <c r="N27" s="252"/>
      <c r="O27" s="252"/>
    </row>
    <row r="28" spans="2:60">
      <c r="B28" s="248"/>
      <c r="C28" s="248"/>
      <c r="D28" s="248"/>
      <c r="E28" s="248"/>
      <c r="F28" s="248"/>
      <c r="G28" s="247"/>
      <c r="H28" s="247"/>
      <c r="I28" s="248"/>
      <c r="J28" s="248"/>
      <c r="K28" s="253"/>
      <c r="L28" s="248"/>
      <c r="M28" s="248"/>
      <c r="N28" s="248"/>
      <c r="O28" s="248"/>
    </row>
    <row r="29" spans="2:60">
      <c r="B29" s="248"/>
      <c r="C29" s="248"/>
      <c r="D29" s="248"/>
      <c r="E29" s="248"/>
      <c r="F29" s="248"/>
      <c r="G29" s="247"/>
      <c r="H29" s="247"/>
      <c r="I29" s="1576"/>
      <c r="J29" s="1576"/>
      <c r="K29" s="1576"/>
      <c r="L29" s="1576"/>
      <c r="M29" s="252"/>
      <c r="N29" s="252"/>
      <c r="O29" s="252"/>
    </row>
  </sheetData>
  <sheetProtection algorithmName="SHA-512" hashValue="s8csTbvdL6XRxKVYpX+SmqfL8/HUV727SMwlCkmW5F1AjuU6Fng14gW2fY1kqJjyEez/Ydh+MiCHYOJt2IdqWg==" saltValue="DwvzTNd34UCl2pYXBjr8/w==" spinCount="100000" sheet="1" objects="1" scenarios="1"/>
  <mergeCells count="72">
    <mergeCell ref="I27:L27"/>
    <mergeCell ref="I29:L29"/>
    <mergeCell ref="B19:G19"/>
    <mergeCell ref="AX18:AZ18"/>
    <mergeCell ref="D20:O20"/>
    <mergeCell ref="E21:E22"/>
    <mergeCell ref="G21:J22"/>
    <mergeCell ref="L21:O21"/>
    <mergeCell ref="I25:L25"/>
    <mergeCell ref="B18:AW18"/>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00B050"/>
  </sheetPr>
  <dimension ref="B1:BH30"/>
  <sheetViews>
    <sheetView showGridLines="0" zoomScale="70" zoomScaleNormal="70"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7" style="134" customWidth="1"/>
    <col min="8" max="8" width="23.88671875" style="134" customWidth="1"/>
    <col min="9" max="9" width="44" style="133" customWidth="1"/>
    <col min="10" max="10" width="31.88671875" style="133" customWidth="1"/>
    <col min="11" max="11" width="55.88671875" style="133" customWidth="1"/>
    <col min="12" max="12" width="33.5546875" style="133" customWidth="1"/>
    <col min="13" max="13" width="49.44140625" style="133" customWidth="1"/>
    <col min="14"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84" t="s">
        <v>93</v>
      </c>
      <c r="D8" s="1584"/>
      <c r="E8" s="217"/>
      <c r="F8" s="217"/>
      <c r="G8" s="217"/>
      <c r="H8" s="217"/>
      <c r="I8" s="217"/>
      <c r="J8" s="217"/>
      <c r="K8" s="217"/>
      <c r="L8" s="217"/>
      <c r="M8" s="217"/>
      <c r="N8" s="217"/>
      <c r="O8" s="217"/>
      <c r="AW8" s="238"/>
      <c r="AX8" s="238"/>
      <c r="AY8" s="238"/>
      <c r="AZ8" s="238"/>
      <c r="BA8" s="238"/>
      <c r="BB8" s="238"/>
      <c r="BC8" s="238"/>
      <c r="BD8" s="238"/>
    </row>
    <row r="9" spans="2:60" ht="73.5" customHeight="1">
      <c r="B9" s="216" t="s">
        <v>34</v>
      </c>
      <c r="C9" s="1535" t="s">
        <v>513</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59" customHeight="1">
      <c r="B16" s="148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7" t="str">
        <f>+'01-FR-03 POA INSTITUCIONAL'!C70</f>
        <v>4.4. Implementar el 100% de las acciones necesarias para la modernización de la gestión institucional a través de los procesos de apoyo, que permita una mejor prestación del servicio.</v>
      </c>
      <c r="D16" s="231" t="str">
        <f>+'01-FR-03 POA INSTITUCIONAL'!D72</f>
        <v>4.4.3 Ejecutar el 95% del presupuesto aprobado para la Entidad</v>
      </c>
      <c r="E16" s="59">
        <f>+'01-FR-03 POA INSTITUCIONAL'!E72</f>
        <v>7.0000000000000007E-2</v>
      </c>
      <c r="F16" s="363">
        <f>+'01-FR-03 POA INSTITUCIONAL'!F72</f>
        <v>0.95</v>
      </c>
      <c r="G16" s="59">
        <f>+'01-FR-03 POA INSTITUCIONAL'!K72</f>
        <v>0.95</v>
      </c>
      <c r="H16" s="140" t="str">
        <f>+'01-FR-03 POA INSTITUCIONAL'!G72</f>
        <v>S.I.</v>
      </c>
      <c r="I16" s="140" t="str">
        <f>+'01-FR-03 POA INSTITUCIONAL'!H72</f>
        <v>Porcentaje del presupuesto aprobado y ejecutado.</v>
      </c>
      <c r="J16" s="311" t="s">
        <v>514</v>
      </c>
      <c r="K16" s="292" t="s">
        <v>515</v>
      </c>
      <c r="L16" s="221" t="s">
        <v>516</v>
      </c>
      <c r="M16" s="242" t="s">
        <v>529</v>
      </c>
      <c r="N16" s="221" t="s">
        <v>517</v>
      </c>
      <c r="O16" s="312" t="str">
        <f>+'01-FR-03 POA INSTITUCIONAL'!J72</f>
        <v>Subdirección de Gestión Financiera
Dirección Administrativa y Financiera</v>
      </c>
      <c r="P16" s="349">
        <v>7.0000000000000007E-2</v>
      </c>
      <c r="Q16" s="349">
        <v>4.9000000000000002E-2</v>
      </c>
      <c r="R16" s="349">
        <v>7.0000000000000007E-2</v>
      </c>
      <c r="S16" s="349">
        <v>7.2999999999999995E-2</v>
      </c>
      <c r="T16" s="349">
        <v>0.08</v>
      </c>
      <c r="U16" s="349">
        <v>8.2000000000000003E-2</v>
      </c>
      <c r="V16" s="350">
        <f>P16+R16+T16</f>
        <v>0.22000000000000003</v>
      </c>
      <c r="W16" s="350">
        <f>Q16+S16+U16</f>
        <v>0.20400000000000001</v>
      </c>
      <c r="X16" s="349">
        <v>0.08</v>
      </c>
      <c r="Y16" s="349">
        <v>7.0000000000000007E-2</v>
      </c>
      <c r="Z16" s="349">
        <v>0.08</v>
      </c>
      <c r="AA16" s="349">
        <v>7.0999999999999994E-2</v>
      </c>
      <c r="AB16" s="349">
        <v>0.09</v>
      </c>
      <c r="AC16" s="349">
        <v>0.11700000000000001</v>
      </c>
      <c r="AD16" s="350">
        <f>X16+Z16+AB16</f>
        <v>0.25</v>
      </c>
      <c r="AE16" s="350">
        <f>Y16+AA16+AC16</f>
        <v>0.25800000000000001</v>
      </c>
      <c r="AF16" s="349">
        <v>0.08</v>
      </c>
      <c r="AG16" s="349">
        <v>6.6000000000000003E-2</v>
      </c>
      <c r="AH16" s="349">
        <v>0.08</v>
      </c>
      <c r="AI16" s="349">
        <v>6.6000000000000003E-2</v>
      </c>
      <c r="AJ16" s="356">
        <v>0.09</v>
      </c>
      <c r="AK16" s="356">
        <v>6.7000000000000004E-2</v>
      </c>
      <c r="AL16" s="350">
        <f>AF16+AH16+AJ16</f>
        <v>0.25</v>
      </c>
      <c r="AM16" s="350">
        <f>AG16+AI16+AK16</f>
        <v>0.19900000000000001</v>
      </c>
      <c r="AN16" s="349">
        <v>0.08</v>
      </c>
      <c r="AO16" s="349"/>
      <c r="AP16" s="349">
        <v>0.08</v>
      </c>
      <c r="AQ16" s="349"/>
      <c r="AR16" s="349">
        <v>7.0000000000000007E-2</v>
      </c>
      <c r="AS16" s="349"/>
      <c r="AT16" s="350">
        <f>AN16+AP16+AR16</f>
        <v>0.23</v>
      </c>
      <c r="AU16" s="350">
        <f>AO16+AQ16+AS16</f>
        <v>0</v>
      </c>
      <c r="AV16" s="350">
        <f>V16+AD16+AL16+AT16</f>
        <v>0.95</v>
      </c>
      <c r="AW16" s="334">
        <f>+W16</f>
        <v>0.20400000000000001</v>
      </c>
      <c r="AX16" s="676">
        <f>+W16+AE16</f>
        <v>0.46200000000000002</v>
      </c>
      <c r="AY16" s="334">
        <f>+W16+AE16+AM16</f>
        <v>0.66100000000000003</v>
      </c>
      <c r="AZ16" s="379">
        <f>+W16+AE16+AM16+AU16</f>
        <v>0.66100000000000003</v>
      </c>
      <c r="BA16" s="403">
        <f>IF(AND(AW16&gt;0,$AV16&gt;0),AW16/$AV16,0)</f>
        <v>0.21473684210526317</v>
      </c>
      <c r="BB16" s="404">
        <f t="shared" ref="BB16:BD16" si="0">IF(AND(AX16&gt;0,$AV16&gt;0),AX16/$AV16,0)</f>
        <v>0.48631578947368426</v>
      </c>
      <c r="BC16" s="404">
        <f t="shared" si="0"/>
        <v>0.69578947368421062</v>
      </c>
      <c r="BD16" s="404">
        <f t="shared" si="0"/>
        <v>0.69578947368421062</v>
      </c>
      <c r="BE16" s="390">
        <f>((IF(AND(AW16&gt;0,$F16&gt;0),AW16/$F16,0))/4)</f>
        <v>5.3684210526315793E-2</v>
      </c>
      <c r="BF16" s="689">
        <f>((IF(AND(AX16&gt;0,$F16&gt;0),AX16/$F16,0))/4)</f>
        <v>0.12157894736842106</v>
      </c>
      <c r="BG16" s="390">
        <f>((IF(AND(AY16&gt;0,$F16&gt;0),AY16/$F16,0))/4)</f>
        <v>0.17394736842105266</v>
      </c>
      <c r="BH16" s="391">
        <f>((IF(AND(AZ16&gt;0,$F16&gt;0),AZ16/$F16,0))/4)</f>
        <v>0.17394736842105266</v>
      </c>
    </row>
    <row r="17" spans="2:60" ht="118.95" customHeight="1">
      <c r="B17" s="1488"/>
      <c r="C17" s="1488"/>
      <c r="D17" s="231" t="str">
        <f>+'01-FR-03 POA INSTITUCIONAL'!D73</f>
        <v>4.4.4 Programar y ejecutar el 95% de los compromisos de pago adquiridos por la Entidad</v>
      </c>
      <c r="E17" s="59">
        <f>+'01-FR-03 POA INSTITUCIONAL'!E73</f>
        <v>7.0000000000000007E-2</v>
      </c>
      <c r="F17" s="363">
        <f>+'01-FR-03 POA INSTITUCIONAL'!F73</f>
        <v>0.95</v>
      </c>
      <c r="G17" s="59">
        <f>+'01-FR-03 POA INSTITUCIONAL'!K73</f>
        <v>0.95</v>
      </c>
      <c r="H17" s="140" t="str">
        <f>+'01-FR-03 POA INSTITUCIONAL'!G73</f>
        <v>S.I.</v>
      </c>
      <c r="I17" s="140" t="str">
        <f>+'01-FR-03 POA INSTITUCIONAL'!H73</f>
        <v>Porcentaje de los compromisos de pago programados y ejecutados.</v>
      </c>
      <c r="J17" s="311" t="s">
        <v>518</v>
      </c>
      <c r="K17" s="292" t="s">
        <v>519</v>
      </c>
      <c r="L17" s="221" t="s">
        <v>520</v>
      </c>
      <c r="M17" s="242" t="s">
        <v>527</v>
      </c>
      <c r="N17" s="221" t="s">
        <v>521</v>
      </c>
      <c r="O17" s="312" t="str">
        <f>+'01-FR-03 POA INSTITUCIONAL'!J73</f>
        <v>Subdirección de Gestión Financiera
Dirección Administrativa y Financiera</v>
      </c>
      <c r="P17" s="353">
        <v>0.03</v>
      </c>
      <c r="Q17" s="353">
        <v>2.07358873943508E-2</v>
      </c>
      <c r="R17" s="353">
        <v>0.05</v>
      </c>
      <c r="S17" s="353">
        <v>3.4846799197208303E-2</v>
      </c>
      <c r="T17" s="353">
        <v>0.06</v>
      </c>
      <c r="U17" s="353">
        <v>4.1815230536016101E-2</v>
      </c>
      <c r="V17" s="354">
        <f t="shared" ref="V17:W18" si="1">P17+R17+T17</f>
        <v>0.14000000000000001</v>
      </c>
      <c r="W17" s="354">
        <f t="shared" si="1"/>
        <v>9.7397917127575201E-2</v>
      </c>
      <c r="X17" s="353">
        <v>7.0000000000000007E-2</v>
      </c>
      <c r="Y17" s="353">
        <v>6.4755980702901797E-2</v>
      </c>
      <c r="Z17" s="353">
        <v>0.08</v>
      </c>
      <c r="AA17" s="353">
        <v>7.5535154917222E-2</v>
      </c>
      <c r="AB17" s="353">
        <v>0.1</v>
      </c>
      <c r="AC17" s="353">
        <v>9.5031067447361797E-2</v>
      </c>
      <c r="AD17" s="354">
        <f t="shared" ref="AD17:AE18" si="2">X17+Z17+AB17</f>
        <v>0.25</v>
      </c>
      <c r="AE17" s="354">
        <f t="shared" si="2"/>
        <v>0.23532220306748558</v>
      </c>
      <c r="AF17" s="353">
        <v>7.0000000000000007E-2</v>
      </c>
      <c r="AG17" s="353">
        <v>7.5174678952978996E-2</v>
      </c>
      <c r="AH17" s="353">
        <v>0.08</v>
      </c>
      <c r="AI17" s="353">
        <v>8.2657532279854007E-2</v>
      </c>
      <c r="AJ17" s="353">
        <v>0.08</v>
      </c>
      <c r="AK17" s="353">
        <v>6.8959494813470107E-2</v>
      </c>
      <c r="AL17" s="354">
        <f t="shared" ref="AL17:AM18" si="3">AF17+AH17+AJ17</f>
        <v>0.23000000000000004</v>
      </c>
      <c r="AM17" s="354">
        <f t="shared" si="3"/>
        <v>0.22679170604630311</v>
      </c>
      <c r="AN17" s="353">
        <v>0.08</v>
      </c>
      <c r="AO17" s="353"/>
      <c r="AP17" s="353">
        <v>0.09</v>
      </c>
      <c r="AQ17" s="353"/>
      <c r="AR17" s="353">
        <v>0.16</v>
      </c>
      <c r="AS17" s="353"/>
      <c r="AT17" s="354">
        <f t="shared" ref="AT17:AU18" si="4">AN17+AP17+AR17</f>
        <v>0.32999999999999996</v>
      </c>
      <c r="AU17" s="354">
        <f t="shared" si="4"/>
        <v>0</v>
      </c>
      <c r="AV17" s="354">
        <f t="shared" ref="AV17:AV18" si="5">V17+AD17+AL17+AT17</f>
        <v>0.95000000000000007</v>
      </c>
      <c r="AW17" s="360">
        <f t="shared" ref="AW17:AW18" si="6">+W17</f>
        <v>9.7397917127575201E-2</v>
      </c>
      <c r="AX17" s="690">
        <f t="shared" ref="AX17:AX18" si="7">+W17+AE17</f>
        <v>0.33272012019506081</v>
      </c>
      <c r="AY17" s="360">
        <f t="shared" ref="AY17:AY18" si="8">+W17+AE17+AM17</f>
        <v>0.55951182624136386</v>
      </c>
      <c r="AZ17" s="402">
        <f t="shared" ref="AZ17:AZ18" si="9">+W17+AE17+AM17+AU17</f>
        <v>0.55951182624136386</v>
      </c>
      <c r="BA17" s="405">
        <f t="shared" ref="BA17:BA18" si="10">IF(AND(AW17&gt;0,$AV17&gt;0),AW17/$AV17,0)</f>
        <v>0.10252412329218441</v>
      </c>
      <c r="BB17" s="406">
        <f t="shared" ref="BB17:BB18" si="11">IF(AND(AX17&gt;0,$AV17&gt;0),AX17/$AV17,0)</f>
        <v>0.35023170546848503</v>
      </c>
      <c r="BC17" s="406">
        <f t="shared" ref="BC17:BC18" si="12">IF(AND(AY17&gt;0,$AV17&gt;0),AY17/$AV17,0)</f>
        <v>0.5889598170961724</v>
      </c>
      <c r="BD17" s="406">
        <f t="shared" ref="BD17:BD18" si="13">IF(AND(AZ17&gt;0,$AV17&gt;0),AZ17/$AV17,0)</f>
        <v>0.5889598170961724</v>
      </c>
      <c r="BE17" s="390">
        <f>((IF(AND(AW17&gt;0,$F17&gt;0),AW17/$F17,0))/4)</f>
        <v>2.5631030823046106E-2</v>
      </c>
      <c r="BF17" s="689">
        <f t="shared" ref="BF17:BH18" si="14">((IF(AND(AX17&gt;0,$F17&gt;0),AX17/$F17,0))/4)</f>
        <v>8.7557926367121272E-2</v>
      </c>
      <c r="BG17" s="390">
        <f t="shared" si="14"/>
        <v>0.14723995427404313</v>
      </c>
      <c r="BH17" s="391">
        <f t="shared" si="14"/>
        <v>0.14723995427404313</v>
      </c>
    </row>
    <row r="18" spans="2:60" ht="120.6" customHeight="1">
      <c r="B18" s="1488"/>
      <c r="C18" s="1488"/>
      <c r="D18" s="231" t="str">
        <f>+'01-FR-03 POA INSTITUCIONAL'!D74</f>
        <v>4.4.5 Elaborar y presentar el 100% de los estados financieros de la Entidad</v>
      </c>
      <c r="E18" s="59">
        <f>+'01-FR-03 POA INSTITUCIONAL'!E74</f>
        <v>0.06</v>
      </c>
      <c r="F18" s="363">
        <f>+'01-FR-03 POA INSTITUCIONAL'!F74</f>
        <v>1</v>
      </c>
      <c r="G18" s="59">
        <f>+'01-FR-03 POA INSTITUCIONAL'!K74</f>
        <v>1</v>
      </c>
      <c r="H18" s="140" t="str">
        <f>+'01-FR-03 POA INSTITUCIONAL'!G74</f>
        <v>S.I.</v>
      </c>
      <c r="I18" s="140" t="str">
        <f>+'01-FR-03 POA INSTITUCIONAL'!H74</f>
        <v>Porcentaje de estados financieros de la Entidad elaborados y presentados.</v>
      </c>
      <c r="J18" s="311" t="s">
        <v>522</v>
      </c>
      <c r="K18" s="292" t="s">
        <v>523</v>
      </c>
      <c r="L18" s="221" t="s">
        <v>524</v>
      </c>
      <c r="M18" s="242" t="s">
        <v>528</v>
      </c>
      <c r="N18" s="221" t="s">
        <v>525</v>
      </c>
      <c r="O18" s="312" t="str">
        <f>+'01-FR-03 POA INSTITUCIONAL'!J74</f>
        <v>Subdirección de Gestión Financiera
Dirección Administrativa y Financiera</v>
      </c>
      <c r="P18" s="349">
        <v>0.08</v>
      </c>
      <c r="Q18" s="349">
        <v>0.08</v>
      </c>
      <c r="R18" s="349">
        <v>0.08</v>
      </c>
      <c r="S18" s="349">
        <v>0.08</v>
      </c>
      <c r="T18" s="349">
        <v>0.09</v>
      </c>
      <c r="U18" s="349">
        <v>0.09</v>
      </c>
      <c r="V18" s="350">
        <f t="shared" si="1"/>
        <v>0.25</v>
      </c>
      <c r="W18" s="350">
        <f t="shared" si="1"/>
        <v>0.25</v>
      </c>
      <c r="X18" s="349">
        <v>0.08</v>
      </c>
      <c r="Y18" s="349">
        <v>0.08</v>
      </c>
      <c r="Z18" s="349">
        <v>0.08</v>
      </c>
      <c r="AA18" s="349">
        <v>0.08</v>
      </c>
      <c r="AB18" s="349">
        <v>0.09</v>
      </c>
      <c r="AC18" s="349">
        <v>0.09</v>
      </c>
      <c r="AD18" s="350">
        <f t="shared" si="2"/>
        <v>0.25</v>
      </c>
      <c r="AE18" s="350">
        <f t="shared" si="2"/>
        <v>0.25</v>
      </c>
      <c r="AF18" s="349">
        <v>0.08</v>
      </c>
      <c r="AG18" s="349">
        <v>0.08</v>
      </c>
      <c r="AH18" s="349">
        <v>0.08</v>
      </c>
      <c r="AI18" s="349">
        <v>0.08</v>
      </c>
      <c r="AJ18" s="349">
        <v>0.09</v>
      </c>
      <c r="AK18" s="349">
        <v>0.09</v>
      </c>
      <c r="AL18" s="350">
        <f t="shared" si="3"/>
        <v>0.25</v>
      </c>
      <c r="AM18" s="350">
        <f t="shared" si="3"/>
        <v>0.25</v>
      </c>
      <c r="AN18" s="349">
        <v>0.08</v>
      </c>
      <c r="AO18" s="349"/>
      <c r="AP18" s="349">
        <v>0.08</v>
      </c>
      <c r="AQ18" s="349"/>
      <c r="AR18" s="349">
        <v>0.09</v>
      </c>
      <c r="AS18" s="349"/>
      <c r="AT18" s="350">
        <f t="shared" si="4"/>
        <v>0.25</v>
      </c>
      <c r="AU18" s="350">
        <f t="shared" si="4"/>
        <v>0</v>
      </c>
      <c r="AV18" s="350">
        <f t="shared" si="5"/>
        <v>1</v>
      </c>
      <c r="AW18" s="334">
        <f t="shared" si="6"/>
        <v>0.25</v>
      </c>
      <c r="AX18" s="676">
        <f t="shared" si="7"/>
        <v>0.5</v>
      </c>
      <c r="AY18" s="334">
        <f t="shared" si="8"/>
        <v>0.75</v>
      </c>
      <c r="AZ18" s="379">
        <f t="shared" si="9"/>
        <v>0.75</v>
      </c>
      <c r="BA18" s="403">
        <f t="shared" si="10"/>
        <v>0.25</v>
      </c>
      <c r="BB18" s="404">
        <f t="shared" si="11"/>
        <v>0.5</v>
      </c>
      <c r="BC18" s="404">
        <f t="shared" si="12"/>
        <v>0.75</v>
      </c>
      <c r="BD18" s="404">
        <f t="shared" si="13"/>
        <v>0.75</v>
      </c>
      <c r="BE18" s="390">
        <f>((IF(AND(AW18&gt;0,$F18&gt;0),AW18/$F18,0))/4)</f>
        <v>6.25E-2</v>
      </c>
      <c r="BF18" s="689">
        <f t="shared" si="14"/>
        <v>0.125</v>
      </c>
      <c r="BG18" s="390">
        <f t="shared" si="14"/>
        <v>0.1875</v>
      </c>
      <c r="BH18" s="391">
        <f t="shared" si="14"/>
        <v>0.1875</v>
      </c>
    </row>
    <row r="19" spans="2:60" ht="22.8">
      <c r="B19" s="1491"/>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575"/>
      <c r="AX19" s="1539" t="s">
        <v>19</v>
      </c>
      <c r="AY19" s="1573"/>
      <c r="AZ19" s="1573"/>
      <c r="BA19" s="70">
        <f t="shared" ref="BA19:BD19" si="15">AVERAGE(BA16:BA18)</f>
        <v>0.18908698846581587</v>
      </c>
      <c r="BB19" s="70">
        <f t="shared" si="15"/>
        <v>0.44551583164738978</v>
      </c>
      <c r="BC19" s="70">
        <f t="shared" si="15"/>
        <v>0.67824976359346101</v>
      </c>
      <c r="BD19" s="70">
        <f t="shared" si="15"/>
        <v>0.67824976359346101</v>
      </c>
      <c r="BE19" s="1614"/>
      <c r="BF19" s="1615"/>
      <c r="BG19" s="1615"/>
      <c r="BH19" s="1616"/>
    </row>
    <row r="20" spans="2:60">
      <c r="B20" s="1512"/>
      <c r="C20" s="1512"/>
      <c r="D20" s="1512"/>
      <c r="E20" s="1512"/>
      <c r="F20" s="1512"/>
      <c r="G20" s="1512"/>
      <c r="H20" s="247"/>
      <c r="I20" s="248"/>
      <c r="J20" s="248"/>
      <c r="K20" s="248"/>
      <c r="L20" s="248"/>
      <c r="M20" s="248"/>
      <c r="N20" s="248"/>
      <c r="O20" s="248"/>
    </row>
    <row r="21" spans="2:60">
      <c r="B21" s="248"/>
      <c r="C21" s="248"/>
      <c r="D21" s="1524"/>
      <c r="E21" s="1524"/>
      <c r="F21" s="1524"/>
      <c r="G21" s="1524"/>
      <c r="H21" s="1524"/>
      <c r="I21" s="1524"/>
      <c r="J21" s="1524"/>
      <c r="K21" s="1524"/>
      <c r="L21" s="1524"/>
      <c r="M21" s="1524"/>
      <c r="N21" s="1524"/>
      <c r="O21" s="1524"/>
    </row>
    <row r="22" spans="2:60" ht="15.6" customHeight="1">
      <c r="B22" s="77" t="s">
        <v>26</v>
      </c>
      <c r="C22" s="249">
        <v>44224</v>
      </c>
      <c r="D22" s="250"/>
      <c r="E22" s="1514" t="s">
        <v>50</v>
      </c>
      <c r="F22" s="1677" t="s">
        <v>526</v>
      </c>
      <c r="G22" s="1678"/>
      <c r="H22" s="1678"/>
      <c r="I22" s="1678"/>
      <c r="J22" s="1679"/>
      <c r="K22" s="251"/>
      <c r="L22" s="1568"/>
      <c r="M22" s="1568"/>
      <c r="N22" s="1568"/>
      <c r="O22" s="1577"/>
    </row>
    <row r="23" spans="2:60" ht="15.6">
      <c r="B23" s="248"/>
      <c r="C23" s="248"/>
      <c r="D23" s="251"/>
      <c r="E23" s="1514"/>
      <c r="F23" s="1680"/>
      <c r="G23" s="1681"/>
      <c r="H23" s="1681"/>
      <c r="I23" s="1681"/>
      <c r="J23" s="1682"/>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688" t="s">
        <v>983</v>
      </c>
      <c r="C26" s="248"/>
      <c r="D26" s="248"/>
      <c r="E26" s="248"/>
      <c r="F26" s="248"/>
      <c r="G26" s="247"/>
      <c r="H26" s="247"/>
      <c r="I26" s="1576"/>
      <c r="J26" s="1576"/>
      <c r="K26" s="1576"/>
      <c r="L26" s="1576"/>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1576"/>
      <c r="J28" s="1576"/>
      <c r="K28" s="1576"/>
      <c r="L28" s="1576"/>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1576"/>
      <c r="J30" s="1576"/>
      <c r="K30" s="1576"/>
      <c r="L30" s="1576"/>
      <c r="M30" s="252"/>
      <c r="N30" s="252"/>
      <c r="O30" s="252"/>
    </row>
  </sheetData>
  <sheetProtection algorithmName="SHA-512" hashValue="fJLVp3Z+EOyWL4UL41a/nz4ZxMQeAY0TZ+iE5ujcwsO8Q0DL6Om+dpG5rSjT+PdwwstTlKAgahN5GxIXcscZAg==" saltValue="FwFs82Z7Px0lCI+oY2I9lQ==" spinCount="100000" sheet="1" objects="1" scenarios="1"/>
  <mergeCells count="71">
    <mergeCell ref="I28:L28"/>
    <mergeCell ref="I30:L30"/>
    <mergeCell ref="B20:G20"/>
    <mergeCell ref="AX19:AZ19"/>
    <mergeCell ref="D21:O21"/>
    <mergeCell ref="E22:E23"/>
    <mergeCell ref="L22:O22"/>
    <mergeCell ref="I26:L26"/>
    <mergeCell ref="B19:AW19"/>
    <mergeCell ref="F22:J23"/>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00B050"/>
  </sheetPr>
  <dimension ref="B1:BH35"/>
  <sheetViews>
    <sheetView showGridLines="0" zoomScale="60" zoomScaleNormal="60" workbookViewId="0">
      <selection activeCell="F31" sqref="F3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6" style="133" customWidth="1"/>
    <col min="10" max="10" width="37"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84" t="s">
        <v>94</v>
      </c>
      <c r="D8" s="1584"/>
      <c r="E8" s="217"/>
      <c r="F8" s="217"/>
      <c r="G8" s="217"/>
      <c r="H8" s="217"/>
      <c r="I8" s="217"/>
      <c r="J8" s="217"/>
      <c r="K8" s="217"/>
      <c r="L8" s="217"/>
      <c r="M8" s="217"/>
      <c r="N8" s="217"/>
      <c r="O8" s="217"/>
      <c r="AW8" s="238"/>
      <c r="AX8" s="238"/>
      <c r="AY8" s="238"/>
      <c r="AZ8" s="238"/>
      <c r="BA8" s="238"/>
      <c r="BB8" s="238"/>
      <c r="BC8" s="238"/>
      <c r="BD8" s="238"/>
    </row>
    <row r="9" spans="2:60" ht="79.5" customHeight="1">
      <c r="B9" s="216" t="s">
        <v>34</v>
      </c>
      <c r="C9" s="1535" t="s">
        <v>497</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35">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INSTITUCIONAL'!C70</f>
        <v>4.4. Implementar el 100% de las acciones necesarias para la modernización de la gestión institucional a través de los procesos de apoyo, que permita una mejor prestación del servicio.</v>
      </c>
      <c r="D16" s="140" t="str">
        <f>+'01-FR-03 POA INSTITUCIONAL'!D75</f>
        <v>4.4.6 Ejecutar el 95% del Plan Anual de Adquisiciones respecto de gastos generales</v>
      </c>
      <c r="E16" s="176">
        <f>+'01-FR-03 POA INSTITUCIONAL'!E75</f>
        <v>0.1</v>
      </c>
      <c r="F16" s="363">
        <f>+'01-FR-03 POA INSTITUCIONAL'!F75</f>
        <v>0.95</v>
      </c>
      <c r="G16" s="313">
        <f>+'01-FR-03 POA INSTITUCIONAL'!K75</f>
        <v>0.95</v>
      </c>
      <c r="H16" s="140" t="str">
        <f>+'01-FR-03 POA INSTITUCIONAL'!G75</f>
        <v>S.I.</v>
      </c>
      <c r="I16" s="140" t="str">
        <f>+'01-FR-03 POA INSTITUCIONAL'!H75</f>
        <v xml:space="preserve">Porcentaje del Plan Anual de Adquisiciones ejecutado </v>
      </c>
      <c r="J16" s="311" t="s">
        <v>498</v>
      </c>
      <c r="K16" s="199" t="s">
        <v>499</v>
      </c>
      <c r="L16" s="662" t="s">
        <v>500</v>
      </c>
      <c r="M16" s="663" t="s">
        <v>501</v>
      </c>
      <c r="N16" s="663" t="s">
        <v>502</v>
      </c>
      <c r="O16" s="312" t="str">
        <f>+'01-FR-03 POA INSTITUCIONAL'!J75</f>
        <v>Subdirección de Gestión Contractual
Dirección Administrativa y Financiera</v>
      </c>
      <c r="P16" s="145">
        <v>0.28000000000000003</v>
      </c>
      <c r="Q16" s="145">
        <v>0.2</v>
      </c>
      <c r="R16" s="145">
        <v>0.21</v>
      </c>
      <c r="S16" s="145">
        <v>0.08</v>
      </c>
      <c r="T16" s="145">
        <v>0.08</v>
      </c>
      <c r="U16" s="145">
        <v>0.05</v>
      </c>
      <c r="V16" s="66">
        <f>P16+R16+T16</f>
        <v>0.56999999999999995</v>
      </c>
      <c r="W16" s="66">
        <f>Q16+S16+U16</f>
        <v>0.33</v>
      </c>
      <c r="X16" s="145">
        <v>0.13</v>
      </c>
      <c r="Y16" s="145">
        <v>0.03</v>
      </c>
      <c r="Z16" s="145">
        <v>0.02</v>
      </c>
      <c r="AA16" s="145">
        <v>0.06</v>
      </c>
      <c r="AB16" s="145">
        <v>0.09</v>
      </c>
      <c r="AC16" s="145">
        <v>0.08</v>
      </c>
      <c r="AD16" s="66">
        <f>X16+Z16+AB16</f>
        <v>0.24</v>
      </c>
      <c r="AE16" s="66">
        <f>Y16+AA16+AC16</f>
        <v>0.16999999999999998</v>
      </c>
      <c r="AF16" s="145">
        <v>0.02</v>
      </c>
      <c r="AG16" s="145">
        <v>0.02</v>
      </c>
      <c r="AH16" s="145">
        <v>0.01</v>
      </c>
      <c r="AI16" s="145">
        <v>0.1</v>
      </c>
      <c r="AJ16" s="314">
        <v>0.05</v>
      </c>
      <c r="AK16" s="314">
        <v>0.09</v>
      </c>
      <c r="AL16" s="66">
        <f>AF16+AH16+AJ16</f>
        <v>0.08</v>
      </c>
      <c r="AM16" s="66">
        <f>AG16+AI16+AK16</f>
        <v>0.21000000000000002</v>
      </c>
      <c r="AN16" s="145">
        <v>0.03</v>
      </c>
      <c r="AO16" s="145"/>
      <c r="AP16" s="145">
        <v>0.03</v>
      </c>
      <c r="AQ16" s="145"/>
      <c r="AR16" s="145">
        <v>0</v>
      </c>
      <c r="AS16" s="145"/>
      <c r="AT16" s="66">
        <f>AN16+AP16+AR16</f>
        <v>0.06</v>
      </c>
      <c r="AU16" s="66">
        <f>AO16+AQ16+AS16</f>
        <v>0</v>
      </c>
      <c r="AV16" s="66">
        <f>V16+AD16+AL16+AT16</f>
        <v>0.95</v>
      </c>
      <c r="AW16" s="334">
        <f>+W16</f>
        <v>0.33</v>
      </c>
      <c r="AX16" s="676">
        <f>+W16+AE16</f>
        <v>0.5</v>
      </c>
      <c r="AY16" s="676">
        <f>+W16+AE16+AM16</f>
        <v>0.71</v>
      </c>
      <c r="AZ16" s="379">
        <f>+W16+AE16+AM16+AU16</f>
        <v>0.71</v>
      </c>
      <c r="BA16" s="403">
        <f>IF(AND(AW16&gt;0,$AV16&gt;0),AW16/$AV16,0)</f>
        <v>0.3473684210526316</v>
      </c>
      <c r="BB16" s="404">
        <f t="shared" ref="BB16:BD16" si="0">IF(AND(AX16&gt;0,$AV16&gt;0),AX16/$AV16,0)</f>
        <v>0.52631578947368418</v>
      </c>
      <c r="BC16" s="381">
        <f t="shared" si="0"/>
        <v>0.74736842105263157</v>
      </c>
      <c r="BD16" s="381">
        <f t="shared" si="0"/>
        <v>0.74736842105263157</v>
      </c>
      <c r="BE16" s="390">
        <f>((IF(AND(AW16&gt;0,$F16&gt;0),AW16/$F16,0))/4)</f>
        <v>8.6842105263157901E-2</v>
      </c>
      <c r="BF16" s="689">
        <f>((IF(AND(AX16&gt;0,$F16&gt;0),AX16/$F16,0))/4)</f>
        <v>0.13157894736842105</v>
      </c>
      <c r="BG16" s="689">
        <f>((IF(AND(AY16&gt;0,$F16&gt;0),AY16/$F16,0))/4)</f>
        <v>0.18684210526315789</v>
      </c>
      <c r="BH16" s="391">
        <f>((IF(AND(AZ16&gt;0,$F16&gt;0),AZ16/$F16,0))/4)</f>
        <v>0.18684210526315789</v>
      </c>
    </row>
    <row r="17" spans="2:60" ht="111.6" customHeight="1">
      <c r="B17" s="1542"/>
      <c r="C17" s="1542"/>
      <c r="D17" s="1541" t="str">
        <f>+'01-FR-03 POA INSTITUCIONAL'!D85</f>
        <v>4.4.15 Elaborar el 95% de los contratos en cada una de las modalidades de selección en los tiempos óptimos</v>
      </c>
      <c r="E17" s="1490">
        <f>+'01-FR-03 POA INSTITUCIONAL'!E85</f>
        <v>0.1</v>
      </c>
      <c r="F17" s="52">
        <f>+'01-FR-03 POA INSTITUCIONAL'!F85</f>
        <v>0.95</v>
      </c>
      <c r="G17" s="664">
        <f>+'01-FR-03 POA INSTITUCIONAL'!K85</f>
        <v>0.6</v>
      </c>
      <c r="H17" s="664" t="str">
        <f>+'01-FR-03 POA INSTITUCIONAL'!G85</f>
        <v>S.I.</v>
      </c>
      <c r="I17" s="664" t="str">
        <f>+'01-FR-03 POA INSTITUCIONAL'!H85</f>
        <v xml:space="preserve">Porcentaje de contratos en la modalidad de contratacion directa elaborados en los tiempos óptimos </v>
      </c>
      <c r="J17" s="669" t="s">
        <v>973</v>
      </c>
      <c r="K17" s="670" t="s">
        <v>974</v>
      </c>
      <c r="L17" s="671" t="s">
        <v>975</v>
      </c>
      <c r="M17" s="672" t="s">
        <v>501</v>
      </c>
      <c r="N17" s="672" t="s">
        <v>976</v>
      </c>
      <c r="O17" s="673" t="s">
        <v>977</v>
      </c>
      <c r="P17" s="674">
        <v>0</v>
      </c>
      <c r="Q17" s="674">
        <v>0</v>
      </c>
      <c r="R17" s="674">
        <v>0</v>
      </c>
      <c r="S17" s="674">
        <v>0</v>
      </c>
      <c r="T17" s="674">
        <v>0</v>
      </c>
      <c r="U17" s="674">
        <v>0</v>
      </c>
      <c r="V17" s="89">
        <v>0</v>
      </c>
      <c r="W17" s="89">
        <v>0</v>
      </c>
      <c r="X17" s="674">
        <v>0</v>
      </c>
      <c r="Y17" s="674">
        <v>0</v>
      </c>
      <c r="Z17" s="674">
        <v>0</v>
      </c>
      <c r="AA17" s="674">
        <v>0</v>
      </c>
      <c r="AB17" s="674">
        <v>0</v>
      </c>
      <c r="AC17" s="674">
        <v>0</v>
      </c>
      <c r="AD17" s="89">
        <v>0</v>
      </c>
      <c r="AE17" s="89">
        <v>0</v>
      </c>
      <c r="AF17" s="674">
        <v>0.6</v>
      </c>
      <c r="AG17" s="1013">
        <v>0.309</v>
      </c>
      <c r="AH17" s="674">
        <v>0.6</v>
      </c>
      <c r="AI17" s="1013">
        <v>0.52300000000000002</v>
      </c>
      <c r="AJ17" s="674">
        <v>0.6</v>
      </c>
      <c r="AK17" s="1014">
        <v>0.68500000000000005</v>
      </c>
      <c r="AL17" s="89">
        <f>AVERAGE(AF17,AH17,AJ17)</f>
        <v>0.6</v>
      </c>
      <c r="AM17" s="346">
        <f>IFERROR(ROUNDDOWN(AVERAGE($AG17,$AI17,$AK17),3),0)</f>
        <v>0.505</v>
      </c>
      <c r="AN17" s="674">
        <v>0.6</v>
      </c>
      <c r="AO17" s="674"/>
      <c r="AP17" s="674">
        <v>0.6</v>
      </c>
      <c r="AQ17" s="674"/>
      <c r="AR17" s="674">
        <v>0.6</v>
      </c>
      <c r="AS17" s="674"/>
      <c r="AT17" s="89">
        <f>AVERAGE(AN17,AP17,AR17)</f>
        <v>0.6</v>
      </c>
      <c r="AU17" s="89">
        <f>IFERROR(ROUNDDOWN(AVERAGE(AO17,AQ17,AS17),3),0)</f>
        <v>0</v>
      </c>
      <c r="AV17" s="89">
        <v>0.6</v>
      </c>
      <c r="AW17" s="334">
        <f>IFERROR(IF(OR($AV$17="",$AV$17=0),0,ROUNDDOWN(AVERAGE($Q17,$S17,$U17),3)),0)</f>
        <v>0</v>
      </c>
      <c r="AX17" s="334">
        <f>IFERROR(IF(OR($AV$17="",$AV$17=0),0,ROUNDDOWN(AVERAGE($Q17,$S17,$U17,$Y17,$AA17,$AC17),3)),0)</f>
        <v>0</v>
      </c>
      <c r="AY17" s="676">
        <f>IFERROR(IF(OR($AV$17="",$AV$17=0),0,ROUNDDOWN(AVERAGE($AG17,$AI17,$AK17),3)),0)</f>
        <v>0.505</v>
      </c>
      <c r="AZ17" s="379">
        <f>IFERROR(IF(OR($AV$17="",$AV$17=0),0,ROUNDDOWN(AVERAGE($Q17,$S17,$U17,$Y17,$AA17,$AC17,$AG17,$AI17,$AK17,$AO17,$AQ17,$AS17),3)),0)</f>
        <v>0.16800000000000001</v>
      </c>
      <c r="BA17" s="381">
        <f>(IF(AND(AW17&gt;0,$AV17&gt;0),AW17/$AV17,0))*0.25</f>
        <v>0</v>
      </c>
      <c r="BB17" s="381">
        <f>(IF(AND(AX17&gt;0,$AV17&gt;0),AX17/$AV17,0))*0.5</f>
        <v>0</v>
      </c>
      <c r="BC17" s="381">
        <f>(IF(AND(AY17&gt;0,$AV17&gt;0),AY17/$AV17,0))*0.75</f>
        <v>0.63124999999999998</v>
      </c>
      <c r="BD17" s="381">
        <f>(IF(AND(AZ17&gt;0,$AV17&gt;0),AZ17/$AV17,0))*1</f>
        <v>0.28000000000000003</v>
      </c>
      <c r="BE17" s="390">
        <f>((IF(AND(AW17&gt;0,$AV17&gt;0),AW17/$AV17,0))/4)*0.25</f>
        <v>0</v>
      </c>
      <c r="BF17" s="390">
        <f>((IF(AND(AX17&gt;0,$AV17&gt;0),AX17/$AV17,0))/4)*0.5</f>
        <v>0</v>
      </c>
      <c r="BG17" s="689">
        <f>((IF(AND(AY17&gt;0,$F17&gt;0),AY17/$F17,0))/4)*0.75</f>
        <v>9.9671052631578938E-2</v>
      </c>
      <c r="BH17" s="391">
        <f>((IF(AND(AZ17&gt;0,$AV17&gt;0),AZ17/$AV17,0))/4)*1</f>
        <v>7.0000000000000007E-2</v>
      </c>
    </row>
    <row r="18" spans="2:60" ht="163.19999999999999" customHeight="1">
      <c r="B18" s="1542"/>
      <c r="C18" s="1542"/>
      <c r="D18" s="1542"/>
      <c r="E18" s="1286"/>
      <c r="F18" s="52">
        <f>+'01-FR-03 POA INSTITUCIONAL'!F86</f>
        <v>0.95</v>
      </c>
      <c r="G18" s="664">
        <f>+'01-FR-03 POA INSTITUCIONAL'!K86</f>
        <v>0.6</v>
      </c>
      <c r="H18" s="664" t="str">
        <f>+'01-FR-03 POA INSTITUCIONAL'!G86</f>
        <v>S.I.</v>
      </c>
      <c r="I18" s="664" t="str">
        <f>+'01-FR-03 POA INSTITUCIONAL'!H86</f>
        <v xml:space="preserve">Porcentaje de contratos en la modalidad de selección abreviada de menor cuantía elaborados en los tiempos óptimos </v>
      </c>
      <c r="J18" s="669" t="s">
        <v>979</v>
      </c>
      <c r="K18" s="670" t="s">
        <v>974</v>
      </c>
      <c r="L18" s="671" t="s">
        <v>975</v>
      </c>
      <c r="M18" s="672" t="s">
        <v>501</v>
      </c>
      <c r="N18" s="672" t="s">
        <v>976</v>
      </c>
      <c r="O18" s="673" t="s">
        <v>977</v>
      </c>
      <c r="P18" s="674">
        <v>0</v>
      </c>
      <c r="Q18" s="674">
        <v>0</v>
      </c>
      <c r="R18" s="674">
        <v>0</v>
      </c>
      <c r="S18" s="674">
        <v>0</v>
      </c>
      <c r="T18" s="674">
        <v>0</v>
      </c>
      <c r="U18" s="674">
        <v>0</v>
      </c>
      <c r="V18" s="89">
        <v>0</v>
      </c>
      <c r="W18" s="89">
        <v>0</v>
      </c>
      <c r="X18" s="674">
        <v>0</v>
      </c>
      <c r="Y18" s="674">
        <v>0</v>
      </c>
      <c r="Z18" s="674">
        <v>0</v>
      </c>
      <c r="AA18" s="674">
        <v>0</v>
      </c>
      <c r="AB18" s="674">
        <v>0</v>
      </c>
      <c r="AC18" s="674">
        <v>0</v>
      </c>
      <c r="AD18" s="89">
        <v>0</v>
      </c>
      <c r="AE18" s="89">
        <v>0</v>
      </c>
      <c r="AF18" s="674">
        <v>0.6</v>
      </c>
      <c r="AG18" s="674">
        <v>0</v>
      </c>
      <c r="AH18" s="674">
        <v>0.6</v>
      </c>
      <c r="AI18" s="674">
        <v>1</v>
      </c>
      <c r="AJ18" s="674">
        <v>0.6</v>
      </c>
      <c r="AK18" s="675">
        <v>0.75</v>
      </c>
      <c r="AL18" s="89">
        <f t="shared" ref="AL18:AL19" si="1">AVERAGE(AF18,AH18,AJ18)</f>
        <v>0.6</v>
      </c>
      <c r="AM18" s="346">
        <f>IFERROR(ROUNDDOWN(AVERAGE($AG18,$AI18,$AK18),3),0)</f>
        <v>0.58299999999999996</v>
      </c>
      <c r="AN18" s="674">
        <v>0.6</v>
      </c>
      <c r="AO18" s="674"/>
      <c r="AP18" s="674">
        <v>0.6</v>
      </c>
      <c r="AQ18" s="674"/>
      <c r="AR18" s="674">
        <v>0.6</v>
      </c>
      <c r="AS18" s="674"/>
      <c r="AT18" s="89">
        <f t="shared" ref="AT18:AT19" si="2">AVERAGE(AN18,AP18,AR18)</f>
        <v>0.6</v>
      </c>
      <c r="AU18" s="89">
        <f t="shared" ref="AU18:AU19" si="3">IFERROR(ROUNDDOWN(AVERAGE(AO18,AQ18,AS18),3),0)</f>
        <v>0</v>
      </c>
      <c r="AV18" s="89">
        <f t="shared" ref="AV18:AV19" si="4">AVERAGE(AF18,AH18,AJ18,AN18,AP18,AR18)</f>
        <v>0.6</v>
      </c>
      <c r="AW18" s="334">
        <f>IFERROR(IF(OR($AV$18="",$AV$18=0),0,ROUNDDOWN(AVERAGE($Q18,$S18,$U18),3)),0)</f>
        <v>0</v>
      </c>
      <c r="AX18" s="334">
        <f>IFERROR(IF(OR($AV$18="",$AV$18=0),0,ROUNDDOWN(AVERAGE($Q18,$S18,$U18,$Y18,$AA18,$AC18),3)),0)</f>
        <v>0</v>
      </c>
      <c r="AY18" s="676">
        <f>IFERROR(IF(OR($AV$17="",$AV$17=0),0,ROUNDDOWN(AVERAGE($AG18,$AI18,$AK18),3)),0)</f>
        <v>0.58299999999999996</v>
      </c>
      <c r="AZ18" s="379">
        <f t="shared" ref="AZ18:AZ19" si="5">IFERROR(IF(OR($AV$16="",$AV$16=0),0,ROUNDDOWN(AVERAGE($Q18,$S18,$U18,$Y18,$AA18,$AC18,$AG18,$AI18,$AK18,$AO18,$AQ18,$AS18),3)),0)</f>
        <v>0.19400000000000001</v>
      </c>
      <c r="BA18" s="381">
        <f>(IF(AND(AW18&gt;0,$AV18&gt;0),AW18/$AV18,0))*0.25</f>
        <v>0</v>
      </c>
      <c r="BB18" s="381">
        <f>(IF(AND(AX18&gt;0,$AV18&gt;0),AX18/$AV18,0))*0.5</f>
        <v>0</v>
      </c>
      <c r="BC18" s="381">
        <f>(IF(AND(AY18&gt;0,$AV18&gt;0),AY18/$AV18,0))*0.75</f>
        <v>0.72875000000000001</v>
      </c>
      <c r="BD18" s="381">
        <f>(IF(AND(AZ18&gt;0,$AV18&gt;0),AZ18/$AV18,0))*1</f>
        <v>0.32333333333333336</v>
      </c>
      <c r="BE18" s="390">
        <f>((IF(AND(AW18&gt;0,$AV18&gt;0),AW18/$AV18,0))/4)*0.25</f>
        <v>0</v>
      </c>
      <c r="BF18" s="390">
        <f>((IF(AND(AX18&gt;0,$AV18&gt;0),AX18/$AV18,0))/4)*0.5</f>
        <v>0</v>
      </c>
      <c r="BG18" s="689">
        <f>((IF(AND(AY18&gt;0,$F18&gt;0),AY18/$F18,0))/4)*0.75</f>
        <v>0.11506578947368422</v>
      </c>
      <c r="BH18" s="391">
        <f>((IF(AND(AZ18&gt;0,$AV18&gt;0),AZ18/$AV18,0))/4)*1</f>
        <v>8.083333333333334E-2</v>
      </c>
    </row>
    <row r="19" spans="2:60" ht="168.6" customHeight="1">
      <c r="B19" s="1574"/>
      <c r="C19" s="1574"/>
      <c r="D19" s="1574"/>
      <c r="E19" s="1299"/>
      <c r="F19" s="52">
        <f>+'01-FR-03 POA INSTITUCIONAL'!F87</f>
        <v>0.95</v>
      </c>
      <c r="G19" s="664">
        <f>+'01-FR-03 POA INSTITUCIONAL'!K87</f>
        <v>0.6</v>
      </c>
      <c r="H19" s="664" t="str">
        <f>+'01-FR-03 POA INSTITUCIONAL'!G87</f>
        <v>S.I.</v>
      </c>
      <c r="I19" s="664" t="str">
        <f>+'01-FR-03 POA INSTITUCIONAL'!H87</f>
        <v xml:space="preserve">Porcentaje de contratos en la modalidad de selección abreviada de subasta inversa, licitación pública y concurso de méritos elaborados en los tiempos óptimos </v>
      </c>
      <c r="J19" s="669" t="s">
        <v>978</v>
      </c>
      <c r="K19" s="670" t="s">
        <v>974</v>
      </c>
      <c r="L19" s="671" t="s">
        <v>975</v>
      </c>
      <c r="M19" s="672" t="s">
        <v>501</v>
      </c>
      <c r="N19" s="672" t="s">
        <v>976</v>
      </c>
      <c r="O19" s="673" t="s">
        <v>977</v>
      </c>
      <c r="P19" s="674">
        <v>0</v>
      </c>
      <c r="Q19" s="674">
        <v>0</v>
      </c>
      <c r="R19" s="674">
        <v>0</v>
      </c>
      <c r="S19" s="674">
        <v>0</v>
      </c>
      <c r="T19" s="674">
        <v>0</v>
      </c>
      <c r="U19" s="674">
        <v>0</v>
      </c>
      <c r="V19" s="89">
        <v>0</v>
      </c>
      <c r="W19" s="89">
        <v>0</v>
      </c>
      <c r="X19" s="674">
        <v>0</v>
      </c>
      <c r="Y19" s="674">
        <v>0</v>
      </c>
      <c r="Z19" s="674">
        <v>0</v>
      </c>
      <c r="AA19" s="674">
        <v>0</v>
      </c>
      <c r="AB19" s="674">
        <v>0</v>
      </c>
      <c r="AC19" s="674">
        <v>0</v>
      </c>
      <c r="AD19" s="89">
        <v>0</v>
      </c>
      <c r="AE19" s="89">
        <v>0</v>
      </c>
      <c r="AF19" s="674">
        <v>0.6</v>
      </c>
      <c r="AG19" s="674">
        <v>0.6</v>
      </c>
      <c r="AH19" s="674">
        <v>0.6</v>
      </c>
      <c r="AI19" s="674">
        <v>0.6</v>
      </c>
      <c r="AJ19" s="674">
        <v>0.6</v>
      </c>
      <c r="AK19" s="675">
        <v>0.6</v>
      </c>
      <c r="AL19" s="89">
        <f t="shared" si="1"/>
        <v>0.6</v>
      </c>
      <c r="AM19" s="346">
        <f>IFERROR(ROUNDDOWN(AVERAGE($AG19,$AI19,$AK19),3),0)</f>
        <v>0.6</v>
      </c>
      <c r="AN19" s="674">
        <v>0.6</v>
      </c>
      <c r="AO19" s="674"/>
      <c r="AP19" s="674">
        <v>0.6</v>
      </c>
      <c r="AQ19" s="674"/>
      <c r="AR19" s="674">
        <v>0.6</v>
      </c>
      <c r="AS19" s="674"/>
      <c r="AT19" s="89">
        <f t="shared" si="2"/>
        <v>0.6</v>
      </c>
      <c r="AU19" s="89">
        <f t="shared" si="3"/>
        <v>0</v>
      </c>
      <c r="AV19" s="89">
        <f t="shared" si="4"/>
        <v>0.6</v>
      </c>
      <c r="AW19" s="334">
        <f>IFERROR(IF(OR($AV$19="",$AV$19=0),0,ROUNDDOWN(AVERAGE($Q19,$S19,$U19),3)),0)</f>
        <v>0</v>
      </c>
      <c r="AX19" s="334">
        <f t="shared" ref="AX19" si="6">IFERROR(IF(OR($AV$17="",$AV$17=0),0,ROUNDDOWN(AVERAGE($Q19,$S19,$U19,$Y19,$AA19,$AC19),3)),0)</f>
        <v>0</v>
      </c>
      <c r="AY19" s="676">
        <f>IFERROR(IF(OR($AV$17="",$AV$17=0),0,ROUNDDOWN(AVERAGE($AG19,$AI19,$AK19),3)),0)</f>
        <v>0.6</v>
      </c>
      <c r="AZ19" s="379">
        <f t="shared" si="5"/>
        <v>0.2</v>
      </c>
      <c r="BA19" s="381">
        <f>(IF(AND(AW19&gt;0,$AV19&gt;0),AW19/$AV19,0))*0.25</f>
        <v>0</v>
      </c>
      <c r="BB19" s="381">
        <f>(IF(AND(AX19&gt;0,$AV19&gt;0),AX19/$AV19,0))*0.5</f>
        <v>0</v>
      </c>
      <c r="BC19" s="381">
        <f>(IF(AND(AY19&gt;0,$AV19&gt;0),AY19/$AV19,0))*0.75</f>
        <v>0.75</v>
      </c>
      <c r="BD19" s="381">
        <f>(IF(AND(AZ19&gt;0,$AV19&gt;0),AZ19/$AV19,0))*1</f>
        <v>0.33333333333333337</v>
      </c>
      <c r="BE19" s="390">
        <f>((IF(AND(AW19&gt;0,$AV19&gt;0),AW19/$AV19,0))/4)*0.25</f>
        <v>0</v>
      </c>
      <c r="BF19" s="390">
        <f>((IF(AND(AX19&gt;0,$AV19&gt;0),AX19/$AV19,0))/4)*0.5</f>
        <v>0</v>
      </c>
      <c r="BG19" s="689">
        <f>((IF(AND(AY19&gt;0,$F19&gt;0),AY19/$F19,0))/4)*0.75</f>
        <v>0.11842105263157894</v>
      </c>
      <c r="BH19" s="391">
        <f>((IF(AND(AZ19&gt;0,$AV19&gt;0),AZ19/$AV19,0))/4)*1</f>
        <v>8.3333333333333343E-2</v>
      </c>
    </row>
    <row r="20" spans="2:60" ht="22.8">
      <c r="B20" s="1491"/>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686"/>
      <c r="AM20" s="1686"/>
      <c r="AN20" s="1686"/>
      <c r="AO20" s="1686"/>
      <c r="AP20" s="1686"/>
      <c r="AQ20" s="1686"/>
      <c r="AR20" s="1686"/>
      <c r="AS20" s="1686"/>
      <c r="AT20" s="1686"/>
      <c r="AU20" s="1686"/>
      <c r="AV20" s="1686"/>
      <c r="AW20" s="1687"/>
      <c r="AX20" s="1539" t="s">
        <v>19</v>
      </c>
      <c r="AY20" s="1573"/>
      <c r="AZ20" s="1573"/>
      <c r="BA20" s="657">
        <f>AVERAGE(BA16:BA19)</f>
        <v>8.6842105263157901E-2</v>
      </c>
      <c r="BB20" s="657">
        <f t="shared" ref="BB20:BD20" si="7">AVERAGE(BB16:BB19)</f>
        <v>0.13157894736842105</v>
      </c>
      <c r="BC20" s="657">
        <f t="shared" si="7"/>
        <v>0.71434210526315789</v>
      </c>
      <c r="BD20" s="657">
        <f t="shared" si="7"/>
        <v>0.42100877192982455</v>
      </c>
      <c r="BE20" s="1684"/>
      <c r="BF20" s="1673"/>
      <c r="BG20" s="1673"/>
      <c r="BH20" s="1674"/>
    </row>
    <row r="21" spans="2:60">
      <c r="B21" s="1512"/>
      <c r="C21" s="1512"/>
      <c r="D21" s="1512"/>
      <c r="E21" s="1512"/>
      <c r="F21" s="1512"/>
      <c r="G21" s="1512"/>
      <c r="H21" s="247"/>
      <c r="I21" s="248"/>
      <c r="J21" s="248"/>
      <c r="K21" s="248"/>
      <c r="L21" s="248"/>
      <c r="M21" s="248"/>
      <c r="N21" s="248"/>
      <c r="O21" s="248"/>
    </row>
    <row r="22" spans="2:60">
      <c r="B22" s="248"/>
      <c r="C22" s="248"/>
      <c r="D22" s="1524"/>
      <c r="E22" s="1524"/>
      <c r="F22" s="1524"/>
      <c r="G22" s="1524"/>
      <c r="H22" s="1524"/>
      <c r="I22" s="1524"/>
      <c r="J22" s="1524"/>
      <c r="K22" s="1524"/>
      <c r="L22" s="1524"/>
      <c r="M22" s="1524"/>
      <c r="N22" s="1524"/>
      <c r="O22" s="1524"/>
    </row>
    <row r="23" spans="2:60" ht="15.6" customHeight="1">
      <c r="B23" s="77" t="s">
        <v>26</v>
      </c>
      <c r="C23" s="249">
        <v>44224</v>
      </c>
      <c r="D23" s="250"/>
      <c r="E23" s="1514" t="s">
        <v>50</v>
      </c>
      <c r="F23" s="1638" t="s">
        <v>727</v>
      </c>
      <c r="G23" s="1639"/>
      <c r="H23" s="1639"/>
      <c r="I23" s="1639"/>
      <c r="J23" s="1640"/>
      <c r="K23" s="251"/>
      <c r="L23" s="1568"/>
      <c r="M23" s="1568"/>
      <c r="N23" s="1568"/>
      <c r="O23" s="1577"/>
    </row>
    <row r="24" spans="2:60" ht="15.6">
      <c r="B24" s="248"/>
      <c r="C24" s="248"/>
      <c r="D24" s="251"/>
      <c r="E24" s="1514"/>
      <c r="F24" s="1641"/>
      <c r="G24" s="1642"/>
      <c r="H24" s="1642"/>
      <c r="I24" s="1642"/>
      <c r="J24" s="1643"/>
      <c r="K24" s="248"/>
      <c r="L24" s="248"/>
      <c r="M24" s="248"/>
      <c r="N24" s="248"/>
      <c r="O24" s="248"/>
    </row>
    <row r="25" spans="2:60" ht="15.6">
      <c r="B25" s="77" t="s">
        <v>49</v>
      </c>
      <c r="C25" s="249">
        <v>44369</v>
      </c>
      <c r="D25" s="248"/>
      <c r="E25" s="248"/>
      <c r="F25" s="248"/>
      <c r="I25" s="315"/>
      <c r="J25" s="315"/>
      <c r="K25" s="316"/>
      <c r="L25" s="316"/>
      <c r="M25" s="248"/>
      <c r="N25" s="248"/>
      <c r="O25" s="248"/>
    </row>
    <row r="26" spans="2:60">
      <c r="B26" s="248"/>
      <c r="C26" s="248"/>
      <c r="D26" s="248"/>
      <c r="E26" s="248"/>
      <c r="F26" s="248"/>
      <c r="I26" s="315"/>
      <c r="J26" s="315"/>
      <c r="K26" s="316"/>
      <c r="L26" s="316"/>
      <c r="M26" s="248"/>
      <c r="N26" s="248"/>
      <c r="O26" s="248"/>
    </row>
    <row r="27" spans="2:60">
      <c r="B27" s="1683" t="s">
        <v>983</v>
      </c>
      <c r="C27" s="1683"/>
      <c r="D27" s="1683"/>
      <c r="E27" s="1683"/>
      <c r="F27" s="1683"/>
      <c r="G27" s="1683"/>
      <c r="H27" s="247"/>
      <c r="I27" s="1685"/>
      <c r="J27" s="1685"/>
      <c r="K27" s="1685"/>
      <c r="L27" s="1685"/>
      <c r="M27" s="252"/>
      <c r="N27" s="252"/>
      <c r="O27" s="252"/>
    </row>
    <row r="28" spans="2:60">
      <c r="B28" s="248"/>
      <c r="C28" s="248"/>
      <c r="D28" s="248"/>
      <c r="E28" s="248"/>
      <c r="F28" s="248"/>
      <c r="G28" s="247"/>
      <c r="H28" s="247"/>
      <c r="I28" s="316"/>
      <c r="J28" s="316"/>
      <c r="K28" s="317"/>
      <c r="L28" s="316"/>
      <c r="M28" s="248"/>
      <c r="N28" s="248"/>
      <c r="O28" s="248"/>
    </row>
    <row r="29" spans="2:60">
      <c r="B29" s="248"/>
      <c r="C29" s="248"/>
      <c r="D29" s="248"/>
      <c r="E29" s="248"/>
      <c r="F29" s="248"/>
      <c r="G29" s="247"/>
      <c r="H29" s="247"/>
      <c r="I29" s="1685"/>
      <c r="J29" s="1685"/>
      <c r="K29" s="1685"/>
      <c r="L29" s="1685"/>
      <c r="M29" s="252"/>
      <c r="N29" s="252"/>
      <c r="O29" s="252"/>
    </row>
    <row r="30" spans="2:60">
      <c r="B30" s="248"/>
      <c r="C30" s="248"/>
      <c r="D30" s="248"/>
      <c r="E30" s="248"/>
      <c r="F30" s="248"/>
      <c r="G30" s="247"/>
      <c r="H30" s="247"/>
      <c r="I30" s="316"/>
      <c r="J30" s="316"/>
      <c r="K30" s="317"/>
      <c r="L30" s="316"/>
      <c r="M30" s="248"/>
      <c r="N30" s="248"/>
      <c r="O30" s="248"/>
    </row>
    <row r="31" spans="2:60">
      <c r="B31" s="248"/>
      <c r="C31" s="248"/>
      <c r="D31" s="248"/>
      <c r="E31" s="248"/>
      <c r="F31" s="248"/>
      <c r="G31" s="247"/>
      <c r="H31" s="247"/>
      <c r="I31" s="1685"/>
      <c r="J31" s="1685"/>
      <c r="K31" s="1685"/>
      <c r="L31" s="1685"/>
      <c r="M31" s="252"/>
      <c r="N31" s="252"/>
      <c r="O31" s="252"/>
    </row>
    <row r="32" spans="2:60">
      <c r="I32" s="315"/>
      <c r="J32" s="315"/>
      <c r="K32" s="315"/>
      <c r="L32" s="315"/>
    </row>
    <row r="33" spans="9:12">
      <c r="I33" s="315"/>
      <c r="J33" s="315"/>
      <c r="K33" s="315"/>
      <c r="L33" s="315"/>
    </row>
    <row r="34" spans="9:12">
      <c r="I34" s="315"/>
      <c r="J34" s="315"/>
      <c r="K34" s="315"/>
      <c r="L34" s="315"/>
    </row>
    <row r="35" spans="9:12">
      <c r="I35" s="315"/>
      <c r="J35" s="315"/>
      <c r="K35" s="315"/>
      <c r="L35" s="315"/>
    </row>
  </sheetData>
  <sheetProtection algorithmName="SHA-512" hashValue="tFWNGwUpWGflUg4F7/Klok2+DnruKxkzPRcyc83bcmGZRSNmpJMJIGHWCx8YvSos8cGZ09yqSor/FAu/IN4qgg==" saltValue="l06y8K4fIXuF2boeBQizhw==" spinCount="100000" sheet="1" objects="1" scenarios="1"/>
  <mergeCells count="74">
    <mergeCell ref="I31:L31"/>
    <mergeCell ref="AP14:AQ14"/>
    <mergeCell ref="AR14:AS14"/>
    <mergeCell ref="AT14:AU14"/>
    <mergeCell ref="B20:AW20"/>
    <mergeCell ref="M12:M15"/>
    <mergeCell ref="G12:G15"/>
    <mergeCell ref="E23:E24"/>
    <mergeCell ref="L23:O23"/>
    <mergeCell ref="I27:L27"/>
    <mergeCell ref="I29:L29"/>
    <mergeCell ref="F12:F15"/>
    <mergeCell ref="F23:J24"/>
    <mergeCell ref="P12:AU12"/>
    <mergeCell ref="B16:B19"/>
    <mergeCell ref="C16:C19"/>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N13:AU13"/>
    <mergeCell ref="AW13:AW15"/>
    <mergeCell ref="AX13:AX15"/>
    <mergeCell ref="AY13:AY15"/>
    <mergeCell ref="AZ13:AZ15"/>
    <mergeCell ref="B2:B6"/>
    <mergeCell ref="C2:BF6"/>
    <mergeCell ref="BG6:BH6"/>
    <mergeCell ref="AW7:BA7"/>
    <mergeCell ref="C8:D8"/>
    <mergeCell ref="D17:D19"/>
    <mergeCell ref="E17:E19"/>
    <mergeCell ref="B27:G27"/>
    <mergeCell ref="BE20:BH20"/>
    <mergeCell ref="C9:D9"/>
    <mergeCell ref="C10:D10"/>
    <mergeCell ref="B12:B15"/>
    <mergeCell ref="C12:C15"/>
    <mergeCell ref="D12:D15"/>
    <mergeCell ref="E12:E15"/>
    <mergeCell ref="BE12:BH12"/>
    <mergeCell ref="P13:W13"/>
    <mergeCell ref="X13:AE13"/>
    <mergeCell ref="AF13:AM13"/>
    <mergeCell ref="BB13:BB15"/>
    <mergeCell ref="BC13:BC15"/>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00B050"/>
  </sheetPr>
  <dimension ref="B1:BH31"/>
  <sheetViews>
    <sheetView showGridLines="0" zoomScale="55" zoomScaleNormal="55" workbookViewId="0">
      <selection activeCell="C2" sqref="C2:BF6"/>
    </sheetView>
  </sheetViews>
  <sheetFormatPr baseColWidth="10" defaultColWidth="17.33203125" defaultRowHeight="15" customHeight="1"/>
  <cols>
    <col min="1" max="1" width="4.33203125" style="135" customWidth="1"/>
    <col min="2" max="2" width="50.44140625" style="133" customWidth="1"/>
    <col min="3" max="3" width="33.33203125" style="133" customWidth="1"/>
    <col min="4" max="4" width="49.6640625" style="133" customWidth="1"/>
    <col min="5" max="6" width="28.33203125" style="133" customWidth="1"/>
    <col min="7" max="7" width="23.33203125" style="134" customWidth="1"/>
    <col min="8" max="8" width="29.33203125" style="134" customWidth="1"/>
    <col min="9" max="9" width="27.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84" t="s">
        <v>95</v>
      </c>
      <c r="D8" s="1584"/>
      <c r="E8" s="217"/>
      <c r="F8" s="217"/>
      <c r="G8" s="217"/>
      <c r="H8" s="217"/>
      <c r="I8" s="217"/>
      <c r="J8" s="217"/>
      <c r="K8" s="217"/>
      <c r="L8" s="217"/>
      <c r="M8" s="217"/>
      <c r="N8" s="217"/>
      <c r="O8" s="217"/>
      <c r="AW8" s="238"/>
      <c r="AX8" s="238"/>
      <c r="AY8" s="238"/>
      <c r="AZ8" s="238"/>
      <c r="BA8" s="238"/>
      <c r="BB8" s="238"/>
      <c r="BC8" s="238"/>
      <c r="BD8" s="238"/>
    </row>
    <row r="9" spans="2:60" ht="83.25" customHeight="1">
      <c r="B9" s="216" t="s">
        <v>34</v>
      </c>
      <c r="C9" s="1535" t="s">
        <v>556</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0.6"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64.4" customHeight="1">
      <c r="B16" s="148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7" t="str">
        <f>+'01-FR-03 POA INSTITUCIONAL'!C70</f>
        <v>4.4. Implementar el 100% de las acciones necesarias para la modernización de la gestión institucional a través de los procesos de apoyo, que permita una mejor prestación del servicio.</v>
      </c>
      <c r="D16" s="31" t="str">
        <f>+'01-FR-03 POA INSTITUCIONAL'!D76</f>
        <v>4.4.7 Realizar el 95% del reparto, dentro de un término no superior a tres (3) días hábiles, de las comunicaciones oficiales institucionales recibidas por el Grupo de Correspondencia.</v>
      </c>
      <c r="E16" s="52">
        <f>+'01-FR-03 POA INSTITUCIONAL'!E76</f>
        <v>0.05</v>
      </c>
      <c r="F16" s="52">
        <f>+'01-FR-03 POA INSTITUCIONAL'!F76</f>
        <v>0.95</v>
      </c>
      <c r="G16" s="161">
        <f>+'01-FR-03 POA INSTITUCIONAL'!K76</f>
        <v>0.95</v>
      </c>
      <c r="H16" s="140" t="str">
        <f>+'01-FR-03 POA INSTITUCIONAL'!G76</f>
        <v>S.I.</v>
      </c>
      <c r="I16" s="140" t="str">
        <f>+'01-FR-03 POA INSTITUCIONAL'!H76</f>
        <v>Porcentaje de Comunicaciones oficiales con reparto realizado dentro de los 3 días hábiles desde su radicación</v>
      </c>
      <c r="J16" s="218" t="s">
        <v>728</v>
      </c>
      <c r="K16" s="254" t="s">
        <v>730</v>
      </c>
      <c r="L16" s="221" t="s">
        <v>729</v>
      </c>
      <c r="M16" s="221" t="s">
        <v>541</v>
      </c>
      <c r="N16" s="242" t="s">
        <v>542</v>
      </c>
      <c r="O16" s="82" t="str">
        <f>+'01-FR-03 POA INSTITUCIONAL'!J76</f>
        <v>Subdirección de Gestión Documental y Recursos Físicos - Grupo de Correspondencia</v>
      </c>
      <c r="P16" s="349">
        <v>0.95</v>
      </c>
      <c r="Q16" s="349">
        <v>0.96099999999999997</v>
      </c>
      <c r="R16" s="349">
        <v>0.95</v>
      </c>
      <c r="S16" s="349">
        <v>0.96299999999999997</v>
      </c>
      <c r="T16" s="349">
        <v>0.95</v>
      </c>
      <c r="U16" s="349">
        <v>0.96199999999999997</v>
      </c>
      <c r="V16" s="350">
        <f>AVERAGE(P16,R16,T16)</f>
        <v>0.94999999999999984</v>
      </c>
      <c r="W16" s="350">
        <f>IFERROR(AVERAGE(Q16,S16,U16),0)</f>
        <v>0.96200000000000008</v>
      </c>
      <c r="X16" s="349">
        <v>0.95</v>
      </c>
      <c r="Y16" s="681">
        <v>0.96099999999999997</v>
      </c>
      <c r="Z16" s="349">
        <v>0.95</v>
      </c>
      <c r="AA16" s="681">
        <v>0.98399999999999999</v>
      </c>
      <c r="AB16" s="349">
        <v>0.95</v>
      </c>
      <c r="AC16" s="681">
        <v>0.98399999999999999</v>
      </c>
      <c r="AD16" s="350">
        <f>AVERAGE(X16,Z16,AB16)</f>
        <v>0.94999999999999984</v>
      </c>
      <c r="AE16" s="350">
        <f>IFERROR(AVERAGE(Y16,AA16,AC16),0)</f>
        <v>0.97633333333333328</v>
      </c>
      <c r="AF16" s="349">
        <v>0.95</v>
      </c>
      <c r="AG16" s="681">
        <v>0.98399999999999999</v>
      </c>
      <c r="AH16" s="349">
        <v>0.95</v>
      </c>
      <c r="AI16" s="681">
        <v>0.98399999999999999</v>
      </c>
      <c r="AJ16" s="349">
        <v>0.95</v>
      </c>
      <c r="AK16" s="681">
        <v>0.98399999999999999</v>
      </c>
      <c r="AL16" s="350">
        <f>AVERAGE(AF16,AH16,AJ16)</f>
        <v>0.94999999999999984</v>
      </c>
      <c r="AM16" s="350">
        <f>IFERROR(AVERAGE(AG16,AI16,AK16),0)</f>
        <v>0.98399999999999999</v>
      </c>
      <c r="AN16" s="349">
        <v>0.95</v>
      </c>
      <c r="AO16" s="407">
        <v>0</v>
      </c>
      <c r="AP16" s="349">
        <v>0.95</v>
      </c>
      <c r="AQ16" s="407">
        <v>0</v>
      </c>
      <c r="AR16" s="349">
        <v>0.95</v>
      </c>
      <c r="AS16" s="407">
        <v>0</v>
      </c>
      <c r="AT16" s="350">
        <f>AVERAGE(AN16,AP16,AR16)</f>
        <v>0.94999999999999984</v>
      </c>
      <c r="AU16" s="350">
        <f>IFERROR(AVERAGE(AO16,AQ16,AS16),0)</f>
        <v>0</v>
      </c>
      <c r="AV16" s="350">
        <f>AVERAGE(P16,R16,T16,X16,Z16,AB16,AF16,AH16,AJ16,AN16,AP16,AR16)</f>
        <v>0.94999999999999984</v>
      </c>
      <c r="AW16" s="334">
        <f>IFERROR(IF(OR($AV$17="",$AV$17=0),0,ROUNDDOWN(AVERAGE($Q16,$S16,$U16),3)),0)</f>
        <v>0.96199999999999997</v>
      </c>
      <c r="AX16" s="334">
        <f>IFERROR(IF(OR($AV$17="",$AV$17=0),0,ROUNDDOWN(AVERAGE($Q16,$S16,$U16,$Y16,$AA16,$AC16),3)),0)</f>
        <v>0.96899999999999997</v>
      </c>
      <c r="AY16" s="676">
        <f>IFERROR(IF(OR($AV$17="",$AV$17=0),0,ROUNDDOWN(AVERAGE($Q16,$S16,$U16,$Y16,$AA16,$AC16,$AG16,$AI16,$AK16),3)),0)</f>
        <v>0.97399999999999998</v>
      </c>
      <c r="AZ16" s="379">
        <f>IFERROR(IF(OR($AV$17="",$AV$17=0),0,ROUNDDOWN(AVERAGE($Q16,$S16,$U16,$Y16,$AA16,$AC16,$AG16,$AI16,$AK16,$AO16,$AQ16,$AS16),3)),0)</f>
        <v>0.73</v>
      </c>
      <c r="BA16" s="381">
        <f>(IF(AND(AW16&gt;0,$AV16&gt;0),AW16/$AV16,0))*0.25</f>
        <v>0.25315789473684214</v>
      </c>
      <c r="BB16" s="381">
        <f>(IF(AND(AX16&gt;0,$AV16&gt;0),AX16/$AV16,0))*0.5</f>
        <v>0.51000000000000012</v>
      </c>
      <c r="BC16" s="381">
        <f>(IF(AND(AY16&gt;0,$AV16&gt;0),AY16/$AV16,0))*0.75</f>
        <v>0.7689473684210526</v>
      </c>
      <c r="BD16" s="381">
        <f>(IF(AND(AZ16&gt;0,$AV16&gt;0),AZ16/$AV16,0))*1</f>
        <v>0.768421052631579</v>
      </c>
      <c r="BE16" s="390">
        <f>((IF(AND(AW16&gt;0,$F16&gt;0),AW16/$F16,0))*0.25)*0.25</f>
        <v>6.328947368421052E-2</v>
      </c>
      <c r="BF16" s="390">
        <f>((IF(AND(AX16&gt;0,$F16&gt;0),AX16/$F16,0))*0.25)*0.5</f>
        <v>0.1275</v>
      </c>
      <c r="BG16" s="689">
        <f>((IF(AND(AY16&gt;0,$F16&gt;0),AY16/$F16,0))/4)*0.75</f>
        <v>0.19223684210526315</v>
      </c>
      <c r="BH16" s="391">
        <f>((IF(AND(AZ16&gt;0,$F16&gt;0),AZ16/$F16,0))/4)*1</f>
        <v>0.19210526315789475</v>
      </c>
    </row>
    <row r="17" spans="2:60" ht="202.2" customHeight="1">
      <c r="B17" s="1488"/>
      <c r="C17" s="1488"/>
      <c r="D17" s="31" t="str">
        <f>+'01-FR-03 POA INSTITUCIONAL'!D77</f>
        <v>4.4.8 Incorporar el 80% al archivo central de las transferencias documentales provenientes de las dependencias, en razón a que cumplen los requisitos exigidos para ello.</v>
      </c>
      <c r="E17" s="52">
        <f>+'01-FR-03 POA INSTITUCIONAL'!E77</f>
        <v>0.05</v>
      </c>
      <c r="F17" s="52">
        <f>+'01-FR-03 POA INSTITUCIONAL'!F77</f>
        <v>0.8</v>
      </c>
      <c r="G17" s="161">
        <f>+'01-FR-03 POA INSTITUCIONAL'!K77</f>
        <v>0.8</v>
      </c>
      <c r="H17" s="140">
        <f>+'01-FR-03 POA INSTITUCIONAL'!G77</f>
        <v>264</v>
      </c>
      <c r="I17" s="140" t="str">
        <f>+'01-FR-03 POA INSTITUCIONAL'!H77</f>
        <v>Porcentaje de documentación incorporada en el archivo central durante la vigencia.</v>
      </c>
      <c r="J17" s="218" t="s">
        <v>558</v>
      </c>
      <c r="K17" s="254" t="s">
        <v>543</v>
      </c>
      <c r="L17" s="221" t="s">
        <v>544</v>
      </c>
      <c r="M17" s="221" t="s">
        <v>541</v>
      </c>
      <c r="N17" s="242" t="s">
        <v>545</v>
      </c>
      <c r="O17" s="82" t="str">
        <f>+'01-FR-03 POA INSTITUCIONAL'!J77</f>
        <v>Subdirección de Gestión Documental y Recursos Físicos - Archivo central</v>
      </c>
      <c r="P17" s="349">
        <v>0.8</v>
      </c>
      <c r="Q17" s="349">
        <v>0.8</v>
      </c>
      <c r="R17" s="349">
        <v>0.8</v>
      </c>
      <c r="S17" s="349">
        <v>0.8</v>
      </c>
      <c r="T17" s="349">
        <v>0.8</v>
      </c>
      <c r="U17" s="349">
        <v>0.8</v>
      </c>
      <c r="V17" s="350">
        <f>AVERAGE(P17,R17,T17)</f>
        <v>0.80000000000000016</v>
      </c>
      <c r="W17" s="350">
        <f>IFERROR(AVERAGE(Q17,S17,U17),0)</f>
        <v>0.80000000000000016</v>
      </c>
      <c r="X17" s="349">
        <v>0.8</v>
      </c>
      <c r="Y17" s="681">
        <v>0.8</v>
      </c>
      <c r="Z17" s="682">
        <v>0.8</v>
      </c>
      <c r="AA17" s="681">
        <v>0.8</v>
      </c>
      <c r="AB17" s="682">
        <v>0.8</v>
      </c>
      <c r="AC17" s="681">
        <v>0.8</v>
      </c>
      <c r="AD17" s="350">
        <f>AVERAGE(X17,Z17,AB17)</f>
        <v>0.80000000000000016</v>
      </c>
      <c r="AE17" s="350">
        <f>IFERROR(AVERAGE(Y17,AA17,AC17),0)</f>
        <v>0.80000000000000016</v>
      </c>
      <c r="AF17" s="349">
        <v>0.8</v>
      </c>
      <c r="AG17" s="681">
        <v>0.81</v>
      </c>
      <c r="AH17" s="349">
        <v>0.8</v>
      </c>
      <c r="AI17" s="681">
        <v>0.83</v>
      </c>
      <c r="AJ17" s="349">
        <v>0.8</v>
      </c>
      <c r="AK17" s="681">
        <v>0.81200000000000006</v>
      </c>
      <c r="AL17" s="350">
        <f>AVERAGE(AF17,AH17,AJ17)</f>
        <v>0.80000000000000016</v>
      </c>
      <c r="AM17" s="350">
        <f>IFERROR(AVERAGE(AG17,AI17,AK17),0)</f>
        <v>0.81733333333333336</v>
      </c>
      <c r="AN17" s="349">
        <v>0.8</v>
      </c>
      <c r="AO17" s="407">
        <v>0</v>
      </c>
      <c r="AP17" s="349">
        <v>0.8</v>
      </c>
      <c r="AQ17" s="407">
        <v>0</v>
      </c>
      <c r="AR17" s="349">
        <v>0.8</v>
      </c>
      <c r="AS17" s="407">
        <v>0</v>
      </c>
      <c r="AT17" s="350">
        <f>AVERAGE(AN17,AP17,AR17)</f>
        <v>0.80000000000000016</v>
      </c>
      <c r="AU17" s="350">
        <f>IFERROR(AVERAGE(AO17,AQ17,AS17),0)</f>
        <v>0</v>
      </c>
      <c r="AV17" s="350">
        <f>AVERAGE(P17,R17,T17,X17,Z17,AB17,AF17,AH17,AJ17,AN17,AP17,AR17)</f>
        <v>0.79999999999999993</v>
      </c>
      <c r="AW17" s="334">
        <f>IFERROR(IF(OR($AV$17="",$AV$17=0),0,ROUNDDOWN(AVERAGE($Q17,$S17,$U17),3)),0)</f>
        <v>0.8</v>
      </c>
      <c r="AX17" s="334">
        <f>IFERROR(IF(OR($AV$17="",$AV$17=0),0,ROUNDDOWN(AVERAGE($Q17,$S17,$U17,$Y17,$AA17,$AC17),3)),0)</f>
        <v>0.8</v>
      </c>
      <c r="AY17" s="676">
        <f>IFERROR(IF(OR($AV$17="",$AV$17=0),0,ROUNDDOWN(AVERAGE($Q17,$S17,$U17,$Y17,$AA17,$AC17,$AG17,$AI17,$AK17),3)),0)</f>
        <v>0.80500000000000005</v>
      </c>
      <c r="AZ17" s="379">
        <f>IFERROR(IF(OR($AV$17="",$AV$17=0),0,ROUNDDOWN(AVERAGE($Q17,$S17,$U17,$Y17,$AA17,$AC17,$AG17,$AI17,$AK17,$AO17,$AQ17,$AS17),3)),0)</f>
        <v>0.60399999999999998</v>
      </c>
      <c r="BA17" s="381">
        <f>(IF(AND(AW17&gt;0,$AV17&gt;0),AW17/$AV17,0))*0.25</f>
        <v>0.25000000000000006</v>
      </c>
      <c r="BB17" s="381">
        <f>(IF(AND(AX17&gt;0,$AV17&gt;0),AX17/$AV17,0))*0.5</f>
        <v>0.50000000000000011</v>
      </c>
      <c r="BC17" s="381">
        <f>(IF(AND(AY17&gt;0,$AV17&gt;0),AY17/$AV17,0))*0.75</f>
        <v>0.75468750000000007</v>
      </c>
      <c r="BD17" s="381">
        <f>(IF(AND(AZ17&gt;0,$AV17&gt;0),AZ17/$AV17,0))*1</f>
        <v>0.755</v>
      </c>
      <c r="BE17" s="390">
        <f>((IF(AND(AW17&gt;0,$F17&gt;0),AW17/$F17,0))*0.25)*0.25</f>
        <v>6.25E-2</v>
      </c>
      <c r="BF17" s="390">
        <f>((IF(AND(AX17&gt;0,$F17&gt;0),AX17/$F17,0))/4)*0.5</f>
        <v>0.125</v>
      </c>
      <c r="BG17" s="689">
        <f>((IF(AND(AY17&gt;0,$F17&gt;0),AY17/$F17,0))/4)*0.75</f>
        <v>0.18867187500000002</v>
      </c>
      <c r="BH17" s="391">
        <f>((IF(AND(AZ17&gt;0,$F17&gt;0),AZ17/$F17,0))/4)</f>
        <v>0.18874999999999997</v>
      </c>
    </row>
    <row r="18" spans="2:60" ht="171.6" customHeight="1">
      <c r="B18" s="1488"/>
      <c r="C18" s="1488"/>
      <c r="D18" s="31" t="str">
        <f>+'01-FR-03 POA INSTITUCIONAL'!D78</f>
        <v>4.4.9 Realizar 100 actividades de diseño, actualización o ajuste de los instrumentos archivísticos establecidos por norma.</v>
      </c>
      <c r="E18" s="52">
        <f>+'01-FR-03 POA INSTITUCIONAL'!E78</f>
        <v>0.05</v>
      </c>
      <c r="F18" s="365">
        <f>+'01-FR-03 POA INSTITUCIONAL'!F78</f>
        <v>100</v>
      </c>
      <c r="G18" s="140">
        <f>+'01-FR-03 POA INSTITUCIONAL'!K78</f>
        <v>25</v>
      </c>
      <c r="H18" s="140">
        <f>+'01-FR-03 POA INSTITUCIONAL'!G78</f>
        <v>32</v>
      </c>
      <c r="I18" s="140" t="str">
        <f>+'01-FR-03 POA INSTITUCIONAL'!H78</f>
        <v>Cantidad de actividades realizadas por año para el diseño, actualización o ajuste de los instrumentos archivísticos establecidos por norma</v>
      </c>
      <c r="J18" s="140" t="s">
        <v>546</v>
      </c>
      <c r="K18" s="254" t="s">
        <v>547</v>
      </c>
      <c r="L18" s="221" t="s">
        <v>548</v>
      </c>
      <c r="M18" s="221" t="s">
        <v>541</v>
      </c>
      <c r="N18" s="242" t="s">
        <v>549</v>
      </c>
      <c r="O18" s="82" t="str">
        <f>+'01-FR-03 POA INSTITUCIONAL'!J78</f>
        <v xml:space="preserve">Subdirección de Gestión Documental y Recursos Físicos </v>
      </c>
      <c r="P18" s="243">
        <v>1</v>
      </c>
      <c r="Q18" s="243">
        <v>1</v>
      </c>
      <c r="R18" s="243">
        <v>2</v>
      </c>
      <c r="S18" s="243">
        <v>3</v>
      </c>
      <c r="T18" s="243">
        <v>2</v>
      </c>
      <c r="U18" s="243">
        <v>3</v>
      </c>
      <c r="V18" s="91">
        <f t="shared" ref="V18:W19" si="0">P18+R18+T18</f>
        <v>5</v>
      </c>
      <c r="W18" s="91">
        <f t="shared" si="0"/>
        <v>7</v>
      </c>
      <c r="X18" s="243">
        <v>2</v>
      </c>
      <c r="Y18" s="683">
        <v>4</v>
      </c>
      <c r="Z18" s="683">
        <v>3</v>
      </c>
      <c r="AA18" s="683">
        <v>0</v>
      </c>
      <c r="AB18" s="683">
        <v>2</v>
      </c>
      <c r="AC18" s="683">
        <v>2</v>
      </c>
      <c r="AD18" s="91">
        <f t="shared" ref="AD18:AE19" si="1">X18+Z18+AB18</f>
        <v>7</v>
      </c>
      <c r="AE18" s="91">
        <f t="shared" si="1"/>
        <v>6</v>
      </c>
      <c r="AF18" s="243">
        <v>2</v>
      </c>
      <c r="AG18" s="243">
        <v>5</v>
      </c>
      <c r="AH18" s="243">
        <v>3</v>
      </c>
      <c r="AI18" s="243">
        <v>3</v>
      </c>
      <c r="AJ18" s="244">
        <v>2</v>
      </c>
      <c r="AK18" s="244">
        <v>2</v>
      </c>
      <c r="AL18" s="91">
        <f t="shared" ref="AL18:AM19" si="2">AF18+AH18+AJ18</f>
        <v>7</v>
      </c>
      <c r="AM18" s="91">
        <f t="shared" si="2"/>
        <v>10</v>
      </c>
      <c r="AN18" s="243">
        <v>3</v>
      </c>
      <c r="AO18" s="243"/>
      <c r="AP18" s="243">
        <v>2</v>
      </c>
      <c r="AQ18" s="243"/>
      <c r="AR18" s="243">
        <v>1</v>
      </c>
      <c r="AS18" s="243"/>
      <c r="AT18" s="91">
        <f t="shared" ref="AT18:AU19" si="3">AN18+AP18+AR18</f>
        <v>6</v>
      </c>
      <c r="AU18" s="91">
        <f t="shared" si="3"/>
        <v>0</v>
      </c>
      <c r="AV18" s="245">
        <f t="shared" ref="AV18:AV19" si="4">V18+AD18+AL18+AT18</f>
        <v>25</v>
      </c>
      <c r="AW18" s="81">
        <f t="shared" ref="AW18:AW19" si="5">+W18</f>
        <v>7</v>
      </c>
      <c r="AX18" s="81">
        <f t="shared" ref="AX18:AX19" si="6">+W18+AE18</f>
        <v>13</v>
      </c>
      <c r="AY18" s="685">
        <f t="shared" ref="AY18:AY19" si="7">+W18+AE18+AM18</f>
        <v>23</v>
      </c>
      <c r="AZ18" s="386">
        <f t="shared" ref="AZ18:AZ19" si="8">+W18+AE18+AM18+AU18</f>
        <v>23</v>
      </c>
      <c r="BA18" s="347">
        <f t="shared" ref="BA18:BA19" si="9">IF(AND(AW18&gt;0,AV18&gt;0),AW18/AV18,0)</f>
        <v>0.28000000000000003</v>
      </c>
      <c r="BB18" s="347">
        <f t="shared" ref="BB18:BD19" si="10">IF(AND(AX18&gt;0,$AV18&gt;0),AX18/$AV18,0)</f>
        <v>0.52</v>
      </c>
      <c r="BC18" s="347">
        <f t="shared" si="10"/>
        <v>0.92</v>
      </c>
      <c r="BD18" s="347">
        <f t="shared" si="10"/>
        <v>0.92</v>
      </c>
      <c r="BE18" s="390">
        <f>(IF(AND(AW18&gt;0,$F18&gt;0),AW18/$F18,0))</f>
        <v>7.0000000000000007E-2</v>
      </c>
      <c r="BF18" s="390">
        <f t="shared" ref="BF18:BH18" si="11">(IF(AND(AX18&gt;0,$F18&gt;0),AX18/$F18,0))</f>
        <v>0.13</v>
      </c>
      <c r="BG18" s="689">
        <f t="shared" si="11"/>
        <v>0.23</v>
      </c>
      <c r="BH18" s="391">
        <f t="shared" si="11"/>
        <v>0.23</v>
      </c>
    </row>
    <row r="19" spans="2:60" ht="240">
      <c r="B19" s="1489"/>
      <c r="C19" s="1489"/>
      <c r="D19" s="31" t="str">
        <f>+'01-FR-03 POA INSTITUCIONAL'!D79</f>
        <v>4.4.10 Realizar 100 actividades de implementación de los instrumentos archivísticos establecidos por norma, y de las herramientas de apoyo a la gestión documental.</v>
      </c>
      <c r="E19" s="52">
        <f>+'01-FR-03 POA INSTITUCIONAL'!E79</f>
        <v>0.05</v>
      </c>
      <c r="F19" s="365">
        <f>+'01-FR-03 POA INSTITUCIONAL'!F79</f>
        <v>100</v>
      </c>
      <c r="G19" s="140">
        <f>+'01-FR-03 POA INSTITUCIONAL'!K79</f>
        <v>25</v>
      </c>
      <c r="H19" s="140">
        <f>+'01-FR-03 POA INSTITUCIONAL'!G79</f>
        <v>26</v>
      </c>
      <c r="I19" s="140" t="str">
        <f>+'01-FR-03 POA INSTITUCIONAL'!H79</f>
        <v>Cantidad de actividades realizadas por año para implementación de los instrumentos archivísticos establecidos por norma, y de herramientas de apoyo a la gestión documental.</v>
      </c>
      <c r="J19" s="140" t="s">
        <v>550</v>
      </c>
      <c r="K19" s="254" t="s">
        <v>551</v>
      </c>
      <c r="L19" s="221" t="s">
        <v>552</v>
      </c>
      <c r="M19" s="221" t="s">
        <v>553</v>
      </c>
      <c r="N19" s="242" t="s">
        <v>554</v>
      </c>
      <c r="O19" s="82" t="str">
        <f>+'01-FR-03 POA INSTITUCIONAL'!J79</f>
        <v>Subdirección de Gestión Documental y Recursos Físicos
Dirección de Tecnologías de la Información y Comunicaciones</v>
      </c>
      <c r="P19" s="243">
        <v>1</v>
      </c>
      <c r="Q19" s="243">
        <v>2</v>
      </c>
      <c r="R19" s="243">
        <v>2</v>
      </c>
      <c r="S19" s="243">
        <v>2</v>
      </c>
      <c r="T19" s="243">
        <v>2</v>
      </c>
      <c r="U19" s="243">
        <v>2</v>
      </c>
      <c r="V19" s="91">
        <f t="shared" si="0"/>
        <v>5</v>
      </c>
      <c r="W19" s="91">
        <f t="shared" si="0"/>
        <v>6</v>
      </c>
      <c r="X19" s="243">
        <v>2</v>
      </c>
      <c r="Y19" s="683">
        <v>1</v>
      </c>
      <c r="Z19" s="683">
        <v>3</v>
      </c>
      <c r="AA19" s="683">
        <v>2</v>
      </c>
      <c r="AB19" s="683">
        <v>2</v>
      </c>
      <c r="AC19" s="683">
        <v>2</v>
      </c>
      <c r="AD19" s="91">
        <f t="shared" si="1"/>
        <v>7</v>
      </c>
      <c r="AE19" s="91">
        <f t="shared" si="1"/>
        <v>5</v>
      </c>
      <c r="AF19" s="243">
        <v>2</v>
      </c>
      <c r="AG19" s="243">
        <v>2</v>
      </c>
      <c r="AH19" s="243">
        <v>3</v>
      </c>
      <c r="AI19" s="243">
        <v>2</v>
      </c>
      <c r="AJ19" s="244">
        <v>2</v>
      </c>
      <c r="AK19" s="244">
        <v>2</v>
      </c>
      <c r="AL19" s="91">
        <f t="shared" si="2"/>
        <v>7</v>
      </c>
      <c r="AM19" s="91">
        <f t="shared" si="2"/>
        <v>6</v>
      </c>
      <c r="AN19" s="243">
        <v>3</v>
      </c>
      <c r="AO19" s="243"/>
      <c r="AP19" s="243">
        <v>2</v>
      </c>
      <c r="AQ19" s="243"/>
      <c r="AR19" s="243">
        <v>1</v>
      </c>
      <c r="AS19" s="243"/>
      <c r="AT19" s="91">
        <f t="shared" si="3"/>
        <v>6</v>
      </c>
      <c r="AU19" s="91">
        <f t="shared" si="3"/>
        <v>0</v>
      </c>
      <c r="AV19" s="245">
        <f t="shared" si="4"/>
        <v>25</v>
      </c>
      <c r="AW19" s="81">
        <f t="shared" si="5"/>
        <v>6</v>
      </c>
      <c r="AX19" s="81">
        <f t="shared" si="6"/>
        <v>11</v>
      </c>
      <c r="AY19" s="685">
        <f t="shared" si="7"/>
        <v>17</v>
      </c>
      <c r="AZ19" s="386">
        <f t="shared" si="8"/>
        <v>17</v>
      </c>
      <c r="BA19" s="347">
        <f t="shared" si="9"/>
        <v>0.24</v>
      </c>
      <c r="BB19" s="347">
        <f t="shared" si="10"/>
        <v>0.44</v>
      </c>
      <c r="BC19" s="347">
        <f t="shared" si="10"/>
        <v>0.68</v>
      </c>
      <c r="BD19" s="347">
        <f t="shared" si="10"/>
        <v>0.68</v>
      </c>
      <c r="BE19" s="390">
        <f>(IF(AND(AW19&gt;0,$F19&gt;0),AW19/$F19,0))</f>
        <v>0.06</v>
      </c>
      <c r="BF19" s="390">
        <f t="shared" ref="BF19" si="12">(IF(AND(AX19&gt;0,$F19&gt;0),AX19/$F19,0))</f>
        <v>0.11</v>
      </c>
      <c r="BG19" s="689">
        <f t="shared" ref="BG19" si="13">(IF(AND(AY19&gt;0,$F19&gt;0),AY19/$F19,0))</f>
        <v>0.17</v>
      </c>
      <c r="BH19" s="391">
        <f t="shared" ref="BH19" si="14">(IF(AND(AZ19&gt;0,$F19&gt;0),AZ19/$F19,0))</f>
        <v>0.17</v>
      </c>
    </row>
    <row r="20" spans="2:60" ht="22.8">
      <c r="B20" s="1491"/>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575"/>
      <c r="AX20" s="1539" t="s">
        <v>19</v>
      </c>
      <c r="AY20" s="1573"/>
      <c r="AZ20" s="1573"/>
      <c r="BA20" s="70">
        <f t="shared" ref="BA20:BD20" si="15">AVERAGE(BA16:BA19)</f>
        <v>0.25578947368421057</v>
      </c>
      <c r="BB20" s="70">
        <f t="shared" si="15"/>
        <v>0.49250000000000005</v>
      </c>
      <c r="BC20" s="70">
        <f t="shared" si="15"/>
        <v>0.78090871710526322</v>
      </c>
      <c r="BD20" s="70">
        <f t="shared" si="15"/>
        <v>0.78085526315789477</v>
      </c>
      <c r="BE20" s="1614"/>
      <c r="BF20" s="1615"/>
      <c r="BG20" s="1615"/>
      <c r="BH20" s="1616"/>
    </row>
    <row r="21" spans="2:60">
      <c r="B21" s="1512"/>
      <c r="C21" s="1512"/>
      <c r="D21" s="1512"/>
      <c r="E21" s="1512"/>
      <c r="F21" s="1512"/>
      <c r="G21" s="1512"/>
      <c r="H21" s="247"/>
      <c r="I21" s="248"/>
      <c r="J21" s="248"/>
      <c r="K21" s="248"/>
      <c r="L21" s="248"/>
      <c r="M21" s="248"/>
      <c r="N21" s="248"/>
      <c r="O21" s="248"/>
    </row>
    <row r="22" spans="2:60">
      <c r="B22" s="248"/>
      <c r="C22" s="248"/>
      <c r="D22" s="1524"/>
      <c r="E22" s="1524"/>
      <c r="F22" s="1524"/>
      <c r="G22" s="1524"/>
      <c r="H22" s="1524"/>
      <c r="I22" s="1524"/>
      <c r="J22" s="1524"/>
      <c r="K22" s="1524"/>
      <c r="L22" s="1524"/>
      <c r="M22" s="1524"/>
      <c r="N22" s="1524"/>
      <c r="O22" s="1524"/>
    </row>
    <row r="23" spans="2:60" ht="15.6">
      <c r="B23" s="77" t="s">
        <v>26</v>
      </c>
      <c r="C23" s="249">
        <v>44224</v>
      </c>
      <c r="D23" s="250"/>
      <c r="E23" s="1514" t="s">
        <v>50</v>
      </c>
      <c r="F23" s="364"/>
      <c r="G23" s="1515" t="s">
        <v>555</v>
      </c>
      <c r="H23" s="1515"/>
      <c r="I23" s="1515"/>
      <c r="J23" s="1515"/>
      <c r="K23" s="251"/>
      <c r="L23" s="1568"/>
      <c r="M23" s="1568"/>
      <c r="N23" s="1568"/>
      <c r="O23" s="1577"/>
    </row>
    <row r="24" spans="2:60" ht="15.6">
      <c r="B24" s="248"/>
      <c r="C24" s="248"/>
      <c r="D24" s="251"/>
      <c r="E24" s="1514"/>
      <c r="F24" s="364"/>
      <c r="G24" s="1515"/>
      <c r="H24" s="1515"/>
      <c r="I24" s="1515"/>
      <c r="J24" s="1515"/>
      <c r="K24" s="248"/>
      <c r="L24" s="248"/>
      <c r="M24" s="248"/>
      <c r="N24" s="248"/>
      <c r="O24" s="248"/>
    </row>
    <row r="25" spans="2:60" ht="15.6">
      <c r="B25" s="77" t="s">
        <v>49</v>
      </c>
      <c r="C25" s="249"/>
      <c r="D25" s="248"/>
      <c r="E25" s="248"/>
      <c r="F25" s="248"/>
      <c r="K25" s="248"/>
      <c r="L25" s="248"/>
      <c r="M25" s="248"/>
      <c r="N25" s="248"/>
      <c r="O25" s="248"/>
    </row>
    <row r="26" spans="2:60">
      <c r="B26" s="248"/>
      <c r="C26" s="248"/>
      <c r="D26" s="248"/>
      <c r="E26" s="248"/>
      <c r="F26" s="248"/>
      <c r="K26" s="248"/>
      <c r="L26" s="248"/>
      <c r="M26" s="248"/>
      <c r="N26" s="248"/>
      <c r="O26" s="248"/>
    </row>
    <row r="27" spans="2:60">
      <c r="B27" s="1683" t="s">
        <v>983</v>
      </c>
      <c r="C27" s="1683"/>
      <c r="D27" s="1683"/>
      <c r="E27" s="1683"/>
      <c r="F27" s="1683"/>
      <c r="G27" s="1683"/>
      <c r="H27" s="247"/>
      <c r="I27" s="1576"/>
      <c r="J27" s="1576"/>
      <c r="K27" s="1576"/>
      <c r="L27" s="1576"/>
      <c r="M27" s="252"/>
      <c r="N27" s="252"/>
      <c r="O27" s="252"/>
    </row>
    <row r="28" spans="2:60">
      <c r="B28" s="248"/>
      <c r="C28" s="248"/>
      <c r="D28" s="248"/>
      <c r="E28" s="248"/>
      <c r="F28" s="248"/>
      <c r="G28" s="247"/>
      <c r="H28" s="247"/>
      <c r="I28" s="248"/>
      <c r="J28" s="248"/>
      <c r="K28" s="253"/>
      <c r="L28" s="248"/>
      <c r="M28" s="248"/>
      <c r="N28" s="248"/>
      <c r="O28" s="248"/>
    </row>
    <row r="29" spans="2:60">
      <c r="B29" s="248"/>
      <c r="C29" s="248"/>
      <c r="D29" s="248"/>
      <c r="E29" s="248"/>
      <c r="F29" s="248"/>
      <c r="G29" s="247"/>
      <c r="H29" s="247"/>
      <c r="I29" s="1576"/>
      <c r="J29" s="1576"/>
      <c r="K29" s="1576"/>
      <c r="L29" s="1576"/>
      <c r="M29" s="252"/>
      <c r="N29" s="252"/>
      <c r="O29" s="252"/>
    </row>
    <row r="30" spans="2:60">
      <c r="B30" s="248"/>
      <c r="C30" s="248"/>
      <c r="D30" s="248"/>
      <c r="E30" s="248"/>
      <c r="F30" s="248"/>
      <c r="G30" s="247"/>
      <c r="H30" s="247"/>
      <c r="I30" s="248"/>
      <c r="J30" s="248"/>
      <c r="K30" s="253"/>
      <c r="L30" s="248"/>
      <c r="M30" s="248"/>
      <c r="N30" s="248"/>
      <c r="O30" s="248"/>
    </row>
    <row r="31" spans="2:60">
      <c r="B31" s="248"/>
      <c r="C31" s="248"/>
      <c r="D31" s="248"/>
      <c r="E31" s="248"/>
      <c r="F31" s="248"/>
      <c r="G31" s="247"/>
      <c r="H31" s="247"/>
      <c r="I31" s="1576"/>
      <c r="J31" s="1576"/>
      <c r="K31" s="1576"/>
      <c r="L31" s="1576"/>
      <c r="M31" s="252"/>
      <c r="N31" s="252"/>
      <c r="O31" s="252"/>
    </row>
  </sheetData>
  <sheetProtection algorithmName="SHA-512" hashValue="Gw/vlOKYXzz3HCx/8281RSdTGyxGkDjWG/gnu83onSSGUJu0fTvRQLRiq8XmMxGpcqQuq1uH9cTeOZ9hKnpo2w==" saltValue="kuEhKisMndhcSy12DVX7Zw==" spinCount="100000" sheet="1" objects="1" scenarios="1"/>
  <mergeCells count="72">
    <mergeCell ref="BE20:BH20"/>
    <mergeCell ref="I29:L29"/>
    <mergeCell ref="I31:L31"/>
    <mergeCell ref="B21:G21"/>
    <mergeCell ref="AX20:AZ20"/>
    <mergeCell ref="D22:O22"/>
    <mergeCell ref="E23:E24"/>
    <mergeCell ref="G23:J24"/>
    <mergeCell ref="L23:O23"/>
    <mergeCell ref="I27:L27"/>
    <mergeCell ref="B20:AW20"/>
    <mergeCell ref="B27:G27"/>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AN14:AO14"/>
    <mergeCell ref="N12:N15"/>
    <mergeCell ref="O12:O15"/>
    <mergeCell ref="H12:H15"/>
    <mergeCell ref="I12:I15"/>
    <mergeCell ref="J12:J15"/>
    <mergeCell ref="AD14:AE14"/>
    <mergeCell ref="AF14:AG14"/>
    <mergeCell ref="AH14:AI14"/>
    <mergeCell ref="K12:K15"/>
    <mergeCell ref="L12:L15"/>
    <mergeCell ref="M12:M15"/>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00B050"/>
  </sheetPr>
  <dimension ref="A1:BH32"/>
  <sheetViews>
    <sheetView showGridLines="0" zoomScale="70" zoomScaleNormal="70" workbookViewId="0">
      <selection activeCell="C2" sqref="C2:BF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1" style="133" customWidth="1"/>
    <col min="10" max="10" width="46.4414062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1:60" ht="15.6" thickBot="1"/>
    <row r="2" spans="1:60"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1:60"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1: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1:60"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1: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1: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1:60" ht="21">
      <c r="B8" s="216" t="s">
        <v>45</v>
      </c>
      <c r="C8" s="1584" t="s">
        <v>96</v>
      </c>
      <c r="D8" s="1584"/>
      <c r="E8" s="217"/>
      <c r="F8" s="217"/>
      <c r="G8" s="217"/>
      <c r="H8" s="217"/>
      <c r="I8" s="217"/>
      <c r="J8" s="217"/>
      <c r="K8" s="217"/>
      <c r="L8" s="217"/>
      <c r="M8" s="217"/>
      <c r="N8" s="217"/>
      <c r="O8" s="217"/>
      <c r="AW8" s="238"/>
      <c r="AX8" s="238"/>
      <c r="AY8" s="238"/>
      <c r="AZ8" s="238"/>
      <c r="BA8" s="238"/>
      <c r="BB8" s="238"/>
      <c r="BC8" s="238"/>
      <c r="BD8" s="238"/>
    </row>
    <row r="9" spans="1:60" ht="75.75" customHeight="1">
      <c r="B9" s="216" t="s">
        <v>34</v>
      </c>
      <c r="C9" s="1658" t="s">
        <v>580</v>
      </c>
      <c r="D9" s="1536"/>
      <c r="E9" s="217"/>
      <c r="F9" s="217"/>
      <c r="G9" s="217"/>
      <c r="H9" s="217"/>
      <c r="I9" s="217"/>
      <c r="J9" s="217"/>
      <c r="K9" s="217"/>
      <c r="L9" s="217"/>
      <c r="M9" s="217"/>
      <c r="N9" s="217"/>
      <c r="O9" s="217"/>
      <c r="AW9" s="238"/>
      <c r="AX9" s="238"/>
      <c r="AY9" s="238"/>
      <c r="AZ9" s="238"/>
      <c r="BA9" s="238"/>
      <c r="BB9" s="238"/>
      <c r="BC9" s="238"/>
      <c r="BD9" s="238"/>
    </row>
    <row r="10" spans="1: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1: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1:60" ht="24"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1: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1: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1: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1:60" ht="102.6" customHeight="1">
      <c r="A16" s="277"/>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INSTITUCIONAL'!C70</f>
        <v>4.4. Implementar el 100% de las acciones necesarias para la modernización de la gestión institucional a través de los procesos de apoyo, que permita una mejor prestación del servicio.</v>
      </c>
      <c r="D16" s="31" t="str">
        <f>+'01-FR-03 POA INSTITUCIONAL'!D80</f>
        <v>4.4.11  Representar a la Entidad en el 100% de los procesos judiciales en los cuales la sea vinculada o demandada.</v>
      </c>
      <c r="E16" s="52">
        <f>+'01-FR-03 POA INSTITUCIONAL'!E80</f>
        <v>0.05</v>
      </c>
      <c r="F16" s="52">
        <f>+'01-FR-03 POA INSTITUCIONAL'!F80</f>
        <v>1</v>
      </c>
      <c r="G16" s="161">
        <f>+'01-FR-03 POA INSTITUCIONAL'!K80</f>
        <v>1</v>
      </c>
      <c r="H16" s="33">
        <f>+'01-FR-03 POA INSTITUCIONAL'!G80</f>
        <v>1</v>
      </c>
      <c r="I16" s="140" t="str">
        <f>+'01-FR-03 POA INSTITUCIONAL'!H80</f>
        <v>Porcentaje de procesos judiciales en los que se vincule o demande a la Entidad, objeto de representación oportuna</v>
      </c>
      <c r="J16" s="318" t="s">
        <v>569</v>
      </c>
      <c r="K16" s="221" t="s">
        <v>570</v>
      </c>
      <c r="L16" s="221" t="s">
        <v>571</v>
      </c>
      <c r="M16" s="221" t="s">
        <v>572</v>
      </c>
      <c r="N16" s="221" t="s">
        <v>573</v>
      </c>
      <c r="O16" s="319" t="str">
        <f>+'01-FR-03 POA INSTITUCIONAL'!J80</f>
        <v>Oficina Asesora Jurídica</v>
      </c>
      <c r="P16" s="145">
        <v>1</v>
      </c>
      <c r="Q16" s="145">
        <v>1</v>
      </c>
      <c r="R16" s="145">
        <v>1</v>
      </c>
      <c r="S16" s="145">
        <v>1</v>
      </c>
      <c r="T16" s="145">
        <v>1</v>
      </c>
      <c r="U16" s="145">
        <v>1</v>
      </c>
      <c r="V16" s="66">
        <f>AVERAGE(P16,R16,T16)</f>
        <v>1</v>
      </c>
      <c r="W16" s="66">
        <f>IFERROR(AVERAGE(Q16,S16,U16),0)</f>
        <v>1</v>
      </c>
      <c r="X16" s="145">
        <v>1</v>
      </c>
      <c r="Y16" s="684">
        <v>1</v>
      </c>
      <c r="Z16" s="145">
        <v>1</v>
      </c>
      <c r="AA16" s="684">
        <v>1</v>
      </c>
      <c r="AB16" s="145">
        <v>1</v>
      </c>
      <c r="AC16" s="684">
        <v>1</v>
      </c>
      <c r="AD16" s="66">
        <f>AVERAGE(X16,Z16,AB16)</f>
        <v>1</v>
      </c>
      <c r="AE16" s="66">
        <f>IFERROR(AVERAGE(Y16,AA16,AC16),0)</f>
        <v>1</v>
      </c>
      <c r="AF16" s="145">
        <v>1</v>
      </c>
      <c r="AG16" s="145">
        <v>1</v>
      </c>
      <c r="AH16" s="145">
        <v>1</v>
      </c>
      <c r="AI16" s="145">
        <v>1</v>
      </c>
      <c r="AJ16" s="145">
        <v>1</v>
      </c>
      <c r="AK16" s="145">
        <v>1</v>
      </c>
      <c r="AL16" s="66">
        <f>AVERAGE(AF16,AH16,AJ16)</f>
        <v>1</v>
      </c>
      <c r="AM16" s="66">
        <f>IFERROR(AVERAGE(AG16,AI16,AK16),0)</f>
        <v>1</v>
      </c>
      <c r="AN16" s="145">
        <v>1</v>
      </c>
      <c r="AO16" s="398">
        <v>0</v>
      </c>
      <c r="AP16" s="145">
        <v>1</v>
      </c>
      <c r="AQ16" s="398">
        <v>0</v>
      </c>
      <c r="AR16" s="145">
        <v>1</v>
      </c>
      <c r="AS16" s="398">
        <v>0</v>
      </c>
      <c r="AT16" s="66">
        <f>AVERAGE(AN16,AP16,AR16)</f>
        <v>1</v>
      </c>
      <c r="AU16" s="66">
        <f>IFERROR(AVERAGE(AO16,AQ16,AS16),0)</f>
        <v>0</v>
      </c>
      <c r="AV16" s="66">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377">
        <f t="shared" ref="AZ16:AZ20" si="0">IFERROR(IF(OR($AV$16="",$AV$16=0),0,ROUNDDOWN(AVERAGE($Q16,$S16,$U16,$Y16,$AA16,$AC16,$AG16,$AI16,$AK16,$AO16,$AQ16,$AS16),3)),0)</f>
        <v>0.75</v>
      </c>
      <c r="BA16" s="382">
        <f>(IF(AND(AW16&gt;0,$AV16&gt;0),AW16/$AV16,0))*0.25</f>
        <v>0.25</v>
      </c>
      <c r="BB16" s="382">
        <f>(IF(AND(AX16&gt;0,$AV16&gt;0),AX16/$AV16,0))*0.5</f>
        <v>0.5</v>
      </c>
      <c r="BC16" s="382">
        <f>(IF(AND(AY16&gt;0,$AV16&gt;0),AY16/$AV16,0))*0.75</f>
        <v>0.75</v>
      </c>
      <c r="BD16" s="382">
        <f>(IF(AND(AZ16&gt;0,$AV16&gt;0),AZ16/$AV16,0))*1</f>
        <v>0.75</v>
      </c>
      <c r="BE16" s="394">
        <f>((IF(AND(AW16&gt;0,$F16&gt;0),AW16/$F16,0))/4)*0.25</f>
        <v>6.25E-2</v>
      </c>
      <c r="BF16" s="390">
        <f>((IF(AND(AX16&gt;0,$F16&gt;0),AX16/$F16,0))/4)*0.5</f>
        <v>0.125</v>
      </c>
      <c r="BG16" s="394">
        <f>((IF(AND(AY16&gt;0,$F16&gt;0),AY16/$F16,0))/4)*0.75</f>
        <v>0.1875</v>
      </c>
      <c r="BH16" s="395">
        <f>((IF(AND(AZ16&gt;0,$F16&gt;0),AZ16/$F16,0))/4)*1</f>
        <v>0.1875</v>
      </c>
    </row>
    <row r="17" spans="1:60" ht="150">
      <c r="A17" s="277"/>
      <c r="B17" s="1542"/>
      <c r="C17" s="1542"/>
      <c r="D17" s="31" t="str">
        <f>+'01-FR-03 POA INSTITUCIONAL'!D81</f>
        <v xml:space="preserve">4.4.12 Defender judicialmente a la Entidad en el 100% de las acciones de tutela en las cuales sea vinculada o accionada </v>
      </c>
      <c r="E17" s="52">
        <f>+'01-FR-03 POA INSTITUCIONAL'!E81</f>
        <v>0.05</v>
      </c>
      <c r="F17" s="52">
        <f>+'01-FR-03 POA INSTITUCIONAL'!F81</f>
        <v>1</v>
      </c>
      <c r="G17" s="161">
        <f>+'01-FR-03 POA INSTITUCIONAL'!K81</f>
        <v>1</v>
      </c>
      <c r="H17" s="33">
        <f>+'01-FR-03 POA INSTITUCIONAL'!G81</f>
        <v>1</v>
      </c>
      <c r="I17" s="140" t="str">
        <f>+'01-FR-03 POA INSTITUCIONAL'!H81</f>
        <v xml:space="preserve">Porcentaje de acciones de tutela en las cuales se defienda judicialmente a la Entidad oportunamente </v>
      </c>
      <c r="J17" s="318" t="s">
        <v>574</v>
      </c>
      <c r="K17" s="241" t="s">
        <v>575</v>
      </c>
      <c r="L17" s="221" t="s">
        <v>571</v>
      </c>
      <c r="M17" s="221" t="s">
        <v>572</v>
      </c>
      <c r="N17" s="221" t="s">
        <v>573</v>
      </c>
      <c r="O17" s="319" t="str">
        <f>+'01-FR-03 POA INSTITUCIONAL'!J81</f>
        <v>Oficina Asesora Jurídica</v>
      </c>
      <c r="P17" s="145">
        <v>1</v>
      </c>
      <c r="Q17" s="145">
        <v>1</v>
      </c>
      <c r="R17" s="145">
        <v>1</v>
      </c>
      <c r="S17" s="145">
        <v>1</v>
      </c>
      <c r="T17" s="145">
        <v>1</v>
      </c>
      <c r="U17" s="145">
        <v>1</v>
      </c>
      <c r="V17" s="66">
        <f t="shared" ref="V17:V19" si="1">AVERAGE(P17,R17,T17)</f>
        <v>1</v>
      </c>
      <c r="W17" s="66">
        <f t="shared" ref="W17:W19" si="2">IFERROR(AVERAGE(Q17,S17,U17),0)</f>
        <v>1</v>
      </c>
      <c r="X17" s="145">
        <v>1</v>
      </c>
      <c r="Y17" s="684">
        <v>1</v>
      </c>
      <c r="Z17" s="145">
        <v>1</v>
      </c>
      <c r="AA17" s="684">
        <v>1</v>
      </c>
      <c r="AB17" s="145">
        <v>1</v>
      </c>
      <c r="AC17" s="684">
        <v>1</v>
      </c>
      <c r="AD17" s="66">
        <f t="shared" ref="AD17:AD19" si="3">AVERAGE(X17,Z17,AB17)</f>
        <v>1</v>
      </c>
      <c r="AE17" s="66">
        <f t="shared" ref="AE17:AE19" si="4">IFERROR(AVERAGE(Y17,AA17,AC17),0)</f>
        <v>1</v>
      </c>
      <c r="AF17" s="145">
        <v>1</v>
      </c>
      <c r="AG17" s="145">
        <v>1</v>
      </c>
      <c r="AH17" s="145">
        <v>1</v>
      </c>
      <c r="AI17" s="145">
        <v>1</v>
      </c>
      <c r="AJ17" s="145">
        <v>1</v>
      </c>
      <c r="AK17" s="145">
        <v>1</v>
      </c>
      <c r="AL17" s="66">
        <f t="shared" ref="AL17:AL19" si="5">AVERAGE(AF17,AH17,AJ17)</f>
        <v>1</v>
      </c>
      <c r="AM17" s="66">
        <f t="shared" ref="AM17:AM19" si="6">IFERROR(AVERAGE(AG17,AI17,AK17),0)</f>
        <v>1</v>
      </c>
      <c r="AN17" s="145">
        <v>1</v>
      </c>
      <c r="AO17" s="398">
        <v>0</v>
      </c>
      <c r="AP17" s="145">
        <v>1</v>
      </c>
      <c r="AQ17" s="398">
        <v>0</v>
      </c>
      <c r="AR17" s="145">
        <v>1</v>
      </c>
      <c r="AS17" s="398">
        <v>0</v>
      </c>
      <c r="AT17" s="66">
        <f t="shared" ref="AT17:AT19" si="7">AVERAGE(AN17,AP17,AR17)</f>
        <v>1</v>
      </c>
      <c r="AU17" s="66">
        <f t="shared" ref="AU17:AU19" si="8">IFERROR(AVERAGE(AO17,AQ17,AS17),0)</f>
        <v>0</v>
      </c>
      <c r="AV17" s="66">
        <f t="shared" ref="AV17:AV19" si="9">AVERAGE(P17,R17,T17,X17,Z17,AB17,AF17,AH17,AJ17,AN17,AP17,AR17)</f>
        <v>1</v>
      </c>
      <c r="AW17" s="65">
        <f t="shared" ref="AW17:AW20" si="10">IFERROR(IF(OR($AV$16="",$AV$16=0),0,ROUNDDOWN(AVERAGE($Q17,$S17,$U17),3)),0)</f>
        <v>1</v>
      </c>
      <c r="AX17" s="65">
        <f t="shared" ref="AX17:AX20" si="11">IFERROR(IF(OR($AV$17="",$AV$17=0),0,ROUNDDOWN(AVERAGE($Q17,$S17,$U17,$Y17,$AA17,$AC17),3)),0)</f>
        <v>1</v>
      </c>
      <c r="AY17" s="65">
        <f t="shared" ref="AY17:AY20" si="12">IFERROR(IF(OR($AV$16="",$AV$16=0),0,ROUNDDOWN(AVERAGE($Q17,$S17,$U17,$Y17,$AA17,$AC17,$AG17,$AI17,$AK17),3)),0)</f>
        <v>1</v>
      </c>
      <c r="AZ17" s="377">
        <f t="shared" si="0"/>
        <v>0.75</v>
      </c>
      <c r="BA17" s="382">
        <f t="shared" ref="BA17:BA20" si="13">(IF(AND(AW17&gt;0,$AV17&gt;0),AW17/$AV17,0))*0.25</f>
        <v>0.25</v>
      </c>
      <c r="BB17" s="382">
        <f t="shared" ref="BB17:BB20" si="14">(IF(AND(AX17&gt;0,$AV17&gt;0),AX17/$AV17,0))*0.5</f>
        <v>0.5</v>
      </c>
      <c r="BC17" s="382">
        <f t="shared" ref="BC17:BC20" si="15">(IF(AND(AY17&gt;0,$AV17&gt;0),AY17/$AV17,0))*0.75</f>
        <v>0.75</v>
      </c>
      <c r="BD17" s="382">
        <f t="shared" ref="BD17:BD20" si="16">(IF(AND(AZ17&gt;0,$AV17&gt;0),AZ17/$AV17,0))*1</f>
        <v>0.75</v>
      </c>
      <c r="BE17" s="394">
        <f t="shared" ref="BE17:BE20" si="17">((IF(AND(AW17&gt;0,$F17&gt;0),AW17/$F17,0))/4)*0.25</f>
        <v>6.25E-2</v>
      </c>
      <c r="BF17" s="390">
        <f t="shared" ref="BF17:BF20" si="18">((IF(AND(AX17&gt;0,$F17&gt;0),AX17/$F17,0))/4)*0.5</f>
        <v>0.125</v>
      </c>
      <c r="BG17" s="394">
        <f t="shared" ref="BG17:BG20" si="19">((IF(AND(AY17&gt;0,$F17&gt;0),AY17/$F17,0))/4)*0.75</f>
        <v>0.1875</v>
      </c>
      <c r="BH17" s="395">
        <f t="shared" ref="BH17:BH20" si="20">((IF(AND(AZ17&gt;0,$F17&gt;0),AZ17/$F17,0))/4)*1</f>
        <v>0.1875</v>
      </c>
    </row>
    <row r="18" spans="1:60" ht="75">
      <c r="A18" s="277"/>
      <c r="B18" s="1542"/>
      <c r="C18" s="1542"/>
      <c r="D18" s="31" t="str">
        <f>+'01-FR-03 POA INSTITUCIONAL'!D82</f>
        <v>4.4.13 Emitir oportunamente el 100% de los conceptos jurídicos solicitados por el Despacho del Personero de Bogotá o sus delegados.</v>
      </c>
      <c r="E18" s="52">
        <f>+'01-FR-03 POA INSTITUCIONAL'!E82</f>
        <v>0.05</v>
      </c>
      <c r="F18" s="52">
        <f>+'01-FR-03 POA INSTITUCIONAL'!F82</f>
        <v>1</v>
      </c>
      <c r="G18" s="161">
        <f>+'01-FR-03 POA INSTITUCIONAL'!K82</f>
        <v>1</v>
      </c>
      <c r="H18" s="33">
        <f>+'01-FR-03 POA INSTITUCIONAL'!G82</f>
        <v>1</v>
      </c>
      <c r="I18" s="140" t="str">
        <f>+'01-FR-03 POA INSTITUCIONAL'!H82</f>
        <v>Porcentaje de conceptos de competencia de la dependencia emitidos oportunamente</v>
      </c>
      <c r="J18" s="318" t="s">
        <v>576</v>
      </c>
      <c r="K18" s="241" t="s">
        <v>577</v>
      </c>
      <c r="L18" s="221" t="s">
        <v>578</v>
      </c>
      <c r="M18" s="221" t="s">
        <v>572</v>
      </c>
      <c r="N18" s="221" t="s">
        <v>573</v>
      </c>
      <c r="O18" s="319" t="str">
        <f>+'01-FR-03 POA INSTITUCIONAL'!J82</f>
        <v>Oficina Asesora Jurídica</v>
      </c>
      <c r="P18" s="145">
        <v>1</v>
      </c>
      <c r="Q18" s="145">
        <v>1</v>
      </c>
      <c r="R18" s="145">
        <v>1</v>
      </c>
      <c r="S18" s="145">
        <v>1</v>
      </c>
      <c r="T18" s="145">
        <v>1</v>
      </c>
      <c r="U18" s="145">
        <v>1</v>
      </c>
      <c r="V18" s="66">
        <f t="shared" si="1"/>
        <v>1</v>
      </c>
      <c r="W18" s="66">
        <f t="shared" si="2"/>
        <v>1</v>
      </c>
      <c r="X18" s="145">
        <v>1</v>
      </c>
      <c r="Y18" s="684">
        <v>1</v>
      </c>
      <c r="Z18" s="145">
        <v>1</v>
      </c>
      <c r="AA18" s="684">
        <v>1</v>
      </c>
      <c r="AB18" s="145">
        <v>1</v>
      </c>
      <c r="AC18" s="684">
        <v>1</v>
      </c>
      <c r="AD18" s="66">
        <f t="shared" si="3"/>
        <v>1</v>
      </c>
      <c r="AE18" s="66">
        <f t="shared" si="4"/>
        <v>1</v>
      </c>
      <c r="AF18" s="145">
        <v>1</v>
      </c>
      <c r="AG18" s="145">
        <v>1</v>
      </c>
      <c r="AH18" s="145">
        <v>1</v>
      </c>
      <c r="AI18" s="145">
        <v>1</v>
      </c>
      <c r="AJ18" s="145">
        <v>1</v>
      </c>
      <c r="AK18" s="145">
        <v>1</v>
      </c>
      <c r="AL18" s="66">
        <f t="shared" si="5"/>
        <v>1</v>
      </c>
      <c r="AM18" s="66">
        <f t="shared" si="6"/>
        <v>1</v>
      </c>
      <c r="AN18" s="145">
        <v>1</v>
      </c>
      <c r="AO18" s="398">
        <v>0</v>
      </c>
      <c r="AP18" s="145">
        <v>1</v>
      </c>
      <c r="AQ18" s="398">
        <v>0</v>
      </c>
      <c r="AR18" s="145">
        <v>1</v>
      </c>
      <c r="AS18" s="398">
        <v>0</v>
      </c>
      <c r="AT18" s="66">
        <f t="shared" si="7"/>
        <v>1</v>
      </c>
      <c r="AU18" s="66">
        <f t="shared" si="8"/>
        <v>0</v>
      </c>
      <c r="AV18" s="66">
        <f t="shared" si="9"/>
        <v>1</v>
      </c>
      <c r="AW18" s="65">
        <f t="shared" si="10"/>
        <v>1</v>
      </c>
      <c r="AX18" s="65">
        <f t="shared" si="11"/>
        <v>1</v>
      </c>
      <c r="AY18" s="65">
        <f t="shared" si="12"/>
        <v>1</v>
      </c>
      <c r="AZ18" s="377">
        <f t="shared" si="0"/>
        <v>0.75</v>
      </c>
      <c r="BA18" s="382">
        <f t="shared" si="13"/>
        <v>0.25</v>
      </c>
      <c r="BB18" s="382">
        <f t="shared" si="14"/>
        <v>0.5</v>
      </c>
      <c r="BC18" s="382">
        <f t="shared" si="15"/>
        <v>0.75</v>
      </c>
      <c r="BD18" s="382">
        <f t="shared" si="16"/>
        <v>0.75</v>
      </c>
      <c r="BE18" s="394">
        <f t="shared" si="17"/>
        <v>6.25E-2</v>
      </c>
      <c r="BF18" s="390">
        <f t="shared" si="18"/>
        <v>0.125</v>
      </c>
      <c r="BG18" s="394">
        <f t="shared" si="19"/>
        <v>0.1875</v>
      </c>
      <c r="BH18" s="395">
        <f t="shared" si="20"/>
        <v>0.1875</v>
      </c>
    </row>
    <row r="19" spans="1:60" ht="90">
      <c r="A19" s="277"/>
      <c r="B19" s="1542"/>
      <c r="C19" s="1542"/>
      <c r="D19" s="1541" t="str">
        <f>+'01-FR-03 POA INSTITUCIONAL'!D83</f>
        <v>4.4.14 Registrar el 100% de los reportes de las sanciones disciplinarias de los servidores públicos distritales.</v>
      </c>
      <c r="E19" s="1490">
        <f>+'01-FR-03 POA INSTITUCIONAL'!E83</f>
        <v>0.05</v>
      </c>
      <c r="F19" s="52">
        <f>+'01-FR-03 POA INSTITUCIONAL'!F83</f>
        <v>1</v>
      </c>
      <c r="G19" s="161">
        <f>+'01-FR-03 POA INSTITUCIONAL'!K83</f>
        <v>1</v>
      </c>
      <c r="H19" s="33">
        <f>+'01-FR-03 POA INSTITUCIONAL'!G83</f>
        <v>1</v>
      </c>
      <c r="I19" s="140" t="str">
        <f>+'01-FR-03 POA INSTITUCIONAL'!H83</f>
        <v>Porcentaje de reportes de la base de datos de sanciones disciplinarias registrados</v>
      </c>
      <c r="J19" s="318" t="s">
        <v>582</v>
      </c>
      <c r="K19" s="221" t="s">
        <v>583</v>
      </c>
      <c r="L19" s="221" t="s">
        <v>579</v>
      </c>
      <c r="M19" s="221" t="s">
        <v>572</v>
      </c>
      <c r="N19" s="221" t="s">
        <v>573</v>
      </c>
      <c r="O19" s="319" t="str">
        <f>+'01-FR-03 POA INSTITUCIONAL'!J83</f>
        <v>Oficina Asesora Jurídica</v>
      </c>
      <c r="P19" s="145">
        <v>1</v>
      </c>
      <c r="Q19" s="145">
        <v>1</v>
      </c>
      <c r="R19" s="145">
        <v>1</v>
      </c>
      <c r="S19" s="145">
        <v>1</v>
      </c>
      <c r="T19" s="145">
        <v>1</v>
      </c>
      <c r="U19" s="145">
        <v>1</v>
      </c>
      <c r="V19" s="66">
        <f t="shared" si="1"/>
        <v>1</v>
      </c>
      <c r="W19" s="66">
        <f t="shared" si="2"/>
        <v>1</v>
      </c>
      <c r="X19" s="145">
        <v>1</v>
      </c>
      <c r="Y19" s="684">
        <v>1</v>
      </c>
      <c r="Z19" s="145">
        <v>1</v>
      </c>
      <c r="AA19" s="684">
        <v>1</v>
      </c>
      <c r="AB19" s="145">
        <v>1</v>
      </c>
      <c r="AC19" s="684">
        <v>1</v>
      </c>
      <c r="AD19" s="66">
        <f t="shared" si="3"/>
        <v>1</v>
      </c>
      <c r="AE19" s="66">
        <f t="shared" si="4"/>
        <v>1</v>
      </c>
      <c r="AF19" s="145">
        <v>1</v>
      </c>
      <c r="AG19" s="145">
        <v>1</v>
      </c>
      <c r="AH19" s="145">
        <v>1</v>
      </c>
      <c r="AI19" s="145">
        <v>1</v>
      </c>
      <c r="AJ19" s="145">
        <v>1</v>
      </c>
      <c r="AK19" s="145">
        <v>1</v>
      </c>
      <c r="AL19" s="66">
        <f t="shared" si="5"/>
        <v>1</v>
      </c>
      <c r="AM19" s="66">
        <f t="shared" si="6"/>
        <v>1</v>
      </c>
      <c r="AN19" s="145">
        <v>1</v>
      </c>
      <c r="AO19" s="398">
        <v>0</v>
      </c>
      <c r="AP19" s="145">
        <v>1</v>
      </c>
      <c r="AQ19" s="398">
        <v>0</v>
      </c>
      <c r="AR19" s="145">
        <v>1</v>
      </c>
      <c r="AS19" s="398">
        <v>0</v>
      </c>
      <c r="AT19" s="66">
        <f t="shared" si="7"/>
        <v>1</v>
      </c>
      <c r="AU19" s="66">
        <f t="shared" si="8"/>
        <v>0</v>
      </c>
      <c r="AV19" s="66">
        <f t="shared" si="9"/>
        <v>1</v>
      </c>
      <c r="AW19" s="65">
        <f t="shared" si="10"/>
        <v>1</v>
      </c>
      <c r="AX19" s="65">
        <f t="shared" si="11"/>
        <v>1</v>
      </c>
      <c r="AY19" s="65">
        <f t="shared" si="12"/>
        <v>1</v>
      </c>
      <c r="AZ19" s="377">
        <f t="shared" si="0"/>
        <v>0.75</v>
      </c>
      <c r="BA19" s="382">
        <f t="shared" si="13"/>
        <v>0.25</v>
      </c>
      <c r="BB19" s="382">
        <f t="shared" si="14"/>
        <v>0.5</v>
      </c>
      <c r="BC19" s="382">
        <f t="shared" si="15"/>
        <v>0.75</v>
      </c>
      <c r="BD19" s="382">
        <f t="shared" si="16"/>
        <v>0.75</v>
      </c>
      <c r="BE19" s="394">
        <f t="shared" si="17"/>
        <v>6.25E-2</v>
      </c>
      <c r="BF19" s="390">
        <f t="shared" si="18"/>
        <v>0.125</v>
      </c>
      <c r="BG19" s="394">
        <f t="shared" si="19"/>
        <v>0.1875</v>
      </c>
      <c r="BH19" s="395">
        <f t="shared" si="20"/>
        <v>0.1875</v>
      </c>
    </row>
    <row r="20" spans="1:60" ht="62.25" customHeight="1">
      <c r="B20" s="1574"/>
      <c r="C20" s="1574"/>
      <c r="D20" s="1574"/>
      <c r="E20" s="1299"/>
      <c r="F20" s="52">
        <f>+'01-FR-03 POA INSTITUCIONAL'!F84</f>
        <v>1</v>
      </c>
      <c r="G20" s="161">
        <f>+'01-FR-03 POA INSTITUCIONAL'!K84</f>
        <v>1</v>
      </c>
      <c r="H20" s="33">
        <f>+'01-FR-03 POA INSTITUCIONAL'!G84</f>
        <v>1</v>
      </c>
      <c r="I20" s="140" t="str">
        <f>+'01-FR-03 POA INSTITUCIONAL'!H84</f>
        <v>Porcentaje de antecedentes disciplinarios expedidos</v>
      </c>
      <c r="J20" s="318" t="s">
        <v>710</v>
      </c>
      <c r="K20" s="221" t="s">
        <v>584</v>
      </c>
      <c r="L20" s="221" t="s">
        <v>585</v>
      </c>
      <c r="M20" s="221" t="s">
        <v>586</v>
      </c>
      <c r="N20" s="221" t="s">
        <v>573</v>
      </c>
      <c r="O20" s="319" t="str">
        <f>+'01-FR-03 POA INSTITUCIONAL'!J84</f>
        <v>Oficina Asesora Jurídica</v>
      </c>
      <c r="P20" s="145">
        <v>1</v>
      </c>
      <c r="Q20" s="145">
        <v>1</v>
      </c>
      <c r="R20" s="145">
        <v>1</v>
      </c>
      <c r="S20" s="145">
        <v>1</v>
      </c>
      <c r="T20" s="145">
        <v>1</v>
      </c>
      <c r="U20" s="145">
        <v>1</v>
      </c>
      <c r="V20" s="66">
        <f t="shared" ref="V20" si="21">AVERAGE(P20,R20,T20)</f>
        <v>1</v>
      </c>
      <c r="W20" s="66">
        <f t="shared" ref="W20" si="22">IFERROR(AVERAGE(Q20,S20,U20),0)</f>
        <v>1</v>
      </c>
      <c r="X20" s="145">
        <v>1</v>
      </c>
      <c r="Y20" s="684">
        <v>1</v>
      </c>
      <c r="Z20" s="145">
        <v>1</v>
      </c>
      <c r="AA20" s="684">
        <v>1</v>
      </c>
      <c r="AB20" s="145">
        <v>1</v>
      </c>
      <c r="AC20" s="684">
        <v>1</v>
      </c>
      <c r="AD20" s="66">
        <f t="shared" ref="AD20" si="23">AVERAGE(X20,Z20,AB20)</f>
        <v>1</v>
      </c>
      <c r="AE20" s="66">
        <f t="shared" ref="AE20" si="24">IFERROR(AVERAGE(Y20,AA20,AC20),0)</f>
        <v>1</v>
      </c>
      <c r="AF20" s="145">
        <v>1</v>
      </c>
      <c r="AG20" s="145">
        <v>1</v>
      </c>
      <c r="AH20" s="145">
        <v>1</v>
      </c>
      <c r="AI20" s="145">
        <v>1</v>
      </c>
      <c r="AJ20" s="145">
        <v>1</v>
      </c>
      <c r="AK20" s="145">
        <v>1</v>
      </c>
      <c r="AL20" s="66">
        <f t="shared" ref="AL20" si="25">AVERAGE(AF20,AH20,AJ20)</f>
        <v>1</v>
      </c>
      <c r="AM20" s="66">
        <f t="shared" ref="AM20" si="26">IFERROR(AVERAGE(AG20,AI20,AK20),0)</f>
        <v>1</v>
      </c>
      <c r="AN20" s="145">
        <v>1</v>
      </c>
      <c r="AO20" s="398">
        <v>0</v>
      </c>
      <c r="AP20" s="145">
        <v>1</v>
      </c>
      <c r="AQ20" s="398">
        <v>0</v>
      </c>
      <c r="AR20" s="145">
        <v>1</v>
      </c>
      <c r="AS20" s="398">
        <v>0</v>
      </c>
      <c r="AT20" s="66">
        <f t="shared" ref="AT20" si="27">AVERAGE(AN20,AP20,AR20)</f>
        <v>1</v>
      </c>
      <c r="AU20" s="66">
        <f t="shared" ref="AU20" si="28">IFERROR(AVERAGE(AO20,AQ20,AS20),0)</f>
        <v>0</v>
      </c>
      <c r="AV20" s="66">
        <f t="shared" ref="AV20" si="29">AVERAGE(P20,R20,T20,X20,Z20,AB20,AF20,AH20,AJ20,AN20,AP20,AR20)</f>
        <v>1</v>
      </c>
      <c r="AW20" s="65">
        <f t="shared" si="10"/>
        <v>1</v>
      </c>
      <c r="AX20" s="65">
        <f t="shared" si="11"/>
        <v>1</v>
      </c>
      <c r="AY20" s="65">
        <f t="shared" si="12"/>
        <v>1</v>
      </c>
      <c r="AZ20" s="377">
        <f t="shared" si="0"/>
        <v>0.75</v>
      </c>
      <c r="BA20" s="382">
        <f t="shared" si="13"/>
        <v>0.25</v>
      </c>
      <c r="BB20" s="382">
        <f t="shared" si="14"/>
        <v>0.5</v>
      </c>
      <c r="BC20" s="382">
        <f t="shared" si="15"/>
        <v>0.75</v>
      </c>
      <c r="BD20" s="382">
        <f t="shared" si="16"/>
        <v>0.75</v>
      </c>
      <c r="BE20" s="394">
        <f t="shared" si="17"/>
        <v>6.25E-2</v>
      </c>
      <c r="BF20" s="390">
        <f t="shared" si="18"/>
        <v>0.125</v>
      </c>
      <c r="BG20" s="394">
        <f t="shared" si="19"/>
        <v>0.1875</v>
      </c>
      <c r="BH20" s="395">
        <f t="shared" si="20"/>
        <v>0.1875</v>
      </c>
    </row>
    <row r="21" spans="1:60" ht="22.8">
      <c r="B21" s="1491"/>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2"/>
      <c r="AL21" s="1492"/>
      <c r="AM21" s="1492"/>
      <c r="AN21" s="1492"/>
      <c r="AO21" s="1492"/>
      <c r="AP21" s="1492"/>
      <c r="AQ21" s="1492"/>
      <c r="AR21" s="1492"/>
      <c r="AS21" s="1492"/>
      <c r="AT21" s="1492"/>
      <c r="AU21" s="1492"/>
      <c r="AV21" s="1492"/>
      <c r="AW21" s="1575"/>
      <c r="AX21" s="1539" t="s">
        <v>19</v>
      </c>
      <c r="AY21" s="1573"/>
      <c r="AZ21" s="1573"/>
      <c r="BA21" s="70">
        <f t="shared" ref="BA21:BD21" si="30">AVERAGE(BA16:BA20)</f>
        <v>0.25</v>
      </c>
      <c r="BB21" s="70">
        <f t="shared" si="30"/>
        <v>0.5</v>
      </c>
      <c r="BC21" s="70">
        <f t="shared" si="30"/>
        <v>0.75</v>
      </c>
      <c r="BD21" s="70">
        <f t="shared" si="30"/>
        <v>0.75</v>
      </c>
      <c r="BE21" s="1614"/>
      <c r="BF21" s="1615"/>
      <c r="BG21" s="1615"/>
      <c r="BH21" s="1616"/>
    </row>
    <row r="22" spans="1:60">
      <c r="B22" s="1512"/>
      <c r="C22" s="1512"/>
      <c r="D22" s="1512"/>
      <c r="E22" s="1512"/>
      <c r="F22" s="1512"/>
      <c r="G22" s="1512"/>
      <c r="H22" s="247"/>
      <c r="I22" s="248"/>
      <c r="J22" s="248"/>
      <c r="K22" s="248"/>
      <c r="L22" s="248"/>
      <c r="M22" s="248"/>
      <c r="N22" s="248"/>
      <c r="O22" s="248"/>
    </row>
    <row r="23" spans="1:60">
      <c r="B23" s="248"/>
      <c r="C23" s="248"/>
      <c r="D23" s="1524"/>
      <c r="E23" s="1524"/>
      <c r="F23" s="1524"/>
      <c r="G23" s="1524"/>
      <c r="H23" s="1524"/>
      <c r="I23" s="1524"/>
      <c r="J23" s="1524"/>
      <c r="K23" s="1524"/>
      <c r="L23" s="1524"/>
      <c r="M23" s="1524"/>
      <c r="N23" s="1524"/>
      <c r="O23" s="1524"/>
    </row>
    <row r="24" spans="1:60" ht="15.6">
      <c r="B24" s="77" t="s">
        <v>26</v>
      </c>
      <c r="C24" s="249">
        <v>44224</v>
      </c>
      <c r="D24" s="250"/>
      <c r="E24" s="1514" t="s">
        <v>50</v>
      </c>
      <c r="F24" s="364"/>
      <c r="G24" s="1515" t="s">
        <v>581</v>
      </c>
      <c r="H24" s="1515"/>
      <c r="I24" s="1515"/>
      <c r="J24" s="1515"/>
      <c r="K24" s="251"/>
      <c r="L24" s="1568"/>
      <c r="M24" s="1568"/>
      <c r="N24" s="1568"/>
      <c r="O24" s="1577"/>
    </row>
    <row r="25" spans="1:60" ht="15.6">
      <c r="B25" s="248"/>
      <c r="C25" s="248"/>
      <c r="D25" s="251"/>
      <c r="E25" s="1514"/>
      <c r="F25" s="364"/>
      <c r="G25" s="1515"/>
      <c r="H25" s="1515"/>
      <c r="I25" s="1515"/>
      <c r="J25" s="1515"/>
      <c r="K25" s="248"/>
      <c r="L25" s="248"/>
      <c r="M25" s="248"/>
      <c r="N25" s="248"/>
      <c r="O25" s="248"/>
    </row>
    <row r="26" spans="1:60" ht="15.6">
      <c r="B26" s="77" t="s">
        <v>49</v>
      </c>
      <c r="C26" s="249"/>
      <c r="D26" s="248"/>
      <c r="E26" s="248"/>
      <c r="F26" s="248"/>
      <c r="K26" s="248"/>
      <c r="L26" s="248"/>
      <c r="M26" s="248"/>
      <c r="N26" s="248"/>
      <c r="O26" s="248"/>
    </row>
    <row r="27" spans="1:60">
      <c r="B27" s="248"/>
      <c r="C27" s="248"/>
      <c r="D27" s="248"/>
      <c r="E27" s="248"/>
      <c r="F27" s="248"/>
      <c r="K27" s="248"/>
      <c r="L27" s="248"/>
      <c r="M27" s="248"/>
      <c r="N27" s="248"/>
      <c r="O27" s="248"/>
    </row>
    <row r="28" spans="1:60">
      <c r="B28" s="1683" t="s">
        <v>983</v>
      </c>
      <c r="C28" s="1683"/>
      <c r="D28" s="1683"/>
      <c r="E28" s="1683"/>
      <c r="F28" s="1683"/>
      <c r="G28" s="1683"/>
      <c r="H28" s="247"/>
      <c r="I28" s="1576"/>
      <c r="J28" s="1576"/>
      <c r="K28" s="1576"/>
      <c r="L28" s="1576"/>
      <c r="M28" s="252"/>
      <c r="N28" s="252"/>
      <c r="O28" s="252"/>
    </row>
    <row r="29" spans="1:60">
      <c r="B29" s="248"/>
      <c r="C29" s="248"/>
      <c r="D29" s="248"/>
      <c r="E29" s="248"/>
      <c r="F29" s="248"/>
      <c r="G29" s="247"/>
      <c r="H29" s="247"/>
      <c r="I29" s="248"/>
      <c r="J29" s="248"/>
      <c r="K29" s="253"/>
      <c r="L29" s="248"/>
      <c r="M29" s="248"/>
      <c r="N29" s="248"/>
      <c r="O29" s="248"/>
    </row>
    <row r="30" spans="1:60">
      <c r="B30" s="248"/>
      <c r="C30" s="248"/>
      <c r="D30" s="248"/>
      <c r="E30" s="248"/>
      <c r="F30" s="248"/>
      <c r="G30" s="247"/>
      <c r="H30" s="247"/>
      <c r="I30" s="1576"/>
      <c r="J30" s="1576"/>
      <c r="K30" s="1576"/>
      <c r="L30" s="1576"/>
      <c r="M30" s="252"/>
      <c r="N30" s="252"/>
      <c r="O30" s="252"/>
    </row>
    <row r="31" spans="1:60">
      <c r="B31" s="248"/>
      <c r="C31" s="248"/>
      <c r="D31" s="248"/>
      <c r="E31" s="248"/>
      <c r="F31" s="248"/>
      <c r="G31" s="247"/>
      <c r="H31" s="247"/>
      <c r="I31" s="248"/>
      <c r="J31" s="248"/>
      <c r="K31" s="253"/>
      <c r="L31" s="248"/>
      <c r="M31" s="248"/>
      <c r="N31" s="248"/>
      <c r="O31" s="248"/>
    </row>
    <row r="32" spans="1:60">
      <c r="B32" s="248"/>
      <c r="C32" s="248"/>
      <c r="D32" s="248"/>
      <c r="E32" s="248"/>
      <c r="F32" s="248"/>
      <c r="G32" s="247"/>
      <c r="H32" s="247"/>
      <c r="I32" s="1576"/>
      <c r="J32" s="1576"/>
      <c r="K32" s="1576"/>
      <c r="L32" s="1576"/>
      <c r="M32" s="252"/>
      <c r="N32" s="252"/>
      <c r="O32" s="252"/>
    </row>
  </sheetData>
  <sheetProtection algorithmName="SHA-512" hashValue="V80Ipv+MrbCAkW7Q7bsxddJevIJMthPqzqNT9LkRGfx0Sgod8cmFVE5YAvkQnbq8eh8d6fJwFOjVhnY79ei8+Q==" saltValue="qHCjF3Eh+6zsK1nJJ9Grvg==" spinCount="100000" sheet="1" objects="1" scenarios="1"/>
  <mergeCells count="74">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 ref="AW13:AW15"/>
    <mergeCell ref="AX13:AX15"/>
    <mergeCell ref="N12:N15"/>
    <mergeCell ref="O12:O15"/>
    <mergeCell ref="H12:H15"/>
    <mergeCell ref="I12:I15"/>
    <mergeCell ref="J12:J15"/>
    <mergeCell ref="K12:K15"/>
    <mergeCell ref="L12:L15"/>
    <mergeCell ref="M12:M15"/>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00B050"/>
  </sheetPr>
  <dimension ref="B1:BH30"/>
  <sheetViews>
    <sheetView showGridLines="0" zoomScale="70" zoomScaleNormal="70" workbookViewId="0">
      <selection activeCell="C2" sqref="C2:BF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5" width="23.44140625" style="133" customWidth="1"/>
    <col min="6" max="6" width="27.5546875" style="133" customWidth="1"/>
    <col min="7" max="8" width="29.33203125" style="134" customWidth="1"/>
    <col min="9" max="9" width="26.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ustomHeight="1">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ustomHeight="1">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4.6">
      <c r="B8" s="216" t="s">
        <v>45</v>
      </c>
      <c r="C8" s="1534" t="s">
        <v>87</v>
      </c>
      <c r="D8" s="1534"/>
      <c r="E8" s="217"/>
      <c r="F8" s="217"/>
      <c r="G8" s="217"/>
      <c r="H8" s="217"/>
      <c r="I8" s="217"/>
      <c r="J8" s="217"/>
      <c r="K8" s="217"/>
      <c r="L8" s="217"/>
      <c r="M8" s="217"/>
      <c r="N8" s="217"/>
      <c r="O8" s="217"/>
      <c r="AW8" s="238"/>
      <c r="AX8" s="238"/>
      <c r="AY8" s="238"/>
      <c r="AZ8" s="238"/>
      <c r="BA8" s="238"/>
      <c r="BB8" s="238"/>
      <c r="BC8" s="238"/>
      <c r="BD8" s="238"/>
    </row>
    <row r="9" spans="2:60" ht="75" customHeight="1">
      <c r="B9" s="216" t="s">
        <v>34</v>
      </c>
      <c r="C9" s="1535" t="s">
        <v>419</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5.2"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28.25" customHeight="1">
      <c r="B16" s="148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7"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INSTITUCIONAL'!D60</f>
        <v>4.2.5 Incrementar al 90% la percepción de los usuarios que califican como excelente y bueno el servicio en la Personería de Bogotá</v>
      </c>
      <c r="E16" s="52">
        <f>+'01-FR-03 POA INSTITUCIONAL'!E60</f>
        <v>0.2</v>
      </c>
      <c r="F16" s="329">
        <f>+'01-FR-03 POA INSTITUCIONAL'!F60</f>
        <v>0.9</v>
      </c>
      <c r="G16" s="176">
        <f>+'01-FR-03 POA INSTITUCIONAL'!K60</f>
        <v>0.9</v>
      </c>
      <c r="H16" s="33">
        <f>+'01-FR-03 POA INSTITUCIONAL'!G60</f>
        <v>0.86</v>
      </c>
      <c r="I16" s="33" t="str">
        <f>+'01-FR-03 POA INSTITUCIONAL'!H60</f>
        <v>Porcentaje de Percepción de los usuarios en calificación excelente y bueno incrementado</v>
      </c>
      <c r="J16" s="218" t="s">
        <v>409</v>
      </c>
      <c r="K16" s="221" t="s">
        <v>410</v>
      </c>
      <c r="L16" s="221" t="s">
        <v>411</v>
      </c>
      <c r="M16" s="221" t="s">
        <v>412</v>
      </c>
      <c r="N16" s="221" t="s">
        <v>413</v>
      </c>
      <c r="O16" s="34" t="str">
        <f>+'01-FR-03 POA INSTITUCIONAL'!J60</f>
        <v>Secretaría General</v>
      </c>
      <c r="P16" s="327">
        <v>0.9</v>
      </c>
      <c r="Q16" s="369">
        <v>0.79800000000000004</v>
      </c>
      <c r="R16" s="327">
        <v>0</v>
      </c>
      <c r="S16" s="176">
        <v>0</v>
      </c>
      <c r="T16" s="327">
        <v>0</v>
      </c>
      <c r="U16" s="176">
        <v>0</v>
      </c>
      <c r="V16" s="342">
        <f>IFERROR(AVERAGE(P16),0)</f>
        <v>0.9</v>
      </c>
      <c r="W16" s="357">
        <f>IFERROR(AVERAGE(Q16),0)</f>
        <v>0.79800000000000004</v>
      </c>
      <c r="X16" s="327">
        <v>0</v>
      </c>
      <c r="Y16" s="176">
        <v>0</v>
      </c>
      <c r="Z16" s="327">
        <v>0</v>
      </c>
      <c r="AA16" s="176">
        <v>0</v>
      </c>
      <c r="AB16" s="327">
        <v>0</v>
      </c>
      <c r="AC16" s="176">
        <v>0</v>
      </c>
      <c r="AD16" s="342">
        <f>IFERROR(AVERAGE(X16),0)</f>
        <v>0</v>
      </c>
      <c r="AE16" s="342">
        <f>IFERROR(AVERAGE(Y16),0)</f>
        <v>0</v>
      </c>
      <c r="AF16" s="327">
        <v>0.9</v>
      </c>
      <c r="AG16" s="1015">
        <v>0.93400000000000005</v>
      </c>
      <c r="AH16" s="327">
        <v>0</v>
      </c>
      <c r="AI16" s="327">
        <v>0</v>
      </c>
      <c r="AJ16" s="327">
        <v>0</v>
      </c>
      <c r="AK16" s="327">
        <v>0</v>
      </c>
      <c r="AL16" s="342">
        <f>IFERROR(AVERAGE(AF16),0)</f>
        <v>0.9</v>
      </c>
      <c r="AM16" s="357">
        <f>IFERROR(AVERAGE(AG16),0)</f>
        <v>0.93400000000000005</v>
      </c>
      <c r="AN16" s="327">
        <v>0</v>
      </c>
      <c r="AO16" s="327"/>
      <c r="AP16" s="327">
        <v>0</v>
      </c>
      <c r="AQ16" s="327"/>
      <c r="AR16" s="327">
        <v>0</v>
      </c>
      <c r="AS16" s="327"/>
      <c r="AT16" s="342">
        <f>IFERROR(AVERAGE(AN16),0)</f>
        <v>0</v>
      </c>
      <c r="AU16" s="342">
        <f>IFERROR(AVERAGE(AO16),0)</f>
        <v>0</v>
      </c>
      <c r="AV16" s="329">
        <f>(IFERROR(AVERAGE(V16,AL16),0))</f>
        <v>0.9</v>
      </c>
      <c r="AW16" s="334">
        <f>IFERROR(IF(OR($AV$16="",$AV$16=0),0,ROUNDDOWN(AVERAGE($Q16),3)),0)</f>
        <v>0.79800000000000004</v>
      </c>
      <c r="AX16" s="334">
        <f>IFERROR(IF(OR($AV$16="",$AV$16=0),0,ROUNDDOWN(AVERAGE($Q16),3)),0)</f>
        <v>0.79800000000000004</v>
      </c>
      <c r="AY16" s="676">
        <f>IFERROR(IF(OR($AV$16="",$AV$16=0),0,ROUNDDOWN(AVERAGE($AG16),3)),0)</f>
        <v>0.93400000000000005</v>
      </c>
      <c r="AZ16" s="379">
        <f>IFERROR(IF(OR($AV$16="",$AV$16=0),0,ROUNDDOWN(AVERAGE($AG16),3)),0)</f>
        <v>0.93400000000000005</v>
      </c>
      <c r="BA16" s="381">
        <f>(IF(AND(AW16&gt;0,AV16&gt;0),AW16/AV16,0))*0.5</f>
        <v>0.44333333333333336</v>
      </c>
      <c r="BB16" s="381">
        <f>(IF(AND(AX16&gt;0,$AV16&gt;0),AX16/$AV16,0))*0.5</f>
        <v>0.44333333333333336</v>
      </c>
      <c r="BC16" s="441">
        <f>(IF(AND(AY16&gt;0,$AV16&gt;0),AY16/$AV16,0))*1</f>
        <v>1.0377777777777779</v>
      </c>
      <c r="BD16" s="441">
        <f>IF(AND(AZ16&gt;0,$AV16&gt;0),AZ16/$AV16,0)*1</f>
        <v>1.0377777777777779</v>
      </c>
      <c r="BE16" s="343">
        <f>(((IF(AND(AW16&gt;0,$F16&gt;0),AW16/$F16,0)))/4)*0.5</f>
        <v>0.11083333333333334</v>
      </c>
      <c r="BF16" s="343">
        <f>(((IF(AND(AX16&gt;0,$F16&gt;0),AX16/$F16,0)))/4)*0.5</f>
        <v>0.11083333333333334</v>
      </c>
      <c r="BG16" s="344">
        <f>(((IF(AND(AY16&gt;0,$F16&gt;0),AY16/$F16,0)))/4)*1</f>
        <v>0.25944444444444448</v>
      </c>
      <c r="BH16" s="388">
        <f>(((IF(AND(AZ16&gt;0,$F16&gt;0),AZ16/$F16,0)))/4)*1</f>
        <v>0.25944444444444448</v>
      </c>
    </row>
    <row r="17" spans="2:60" ht="128.25" customHeight="1">
      <c r="B17" s="1488"/>
      <c r="C17" s="1489"/>
      <c r="D17" s="31" t="str">
        <f>+'01-FR-03 POA INSTITUCIONAL'!D61</f>
        <v xml:space="preserve">4.2.6 Implementar 7 lineamientos en compromiso con la calidad para satisfacer las necesidades y expectativas de los (as) usuarios(as) y partes interesadas </v>
      </c>
      <c r="E17" s="52">
        <f>+'01-FR-03 POA INSTITUCIONAL'!E61</f>
        <v>0.15</v>
      </c>
      <c r="F17" s="332">
        <f>+'01-FR-03 POA INSTITUCIONAL'!F61</f>
        <v>7</v>
      </c>
      <c r="G17" s="320">
        <f>+'01-FR-03 POA INSTITUCIONAL'!K61</f>
        <v>2</v>
      </c>
      <c r="H17" s="320">
        <f>+'01-FR-03 POA INSTITUCIONAL'!G61</f>
        <v>3</v>
      </c>
      <c r="I17" s="33" t="str">
        <f>+'01-FR-03 POA INSTITUCIONAL'!H61</f>
        <v>Lineamientos implementados</v>
      </c>
      <c r="J17" s="218" t="s">
        <v>414</v>
      </c>
      <c r="K17" s="221" t="s">
        <v>415</v>
      </c>
      <c r="L17" s="231" t="s">
        <v>417</v>
      </c>
      <c r="M17" s="221" t="s">
        <v>416</v>
      </c>
      <c r="N17" s="221" t="s">
        <v>413</v>
      </c>
      <c r="O17" s="34" t="str">
        <f>+'01-FR-03 POA INSTITUCIONAL'!J61</f>
        <v>Secretaría General</v>
      </c>
      <c r="P17" s="328">
        <v>1</v>
      </c>
      <c r="Q17" s="328">
        <v>1</v>
      </c>
      <c r="R17" s="328">
        <v>0</v>
      </c>
      <c r="S17" s="328">
        <v>0</v>
      </c>
      <c r="T17" s="328">
        <v>0</v>
      </c>
      <c r="U17" s="328">
        <v>0</v>
      </c>
      <c r="V17" s="330">
        <f t="shared" ref="V17:W17" si="0">P17+R17+T17</f>
        <v>1</v>
      </c>
      <c r="W17" s="330">
        <f t="shared" si="0"/>
        <v>1</v>
      </c>
      <c r="X17" s="328">
        <v>0</v>
      </c>
      <c r="Y17" s="328">
        <v>0</v>
      </c>
      <c r="Z17" s="328">
        <v>0</v>
      </c>
      <c r="AA17" s="328">
        <v>0</v>
      </c>
      <c r="AB17" s="328">
        <v>1</v>
      </c>
      <c r="AC17" s="328">
        <v>1</v>
      </c>
      <c r="AD17" s="330">
        <f t="shared" ref="AD17:AE17" si="1">X17+Z17+AB17</f>
        <v>1</v>
      </c>
      <c r="AE17" s="330">
        <f t="shared" si="1"/>
        <v>1</v>
      </c>
      <c r="AF17" s="328">
        <v>0</v>
      </c>
      <c r="AG17" s="328">
        <v>0</v>
      </c>
      <c r="AH17" s="328">
        <v>0</v>
      </c>
      <c r="AI17" s="328">
        <v>0</v>
      </c>
      <c r="AJ17" s="328">
        <v>0</v>
      </c>
      <c r="AK17" s="331">
        <v>0</v>
      </c>
      <c r="AL17" s="330">
        <f t="shared" ref="AL17:AM17" si="2">AF17+AH17+AJ17</f>
        <v>0</v>
      </c>
      <c r="AM17" s="330">
        <f t="shared" si="2"/>
        <v>0</v>
      </c>
      <c r="AN17" s="328">
        <v>0</v>
      </c>
      <c r="AO17" s="328"/>
      <c r="AP17" s="328">
        <v>0</v>
      </c>
      <c r="AQ17" s="328"/>
      <c r="AR17" s="328">
        <v>0</v>
      </c>
      <c r="AS17" s="328"/>
      <c r="AT17" s="330">
        <f t="shared" ref="AT17:AU17" si="3">AN17+AP17+AR17</f>
        <v>0</v>
      </c>
      <c r="AU17" s="330">
        <f t="shared" si="3"/>
        <v>0</v>
      </c>
      <c r="AV17" s="332">
        <f t="shared" ref="AV17" si="4">V17+AD17+AL17+AT17</f>
        <v>2</v>
      </c>
      <c r="AW17" s="332">
        <f>+W17</f>
        <v>1</v>
      </c>
      <c r="AX17" s="332">
        <f>+W17+AE17</f>
        <v>2</v>
      </c>
      <c r="AY17" s="1016">
        <f>+W17+AE17+AM17</f>
        <v>2</v>
      </c>
      <c r="AZ17" s="380">
        <f>+W17+AE17+AM17+AU17</f>
        <v>2</v>
      </c>
      <c r="BA17" s="382">
        <f>IF(AND(AW17&gt;0,AV17&gt;0),AW17/AV17,0)</f>
        <v>0.5</v>
      </c>
      <c r="BB17" s="382">
        <f t="shared" ref="BB17:BD18" si="5">IF(AND(AX17&gt;0,$AV17&gt;0),AX17/$AV17,0)</f>
        <v>1</v>
      </c>
      <c r="BC17" s="382">
        <f t="shared" si="5"/>
        <v>1</v>
      </c>
      <c r="BD17" s="382">
        <f t="shared" si="5"/>
        <v>1</v>
      </c>
      <c r="BE17" s="344">
        <f t="shared" ref="BE17:BH18" si="6">(IF(AND(AW17&gt;0,$F17&gt;0),AW17/$F17,0))</f>
        <v>0.14285714285714285</v>
      </c>
      <c r="BF17" s="344">
        <f t="shared" si="6"/>
        <v>0.2857142857142857</v>
      </c>
      <c r="BG17" s="344">
        <f t="shared" si="6"/>
        <v>0.2857142857142857</v>
      </c>
      <c r="BH17" s="389">
        <f t="shared" si="6"/>
        <v>0.2857142857142857</v>
      </c>
    </row>
    <row r="18" spans="2:60" ht="128.25" customHeight="1">
      <c r="B18" s="1489"/>
      <c r="C18" s="31" t="str">
        <f>+'01-FR-03 POA INSTITUCIONAL'!C96</f>
        <v>4.7. Articular el 100% de las acciones de trabajo interinstitucional y cooperación nacional e internacional que permita aunar esfuerzos para el cumplimiento de la misión institucional.</v>
      </c>
      <c r="D18" s="31" t="str">
        <f>+'01-FR-03 POA INSTITUCIONAL'!D96</f>
        <v>4.7.1 Gestionar 3 acuerdos interinstitucionales o de cooperación nacional y/o internacional para garantizar el enfoque social, en el marco de un estado pluralista, para el fortalecimiento de la prestación del servicio al usuario</v>
      </c>
      <c r="E18" s="52">
        <f>+'01-FR-03 POA INSTITUCIONAL'!E96</f>
        <v>1</v>
      </c>
      <c r="F18" s="245">
        <f>+'01-FR-03 POA INSTITUCIONAL'!F96</f>
        <v>3</v>
      </c>
      <c r="G18" s="320">
        <f>+'01-FR-03 POA INSTITUCIONAL'!K96</f>
        <v>1</v>
      </c>
      <c r="H18" s="140" t="str">
        <f>+'01-FR-03 POA INSTITUCIONAL'!G96</f>
        <v>S.I.</v>
      </c>
      <c r="I18" s="140" t="str">
        <f>+'01-FR-03 POA INSTITUCIONAL'!H96</f>
        <v>Acuerdos interinstitucionales gestionados</v>
      </c>
      <c r="J18" s="218" t="s">
        <v>420</v>
      </c>
      <c r="K18" s="221" t="s">
        <v>421</v>
      </c>
      <c r="L18" s="221" t="s">
        <v>422</v>
      </c>
      <c r="M18" s="221" t="s">
        <v>416</v>
      </c>
      <c r="N18" s="221" t="s">
        <v>413</v>
      </c>
      <c r="O18" s="34" t="str">
        <f>+'01-FR-03 POA INSTITUCIONAL'!J96</f>
        <v>Secretaría General</v>
      </c>
      <c r="P18" s="271">
        <v>0</v>
      </c>
      <c r="Q18" s="271">
        <v>0</v>
      </c>
      <c r="R18" s="271">
        <v>0</v>
      </c>
      <c r="S18" s="271">
        <v>0</v>
      </c>
      <c r="T18" s="271">
        <v>0</v>
      </c>
      <c r="U18" s="271">
        <v>0</v>
      </c>
      <c r="V18" s="67">
        <f t="shared" ref="V18:W18" si="7">P18+R18+T18</f>
        <v>0</v>
      </c>
      <c r="W18" s="67">
        <f t="shared" si="7"/>
        <v>0</v>
      </c>
      <c r="X18" s="271">
        <v>0</v>
      </c>
      <c r="Y18" s="271">
        <v>0</v>
      </c>
      <c r="Z18" s="271">
        <v>0</v>
      </c>
      <c r="AA18" s="271">
        <v>0</v>
      </c>
      <c r="AB18" s="271">
        <v>0</v>
      </c>
      <c r="AC18" s="271">
        <v>0</v>
      </c>
      <c r="AD18" s="67">
        <f t="shared" ref="AD18:AE18" si="8">X18+Z18+AB18</f>
        <v>0</v>
      </c>
      <c r="AE18" s="67">
        <f t="shared" si="8"/>
        <v>0</v>
      </c>
      <c r="AF18" s="271">
        <v>0</v>
      </c>
      <c r="AG18" s="271">
        <v>0</v>
      </c>
      <c r="AH18" s="271">
        <v>0</v>
      </c>
      <c r="AI18" s="271">
        <v>0</v>
      </c>
      <c r="AJ18" s="272">
        <v>0</v>
      </c>
      <c r="AK18" s="272">
        <v>0</v>
      </c>
      <c r="AL18" s="67">
        <f t="shared" ref="AL18:AM18" si="9">AF18+AH18+AJ18</f>
        <v>0</v>
      </c>
      <c r="AM18" s="67">
        <f t="shared" si="9"/>
        <v>0</v>
      </c>
      <c r="AN18" s="271">
        <v>0</v>
      </c>
      <c r="AO18" s="271"/>
      <c r="AP18" s="271">
        <v>1</v>
      </c>
      <c r="AQ18" s="271"/>
      <c r="AR18" s="271">
        <v>0</v>
      </c>
      <c r="AS18" s="271"/>
      <c r="AT18" s="67">
        <f t="shared" ref="AT18:AU18" si="10">AN18+AP18+AR18</f>
        <v>1</v>
      </c>
      <c r="AU18" s="67">
        <f t="shared" si="10"/>
        <v>0</v>
      </c>
      <c r="AV18" s="245">
        <f t="shared" ref="AV18" si="11">V18+AD18+AL18+AT18</f>
        <v>1</v>
      </c>
      <c r="AW18" s="332">
        <f>+W18</f>
        <v>0</v>
      </c>
      <c r="AX18" s="332">
        <f>+W18+AE18</f>
        <v>0</v>
      </c>
      <c r="AY18" s="1016">
        <f>+W18+AE18+AM18</f>
        <v>0</v>
      </c>
      <c r="AZ18" s="380">
        <f>+W18+AE18+AM18+AU18</f>
        <v>0</v>
      </c>
      <c r="BA18" s="382">
        <f>IF(AND(AW18&gt;0,AV18&gt;0),AW18/AV18,0)</f>
        <v>0</v>
      </c>
      <c r="BB18" s="382">
        <f t="shared" si="5"/>
        <v>0</v>
      </c>
      <c r="BC18" s="382">
        <f t="shared" si="5"/>
        <v>0</v>
      </c>
      <c r="BD18" s="382">
        <f t="shared" si="5"/>
        <v>0</v>
      </c>
      <c r="BE18" s="344">
        <f t="shared" si="6"/>
        <v>0</v>
      </c>
      <c r="BF18" s="344">
        <f t="shared" si="6"/>
        <v>0</v>
      </c>
      <c r="BG18" s="344">
        <f t="shared" si="6"/>
        <v>0</v>
      </c>
      <c r="BH18" s="389">
        <f t="shared" si="6"/>
        <v>0</v>
      </c>
    </row>
    <row r="19" spans="2:60" ht="22.8">
      <c r="B19" s="1491" t="s">
        <v>731</v>
      </c>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575"/>
      <c r="AX19" s="1539" t="s">
        <v>19</v>
      </c>
      <c r="AY19" s="1573"/>
      <c r="AZ19" s="1573"/>
      <c r="BA19" s="70">
        <f>AVERAGE(BA16:BA18)</f>
        <v>0.31444444444444447</v>
      </c>
      <c r="BB19" s="366">
        <f t="shared" ref="BB19:BD19" si="12">AVERAGE(BB16:BB18)</f>
        <v>0.4811111111111111</v>
      </c>
      <c r="BC19" s="366">
        <f t="shared" si="12"/>
        <v>0.67925925925925934</v>
      </c>
      <c r="BD19" s="366">
        <f t="shared" si="12"/>
        <v>0.67925925925925934</v>
      </c>
      <c r="BE19" s="1688"/>
      <c r="BF19" s="1689"/>
      <c r="BG19" s="1689"/>
      <c r="BH19" s="1690"/>
    </row>
    <row r="20" spans="2:60">
      <c r="B20" s="1512"/>
      <c r="C20" s="1512"/>
      <c r="D20" s="1512"/>
      <c r="E20" s="1512"/>
      <c r="F20" s="1512"/>
      <c r="G20" s="1512"/>
      <c r="H20" s="247"/>
      <c r="I20" s="248"/>
      <c r="J20" s="248"/>
      <c r="K20" s="248"/>
      <c r="L20" s="248"/>
      <c r="M20" s="248"/>
      <c r="N20" s="248"/>
      <c r="O20" s="248"/>
    </row>
    <row r="21" spans="2:60">
      <c r="B21" s="248"/>
      <c r="C21" s="248"/>
      <c r="D21" s="1524"/>
      <c r="E21" s="1524"/>
      <c r="F21" s="1524"/>
      <c r="G21" s="1524"/>
      <c r="H21" s="1524"/>
      <c r="I21" s="1524"/>
      <c r="J21" s="1524"/>
      <c r="K21" s="1524"/>
      <c r="L21" s="1524"/>
      <c r="M21" s="1524"/>
      <c r="N21" s="1524"/>
      <c r="O21" s="1524"/>
    </row>
    <row r="22" spans="2:60" ht="15.6" customHeight="1">
      <c r="B22" s="77" t="s">
        <v>26</v>
      </c>
      <c r="C22" s="249">
        <v>44224</v>
      </c>
      <c r="D22" s="250"/>
      <c r="E22" s="1514" t="s">
        <v>50</v>
      </c>
      <c r="F22" s="1638" t="s">
        <v>423</v>
      </c>
      <c r="G22" s="1639"/>
      <c r="H22" s="1639"/>
      <c r="I22" s="1639"/>
      <c r="J22" s="1640"/>
      <c r="K22" s="251"/>
      <c r="L22" s="1568"/>
      <c r="M22" s="1568"/>
      <c r="N22" s="1568"/>
      <c r="O22" s="1577"/>
    </row>
    <row r="23" spans="2:60" ht="15.6">
      <c r="B23" s="248"/>
      <c r="C23" s="248"/>
      <c r="D23" s="251"/>
      <c r="E23" s="1514"/>
      <c r="F23" s="1641"/>
      <c r="G23" s="1642"/>
      <c r="H23" s="1642"/>
      <c r="I23" s="1642"/>
      <c r="J23" s="1643"/>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1683" t="s">
        <v>983</v>
      </c>
      <c r="C26" s="1683"/>
      <c r="D26" s="1683"/>
      <c r="E26" s="1683"/>
      <c r="F26" s="1683"/>
      <c r="G26" s="1683"/>
      <c r="H26" s="247"/>
      <c r="I26" s="1576"/>
      <c r="J26" s="1576"/>
      <c r="K26" s="1576"/>
      <c r="L26" s="1576"/>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1576"/>
      <c r="J28" s="1576"/>
      <c r="K28" s="1576"/>
      <c r="L28" s="1576"/>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1576"/>
      <c r="J30" s="1576"/>
      <c r="K30" s="1576"/>
      <c r="L30" s="1576"/>
      <c r="M30" s="252"/>
      <c r="N30" s="252"/>
      <c r="O30" s="252"/>
    </row>
  </sheetData>
  <sheetProtection algorithmName="SHA-512" hashValue="ddmhIyCcJgQAWtY7Vnv+W8gQchbFEuIBJOrUxGlJ7NEOHoYC/QbDLjKb+6RBU3QawxMrphrLOWzv/46NGinLsQ==" saltValue="Bx+6U/rYcs18Kx3RXOGYBw==" spinCount="100000" sheet="1" objects="1" scenarios="1"/>
  <mergeCells count="72">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BH13:BH15"/>
    <mergeCell ref="BA13:BA15"/>
    <mergeCell ref="P12:AU12"/>
    <mergeCell ref="AV12:AV15"/>
    <mergeCell ref="AW12:AZ12"/>
    <mergeCell ref="P13:W13"/>
    <mergeCell ref="X13:AE13"/>
    <mergeCell ref="AF13:AM13"/>
    <mergeCell ref="AZ13:AZ15"/>
    <mergeCell ref="AW13:AW15"/>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00B050"/>
  </sheetPr>
  <dimension ref="B1:BH30"/>
  <sheetViews>
    <sheetView showGridLines="0" zoomScale="55" zoomScaleNormal="55" workbookViewId="0">
      <selection activeCell="C2" sqref="C2:BF6"/>
    </sheetView>
  </sheetViews>
  <sheetFormatPr baseColWidth="10" defaultColWidth="17.33203125" defaultRowHeight="15" customHeight="1"/>
  <cols>
    <col min="1" max="1" width="4.33203125" style="135" customWidth="1"/>
    <col min="2" max="2" width="50.44140625" style="133" customWidth="1"/>
    <col min="3" max="3" width="35.8867187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84" t="s">
        <v>97</v>
      </c>
      <c r="D8" s="1584"/>
      <c r="E8" s="217"/>
      <c r="F8" s="217"/>
      <c r="G8" s="217"/>
      <c r="H8" s="217"/>
      <c r="I8" s="217"/>
      <c r="J8" s="217"/>
      <c r="K8" s="217"/>
      <c r="L8" s="217"/>
      <c r="M8" s="217"/>
      <c r="N8" s="217"/>
      <c r="O8" s="217"/>
      <c r="AW8" s="238"/>
      <c r="AX8" s="238"/>
      <c r="AY8" s="238"/>
      <c r="AZ8" s="238"/>
      <c r="BA8" s="238"/>
      <c r="BB8" s="238"/>
      <c r="BC8" s="238"/>
      <c r="BD8" s="238"/>
    </row>
    <row r="9" spans="2:60" ht="92.25" customHeight="1">
      <c r="B9" s="216" t="s">
        <v>34</v>
      </c>
      <c r="C9" s="1658" t="s">
        <v>599</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1.2"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110.25" customHeight="1">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INSTITUCIONAL'!C88</f>
        <v>4.5. Desarrollar el 100% de las acciones relacionadas con el fomento de la Cultura del Autocontrol, la Autorregulación y la Autogestión institucional.</v>
      </c>
      <c r="D16" s="31" t="str">
        <f>+'01-FR-03 POA INSTITUCIONAL'!D88</f>
        <v xml:space="preserve">4.5.1 Emitir 96 solicitudes de aplicación de medidas de preservación del orden interno, con el fin de prevenir la materialización de conductas con alcance disciplinario. </v>
      </c>
      <c r="E16" s="52">
        <f>+'01-FR-03 POA INSTITUCIONAL'!E88</f>
        <v>0.05</v>
      </c>
      <c r="F16" s="321">
        <f>+'01-FR-03 POA INSTITUCIONAL'!F88</f>
        <v>96</v>
      </c>
      <c r="G16" s="321">
        <f>+'01-FR-03 POA INSTITUCIONAL'!K88</f>
        <v>24</v>
      </c>
      <c r="H16" s="140" t="str">
        <f>+'01-FR-03 POA INSTITUCIONAL'!G88</f>
        <v>S.I.</v>
      </c>
      <c r="I16" s="140" t="str">
        <f>+'01-FR-03 POA INSTITUCIONAL'!H88</f>
        <v>Medidas de preservación del orden interno emitidas</v>
      </c>
      <c r="J16" s="218" t="s">
        <v>593</v>
      </c>
      <c r="K16" s="241" t="s">
        <v>602</v>
      </c>
      <c r="L16" s="221" t="s">
        <v>594</v>
      </c>
      <c r="M16" s="242" t="s">
        <v>605</v>
      </c>
      <c r="N16" s="221" t="s">
        <v>606</v>
      </c>
      <c r="O16" s="322" t="str">
        <f>+'01-FR-03 POA INSTITUCIONAL'!J88</f>
        <v>Oficina Control Interno Disciplinario</v>
      </c>
      <c r="P16" s="243">
        <v>2</v>
      </c>
      <c r="Q16" s="243">
        <v>2</v>
      </c>
      <c r="R16" s="243">
        <v>2</v>
      </c>
      <c r="S16" s="243">
        <v>6</v>
      </c>
      <c r="T16" s="243">
        <v>2</v>
      </c>
      <c r="U16" s="243">
        <v>2</v>
      </c>
      <c r="V16" s="91">
        <f>P16+R16+T16</f>
        <v>6</v>
      </c>
      <c r="W16" s="91">
        <f>Q16+S16+U16</f>
        <v>10</v>
      </c>
      <c r="X16" s="243">
        <v>2</v>
      </c>
      <c r="Y16" s="243">
        <v>4</v>
      </c>
      <c r="Z16" s="243">
        <v>2</v>
      </c>
      <c r="AA16" s="243">
        <v>3</v>
      </c>
      <c r="AB16" s="243">
        <v>2</v>
      </c>
      <c r="AC16" s="243">
        <v>2</v>
      </c>
      <c r="AD16" s="91">
        <f>X16+Z16+AB16</f>
        <v>6</v>
      </c>
      <c r="AE16" s="91">
        <f>Y16+AA16+AC16</f>
        <v>9</v>
      </c>
      <c r="AF16" s="243">
        <v>2</v>
      </c>
      <c r="AG16" s="243">
        <v>2</v>
      </c>
      <c r="AH16" s="243">
        <v>2</v>
      </c>
      <c r="AI16" s="243">
        <v>3</v>
      </c>
      <c r="AJ16" s="244">
        <v>2</v>
      </c>
      <c r="AK16" s="244">
        <v>4</v>
      </c>
      <c r="AL16" s="91">
        <f>AF16+AH16+AJ16</f>
        <v>6</v>
      </c>
      <c r="AM16" s="91">
        <f>AG16+AI16+AK16</f>
        <v>9</v>
      </c>
      <c r="AN16" s="243">
        <v>2</v>
      </c>
      <c r="AO16" s="243"/>
      <c r="AP16" s="243">
        <v>2</v>
      </c>
      <c r="AQ16" s="243"/>
      <c r="AR16" s="243">
        <v>2</v>
      </c>
      <c r="AS16" s="243"/>
      <c r="AT16" s="91">
        <f>AN16+AP16+AR16</f>
        <v>6</v>
      </c>
      <c r="AU16" s="91">
        <f>AO16+AQ16+AS16</f>
        <v>0</v>
      </c>
      <c r="AV16" s="245">
        <f>V16+AD16+AL16+AT16</f>
        <v>24</v>
      </c>
      <c r="AW16" s="81">
        <f>+W16</f>
        <v>10</v>
      </c>
      <c r="AX16" s="81">
        <f>+W16+AE16</f>
        <v>19</v>
      </c>
      <c r="AY16" s="81">
        <f>+W16+AE16+AM16</f>
        <v>28</v>
      </c>
      <c r="AZ16" s="386">
        <f>+W16+AE16+AM16+AU16</f>
        <v>28</v>
      </c>
      <c r="BA16" s="42">
        <f>IF(AND(AW16&gt;0,$AV16&gt;0),AW16/$AV16,0)</f>
        <v>0.41666666666666669</v>
      </c>
      <c r="BB16" s="42">
        <f t="shared" ref="BB16:BD18" si="0">IF(AND(AX16&gt;0,$AV16&gt;0),AX16/$AV16,0)</f>
        <v>0.79166666666666663</v>
      </c>
      <c r="BC16" s="42">
        <f t="shared" si="0"/>
        <v>1.1666666666666667</v>
      </c>
      <c r="BD16" s="42">
        <f t="shared" si="0"/>
        <v>1.1666666666666667</v>
      </c>
      <c r="BE16" s="390">
        <f>(IF(AND(AW16&gt;0,$F16&gt;0),AW16/$F16,0))</f>
        <v>0.10416666666666667</v>
      </c>
      <c r="BF16" s="390">
        <f t="shared" ref="BF16:BH18" si="1">(IF(AND(AX16&gt;0,$F16&gt;0),AX16/$F16,0))</f>
        <v>0.19791666666666666</v>
      </c>
      <c r="BG16" s="390">
        <f t="shared" si="1"/>
        <v>0.29166666666666669</v>
      </c>
      <c r="BH16" s="391">
        <f t="shared" si="1"/>
        <v>0.29166666666666669</v>
      </c>
    </row>
    <row r="17" spans="2:60" ht="152.25" customHeight="1">
      <c r="B17" s="1542"/>
      <c r="C17" s="1542"/>
      <c r="D17" s="31" t="str">
        <f>+'01-FR-03 POA INSTITUCIONAL'!D89</f>
        <v>4.5.2 Realizar 8 jornadas de sensibilización a funcionarios de la Personería de Bogotá D.C. sobre la prevención de las faltas disciplinarias más recurrentes en la Entidad.</v>
      </c>
      <c r="E17" s="52">
        <f>+'01-FR-03 POA INSTITUCIONAL'!E89</f>
        <v>0.05</v>
      </c>
      <c r="F17" s="321">
        <f>+'01-FR-03 POA INSTITUCIONAL'!F89</f>
        <v>7</v>
      </c>
      <c r="G17" s="321">
        <f>+'01-FR-03 POA INSTITUCIONAL'!K89</f>
        <v>2</v>
      </c>
      <c r="H17" s="140" t="str">
        <f>+'01-FR-03 POA INSTITUCIONAL'!G89</f>
        <v>S.I.</v>
      </c>
      <c r="I17" s="140" t="str">
        <f>+'01-FR-03 POA INSTITUCIONAL'!H89</f>
        <v>Jornadas de sensibilización realizadas</v>
      </c>
      <c r="J17" s="218" t="s">
        <v>595</v>
      </c>
      <c r="K17" s="241" t="s">
        <v>603</v>
      </c>
      <c r="L17" s="221" t="s">
        <v>596</v>
      </c>
      <c r="M17" s="242" t="s">
        <v>605</v>
      </c>
      <c r="N17" s="221" t="s">
        <v>606</v>
      </c>
      <c r="O17" s="322" t="str">
        <f>+'01-FR-03 POA INSTITUCIONAL'!J89</f>
        <v>Oficina Control Interno Disciplinario</v>
      </c>
      <c r="P17" s="243">
        <v>0</v>
      </c>
      <c r="Q17" s="243">
        <v>0</v>
      </c>
      <c r="R17" s="243">
        <v>0</v>
      </c>
      <c r="S17" s="243">
        <v>0</v>
      </c>
      <c r="T17" s="243">
        <v>0</v>
      </c>
      <c r="U17" s="243">
        <v>0</v>
      </c>
      <c r="V17" s="91">
        <f t="shared" ref="V17:W18" si="2">P17+R17+T17</f>
        <v>0</v>
      </c>
      <c r="W17" s="91">
        <f t="shared" si="2"/>
        <v>0</v>
      </c>
      <c r="X17" s="243">
        <v>0</v>
      </c>
      <c r="Y17" s="243">
        <v>0</v>
      </c>
      <c r="Z17" s="243">
        <v>1</v>
      </c>
      <c r="AA17" s="243">
        <v>1</v>
      </c>
      <c r="AB17" s="243">
        <v>0</v>
      </c>
      <c r="AC17" s="243">
        <v>0</v>
      </c>
      <c r="AD17" s="91">
        <f t="shared" ref="AD17:AE18" si="3">X17+Z17+AB17</f>
        <v>1</v>
      </c>
      <c r="AE17" s="91">
        <f t="shared" si="3"/>
        <v>1</v>
      </c>
      <c r="AF17" s="243">
        <v>0</v>
      </c>
      <c r="AG17" s="243">
        <v>0</v>
      </c>
      <c r="AH17" s="243">
        <v>1</v>
      </c>
      <c r="AI17" s="243">
        <v>1</v>
      </c>
      <c r="AJ17" s="244">
        <v>0</v>
      </c>
      <c r="AK17" s="244">
        <v>0</v>
      </c>
      <c r="AL17" s="91">
        <f t="shared" ref="AL17:AM18" si="4">AF17+AH17+AJ17</f>
        <v>1</v>
      </c>
      <c r="AM17" s="91">
        <f t="shared" si="4"/>
        <v>1</v>
      </c>
      <c r="AN17" s="243">
        <v>0</v>
      </c>
      <c r="AO17" s="243"/>
      <c r="AP17" s="243">
        <v>0</v>
      </c>
      <c r="AQ17" s="243"/>
      <c r="AR17" s="243">
        <v>0</v>
      </c>
      <c r="AS17" s="243"/>
      <c r="AT17" s="91">
        <f t="shared" ref="AT17:AU18" si="5">AN17+AP17+AR17</f>
        <v>0</v>
      </c>
      <c r="AU17" s="91">
        <f t="shared" si="5"/>
        <v>0</v>
      </c>
      <c r="AV17" s="245">
        <f t="shared" ref="AV17:AV18" si="6">V17+AD17+AL17+AT17</f>
        <v>2</v>
      </c>
      <c r="AW17" s="81">
        <f t="shared" ref="AW17:AW18" si="7">+W17</f>
        <v>0</v>
      </c>
      <c r="AX17" s="81">
        <f t="shared" ref="AX17:AX18" si="8">+W17+AE17</f>
        <v>1</v>
      </c>
      <c r="AY17" s="81">
        <f t="shared" ref="AY17:AY18" si="9">+W17+AE17+AM17</f>
        <v>2</v>
      </c>
      <c r="AZ17" s="386">
        <f t="shared" ref="AZ17:AZ18" si="10">+W17+AE17+AM17+AU17</f>
        <v>2</v>
      </c>
      <c r="BA17" s="42">
        <f>IF(AND(AW17&gt;0,AV17&gt;0),AW17/AV17,0)</f>
        <v>0</v>
      </c>
      <c r="BB17" s="42">
        <f t="shared" si="0"/>
        <v>0.5</v>
      </c>
      <c r="BC17" s="42">
        <f t="shared" si="0"/>
        <v>1</v>
      </c>
      <c r="BD17" s="42">
        <f t="shared" si="0"/>
        <v>1</v>
      </c>
      <c r="BE17" s="390">
        <f t="shared" ref="BE17:BE18" si="11">(IF(AND(AW17&gt;0,$F17&gt;0),AW17/$F17,0))</f>
        <v>0</v>
      </c>
      <c r="BF17" s="390">
        <f t="shared" si="1"/>
        <v>0.14285714285714285</v>
      </c>
      <c r="BG17" s="390">
        <f t="shared" si="1"/>
        <v>0.2857142857142857</v>
      </c>
      <c r="BH17" s="391">
        <f t="shared" si="1"/>
        <v>0.2857142857142857</v>
      </c>
    </row>
    <row r="18" spans="2:60" ht="142.5" customHeight="1">
      <c r="B18" s="1574"/>
      <c r="C18" s="1574"/>
      <c r="D18" s="31" t="str">
        <f>+'01-FR-03 POA INSTITUCIONAL'!D90</f>
        <v>4.5.3 Decidir de fondo 400 procesos disciplinarios que se encuentren en términos o con periodos vencidos, dando prelación a aquellos con mayor antigüedad o aquellos próximos a prescribir o caducar.</v>
      </c>
      <c r="E18" s="52">
        <f>+'01-FR-03 POA INSTITUCIONAL'!E90</f>
        <v>0.2</v>
      </c>
      <c r="F18" s="321">
        <f>+'01-FR-03 POA INSTITUCIONAL'!F90</f>
        <v>400</v>
      </c>
      <c r="G18" s="321">
        <f>+'01-FR-03 POA INSTITUCIONAL'!K90</f>
        <v>100</v>
      </c>
      <c r="H18" s="140" t="str">
        <f>+'01-FR-03 POA INSTITUCIONAL'!G90</f>
        <v>115 (en el último año)</v>
      </c>
      <c r="I18" s="140" t="str">
        <f>+'01-FR-03 POA INSTITUCIONAL'!H90</f>
        <v>Procesos disciplinarios con decisión de fondo proferida</v>
      </c>
      <c r="J18" s="218" t="s">
        <v>597</v>
      </c>
      <c r="K18" s="241" t="s">
        <v>604</v>
      </c>
      <c r="L18" s="221" t="s">
        <v>598</v>
      </c>
      <c r="M18" s="242" t="s">
        <v>605</v>
      </c>
      <c r="N18" s="221" t="s">
        <v>606</v>
      </c>
      <c r="O18" s="322" t="str">
        <f>+'01-FR-03 POA INSTITUCIONAL'!J90</f>
        <v>Oficina Control Interno Disciplinario</v>
      </c>
      <c r="P18" s="243">
        <v>7</v>
      </c>
      <c r="Q18" s="243">
        <v>12</v>
      </c>
      <c r="R18" s="243">
        <v>8</v>
      </c>
      <c r="S18" s="243">
        <v>16</v>
      </c>
      <c r="T18" s="243">
        <v>8</v>
      </c>
      <c r="U18" s="243">
        <v>10</v>
      </c>
      <c r="V18" s="91">
        <f t="shared" si="2"/>
        <v>23</v>
      </c>
      <c r="W18" s="91">
        <f t="shared" si="2"/>
        <v>38</v>
      </c>
      <c r="X18" s="243">
        <v>10</v>
      </c>
      <c r="Y18" s="243">
        <v>10</v>
      </c>
      <c r="Z18" s="243">
        <v>10</v>
      </c>
      <c r="AA18" s="243">
        <v>10</v>
      </c>
      <c r="AB18" s="243">
        <v>10</v>
      </c>
      <c r="AC18" s="243">
        <v>10</v>
      </c>
      <c r="AD18" s="91">
        <f t="shared" si="3"/>
        <v>30</v>
      </c>
      <c r="AE18" s="91">
        <f t="shared" si="3"/>
        <v>30</v>
      </c>
      <c r="AF18" s="243">
        <v>10</v>
      </c>
      <c r="AG18" s="243">
        <v>17</v>
      </c>
      <c r="AH18" s="243">
        <v>10</v>
      </c>
      <c r="AI18" s="243">
        <v>12</v>
      </c>
      <c r="AJ18" s="244">
        <v>10</v>
      </c>
      <c r="AK18" s="244">
        <v>19</v>
      </c>
      <c r="AL18" s="91">
        <f t="shared" si="4"/>
        <v>30</v>
      </c>
      <c r="AM18" s="91">
        <f t="shared" si="4"/>
        <v>48</v>
      </c>
      <c r="AN18" s="243">
        <v>6</v>
      </c>
      <c r="AO18" s="243"/>
      <c r="AP18" s="243">
        <v>6</v>
      </c>
      <c r="AQ18" s="243"/>
      <c r="AR18" s="243">
        <v>5</v>
      </c>
      <c r="AS18" s="243"/>
      <c r="AT18" s="91">
        <f t="shared" si="5"/>
        <v>17</v>
      </c>
      <c r="AU18" s="91">
        <f t="shared" si="5"/>
        <v>0</v>
      </c>
      <c r="AV18" s="245">
        <f t="shared" si="6"/>
        <v>100</v>
      </c>
      <c r="AW18" s="81">
        <f t="shared" si="7"/>
        <v>38</v>
      </c>
      <c r="AX18" s="81">
        <f t="shared" si="8"/>
        <v>68</v>
      </c>
      <c r="AY18" s="81">
        <f t="shared" si="9"/>
        <v>116</v>
      </c>
      <c r="AZ18" s="386">
        <f t="shared" si="10"/>
        <v>116</v>
      </c>
      <c r="BA18" s="42">
        <f t="shared" ref="BA18" si="12">IF(AND(AW18&gt;0,AV18&gt;0),AW18/AV18,0)</f>
        <v>0.38</v>
      </c>
      <c r="BB18" s="42">
        <f t="shared" si="0"/>
        <v>0.68</v>
      </c>
      <c r="BC18" s="42">
        <f t="shared" si="0"/>
        <v>1.1599999999999999</v>
      </c>
      <c r="BD18" s="42">
        <f t="shared" si="0"/>
        <v>1.1599999999999999</v>
      </c>
      <c r="BE18" s="390">
        <f t="shared" si="11"/>
        <v>9.5000000000000001E-2</v>
      </c>
      <c r="BF18" s="390">
        <f t="shared" si="1"/>
        <v>0.17</v>
      </c>
      <c r="BG18" s="390">
        <f t="shared" si="1"/>
        <v>0.28999999999999998</v>
      </c>
      <c r="BH18" s="391">
        <f t="shared" si="1"/>
        <v>0.28999999999999998</v>
      </c>
    </row>
    <row r="19" spans="2:60" ht="22.8">
      <c r="B19" s="1491"/>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575"/>
      <c r="AX19" s="1539" t="s">
        <v>19</v>
      </c>
      <c r="AY19" s="1573"/>
      <c r="AZ19" s="1573"/>
      <c r="BA19" s="70">
        <f t="shared" ref="BA19:BD19" si="13">AVERAGE(BA16:BA18)</f>
        <v>0.26555555555555554</v>
      </c>
      <c r="BB19" s="70">
        <f t="shared" si="13"/>
        <v>0.65722222222222226</v>
      </c>
      <c r="BC19" s="70">
        <f t="shared" si="13"/>
        <v>1.108888888888889</v>
      </c>
      <c r="BD19" s="70">
        <f t="shared" si="13"/>
        <v>1.108888888888889</v>
      </c>
      <c r="BE19" s="1614"/>
      <c r="BF19" s="1615"/>
      <c r="BG19" s="1615"/>
      <c r="BH19" s="1616"/>
    </row>
    <row r="20" spans="2:60">
      <c r="B20" s="1512"/>
      <c r="C20" s="1512"/>
      <c r="D20" s="1512"/>
      <c r="E20" s="1512"/>
      <c r="F20" s="1512"/>
      <c r="G20" s="1512"/>
      <c r="H20" s="247"/>
      <c r="I20" s="248"/>
      <c r="J20" s="248"/>
      <c r="K20" s="248"/>
      <c r="L20" s="248"/>
      <c r="M20" s="248"/>
      <c r="N20" s="248"/>
      <c r="O20" s="248"/>
    </row>
    <row r="21" spans="2:60">
      <c r="B21" s="248"/>
      <c r="C21" s="248"/>
      <c r="D21" s="1524"/>
      <c r="E21" s="1524"/>
      <c r="F21" s="1524"/>
      <c r="G21" s="1524"/>
      <c r="H21" s="1524"/>
      <c r="I21" s="1524"/>
      <c r="J21" s="1524"/>
      <c r="K21" s="1524"/>
      <c r="L21" s="1524"/>
      <c r="M21" s="1524"/>
      <c r="N21" s="1524"/>
      <c r="O21" s="1524"/>
    </row>
    <row r="22" spans="2:60" ht="15.6">
      <c r="B22" s="77" t="s">
        <v>26</v>
      </c>
      <c r="C22" s="249">
        <v>44224</v>
      </c>
      <c r="D22" s="250"/>
      <c r="E22" s="1514" t="s">
        <v>50</v>
      </c>
      <c r="F22" s="364"/>
      <c r="G22" s="1515" t="s">
        <v>600</v>
      </c>
      <c r="H22" s="1515"/>
      <c r="I22" s="1515"/>
      <c r="J22" s="1515"/>
      <c r="K22" s="251"/>
      <c r="L22" s="1568"/>
      <c r="M22" s="1568"/>
      <c r="N22" s="1568"/>
      <c r="O22" s="1577"/>
    </row>
    <row r="23" spans="2:60" ht="15.6">
      <c r="B23" s="248"/>
      <c r="C23" s="248"/>
      <c r="D23" s="251"/>
      <c r="E23" s="1514"/>
      <c r="F23" s="364"/>
      <c r="G23" s="1515"/>
      <c r="H23" s="1515"/>
      <c r="I23" s="1515"/>
      <c r="J23" s="1515"/>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1683" t="s">
        <v>983</v>
      </c>
      <c r="C26" s="1683"/>
      <c r="D26" s="1683"/>
      <c r="E26" s="1683"/>
      <c r="F26" s="1683"/>
      <c r="G26" s="1683"/>
      <c r="H26" s="247"/>
      <c r="I26" s="1576"/>
      <c r="J26" s="1576"/>
      <c r="K26" s="1576"/>
      <c r="L26" s="1576"/>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1576"/>
      <c r="J28" s="1576"/>
      <c r="K28" s="1576"/>
      <c r="L28" s="1576"/>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1576"/>
      <c r="J30" s="1576"/>
      <c r="K30" s="1576"/>
      <c r="L30" s="1576"/>
      <c r="M30" s="252"/>
      <c r="N30" s="252"/>
      <c r="O30" s="252"/>
    </row>
  </sheetData>
  <sheetProtection algorithmName="SHA-512" hashValue="NzMTEclEue3+Qi9dBuRbTv3UvlHRG1/h5x/NAh77cIFuxDdC6NP1p1Ua0rdvHh4ws7t+TQj7qYZzuFMKRFrN2g==" saltValue="MPWhBDtn6oM2ZbnrQ9g36g==" spinCount="100000" sheet="1" objects="1" scenarios="1"/>
  <mergeCells count="72">
    <mergeCell ref="BE19:BH19"/>
    <mergeCell ref="E22:E23"/>
    <mergeCell ref="G22:J23"/>
    <mergeCell ref="L22:O22"/>
    <mergeCell ref="I26:L26"/>
    <mergeCell ref="B26:G26"/>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AX19:AZ19"/>
    <mergeCell ref="D21:O21"/>
    <mergeCell ref="B16:B18"/>
    <mergeCell ref="C16:C18"/>
    <mergeCell ref="B20:G20"/>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00B050"/>
  </sheetPr>
  <dimension ref="B1:BH30"/>
  <sheetViews>
    <sheetView showGridLines="0" zoomScale="70" zoomScaleNormal="70" workbookViewId="0">
      <selection activeCell="C2" sqref="C2:BF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509" t="s">
        <v>736</v>
      </c>
      <c r="C2" s="1525" t="s">
        <v>118</v>
      </c>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c r="BE2" s="1526"/>
      <c r="BF2" s="1527"/>
      <c r="BG2" s="236" t="s">
        <v>31</v>
      </c>
      <c r="BH2" s="237"/>
    </row>
    <row r="3" spans="2:60" ht="15.6">
      <c r="B3" s="1510"/>
      <c r="C3" s="1528"/>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30"/>
      <c r="BG3" s="212" t="s">
        <v>28</v>
      </c>
      <c r="BH3" s="28" t="s">
        <v>29</v>
      </c>
    </row>
    <row r="4" spans="2:60" ht="15" customHeight="1">
      <c r="B4" s="1510"/>
      <c r="C4" s="1528"/>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30"/>
      <c r="BG4" s="213">
        <v>5</v>
      </c>
      <c r="BH4" s="30" t="s">
        <v>702</v>
      </c>
    </row>
    <row r="5" spans="2:60" ht="15.6">
      <c r="B5" s="1510"/>
      <c r="C5" s="1528"/>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30"/>
      <c r="BG5" s="214" t="s">
        <v>30</v>
      </c>
      <c r="BH5" s="215"/>
    </row>
    <row r="6" spans="2:60" ht="15.6" customHeight="1" thickBot="1">
      <c r="B6" s="1511"/>
      <c r="C6" s="1531"/>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3"/>
      <c r="BG6" s="1500">
        <v>44306</v>
      </c>
      <c r="BH6" s="150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46"/>
      <c r="AX7" s="1568"/>
      <c r="AY7" s="1568"/>
      <c r="AZ7" s="1568"/>
      <c r="BA7" s="1548"/>
      <c r="BB7" s="238"/>
      <c r="BC7" s="238"/>
      <c r="BD7" s="238"/>
      <c r="BE7" s="138"/>
      <c r="BF7" s="138"/>
    </row>
    <row r="8" spans="2:60" ht="21">
      <c r="B8" s="216" t="s">
        <v>45</v>
      </c>
      <c r="C8" s="1584" t="s">
        <v>98</v>
      </c>
      <c r="D8" s="1584"/>
      <c r="E8" s="217"/>
      <c r="F8" s="217"/>
      <c r="G8" s="217"/>
      <c r="H8" s="217"/>
      <c r="I8" s="217"/>
      <c r="J8" s="217"/>
      <c r="K8" s="217"/>
      <c r="L8" s="217"/>
      <c r="M8" s="217"/>
      <c r="N8" s="217"/>
      <c r="O8" s="217"/>
      <c r="AW8" s="238"/>
      <c r="AX8" s="238"/>
      <c r="AY8" s="238"/>
      <c r="AZ8" s="238"/>
      <c r="BA8" s="238"/>
      <c r="BB8" s="238"/>
      <c r="BC8" s="238"/>
      <c r="BD8" s="238"/>
    </row>
    <row r="9" spans="2:60" ht="93" customHeight="1">
      <c r="B9" s="216" t="s">
        <v>34</v>
      </c>
      <c r="C9" s="1535" t="s">
        <v>611</v>
      </c>
      <c r="D9" s="1536"/>
      <c r="E9" s="217"/>
      <c r="F9" s="217"/>
      <c r="G9" s="217"/>
      <c r="H9" s="217"/>
      <c r="I9" s="217"/>
      <c r="J9" s="217"/>
      <c r="K9" s="217"/>
      <c r="L9" s="217"/>
      <c r="M9" s="217"/>
      <c r="N9" s="217"/>
      <c r="O9" s="217"/>
      <c r="AW9" s="238"/>
      <c r="AX9" s="238"/>
      <c r="AY9" s="238"/>
      <c r="AZ9" s="238"/>
      <c r="BA9" s="238"/>
      <c r="BB9" s="238"/>
      <c r="BC9" s="238"/>
      <c r="BD9" s="238"/>
    </row>
    <row r="10" spans="2:60" ht="24.6">
      <c r="B10" s="216" t="s">
        <v>101</v>
      </c>
      <c r="C10" s="1537">
        <v>2021</v>
      </c>
      <c r="D10" s="1538"/>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1442" t="s">
        <v>0</v>
      </c>
      <c r="C12" s="1442" t="s">
        <v>52</v>
      </c>
      <c r="D12" s="1253" t="s">
        <v>761</v>
      </c>
      <c r="E12" s="1442" t="s">
        <v>61</v>
      </c>
      <c r="F12" s="1253" t="s">
        <v>732</v>
      </c>
      <c r="G12" s="1442" t="s">
        <v>58</v>
      </c>
      <c r="H12" s="1442" t="s">
        <v>25</v>
      </c>
      <c r="I12" s="1442" t="s">
        <v>60</v>
      </c>
      <c r="J12" s="1442" t="s">
        <v>39</v>
      </c>
      <c r="K12" s="1442" t="s">
        <v>36</v>
      </c>
      <c r="L12" s="1442" t="s">
        <v>20</v>
      </c>
      <c r="M12" s="1442" t="s">
        <v>51</v>
      </c>
      <c r="N12" s="1442" t="s">
        <v>40</v>
      </c>
      <c r="O12" s="1442" t="s">
        <v>42</v>
      </c>
      <c r="P12" s="1462" t="s">
        <v>112</v>
      </c>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549" t="s">
        <v>62</v>
      </c>
      <c r="AW12" s="1550" t="s">
        <v>733</v>
      </c>
      <c r="AX12" s="1551"/>
      <c r="AY12" s="1551"/>
      <c r="AZ12" s="1552"/>
      <c r="BA12" s="1556" t="s">
        <v>734</v>
      </c>
      <c r="BB12" s="1557"/>
      <c r="BC12" s="1557"/>
      <c r="BD12" s="1558"/>
      <c r="BE12" s="1543" t="s">
        <v>735</v>
      </c>
      <c r="BF12" s="1544"/>
      <c r="BG12" s="1544"/>
      <c r="BH12" s="1545"/>
    </row>
    <row r="13" spans="2:60" ht="15.6">
      <c r="B13" s="1442"/>
      <c r="C13" s="1442"/>
      <c r="D13" s="1253"/>
      <c r="E13" s="1442"/>
      <c r="F13" s="1253"/>
      <c r="G13" s="1442"/>
      <c r="H13" s="1442"/>
      <c r="I13" s="1442"/>
      <c r="J13" s="1442"/>
      <c r="K13" s="1442"/>
      <c r="L13" s="1442"/>
      <c r="M13" s="1442"/>
      <c r="N13" s="1442"/>
      <c r="O13" s="1442"/>
      <c r="P13" s="1517" t="s">
        <v>21</v>
      </c>
      <c r="Q13" s="1517"/>
      <c r="R13" s="1517"/>
      <c r="S13" s="1517"/>
      <c r="T13" s="1517"/>
      <c r="U13" s="1517"/>
      <c r="V13" s="1517"/>
      <c r="W13" s="1517"/>
      <c r="X13" s="1517" t="s">
        <v>22</v>
      </c>
      <c r="Y13" s="1517"/>
      <c r="Z13" s="1517"/>
      <c r="AA13" s="1517"/>
      <c r="AB13" s="1517"/>
      <c r="AC13" s="1517"/>
      <c r="AD13" s="1517"/>
      <c r="AE13" s="1517"/>
      <c r="AF13" s="1517" t="s">
        <v>23</v>
      </c>
      <c r="AG13" s="1517"/>
      <c r="AH13" s="1517"/>
      <c r="AI13" s="1517"/>
      <c r="AJ13" s="1517"/>
      <c r="AK13" s="1517"/>
      <c r="AL13" s="1517"/>
      <c r="AM13" s="1517"/>
      <c r="AN13" s="1517" t="s">
        <v>24</v>
      </c>
      <c r="AO13" s="1517"/>
      <c r="AP13" s="1517"/>
      <c r="AQ13" s="1517"/>
      <c r="AR13" s="1517"/>
      <c r="AS13" s="1517"/>
      <c r="AT13" s="1517"/>
      <c r="AU13" s="1517"/>
      <c r="AV13" s="1549"/>
      <c r="AW13" s="1553" t="s">
        <v>119</v>
      </c>
      <c r="AX13" s="1553" t="s">
        <v>22</v>
      </c>
      <c r="AY13" s="1553" t="s">
        <v>120</v>
      </c>
      <c r="AZ13" s="1553" t="s">
        <v>121</v>
      </c>
      <c r="BA13" s="1559" t="s">
        <v>119</v>
      </c>
      <c r="BB13" s="1559" t="s">
        <v>122</v>
      </c>
      <c r="BC13" s="1559" t="s">
        <v>123</v>
      </c>
      <c r="BD13" s="1559" t="s">
        <v>124</v>
      </c>
      <c r="BE13" s="1562" t="s">
        <v>21</v>
      </c>
      <c r="BF13" s="1562" t="s">
        <v>22</v>
      </c>
      <c r="BG13" s="1562" t="s">
        <v>23</v>
      </c>
      <c r="BH13" s="1562" t="s">
        <v>24</v>
      </c>
    </row>
    <row r="14" spans="2:60" ht="15.6">
      <c r="B14" s="1442"/>
      <c r="C14" s="1442"/>
      <c r="D14" s="1253"/>
      <c r="E14" s="1442"/>
      <c r="F14" s="1253"/>
      <c r="G14" s="1442"/>
      <c r="H14" s="1442"/>
      <c r="I14" s="1442"/>
      <c r="J14" s="1442"/>
      <c r="K14" s="1442"/>
      <c r="L14" s="1442"/>
      <c r="M14" s="1442"/>
      <c r="N14" s="1442"/>
      <c r="O14" s="1442"/>
      <c r="P14" s="1570" t="s">
        <v>5</v>
      </c>
      <c r="Q14" s="1570"/>
      <c r="R14" s="1570" t="s">
        <v>6</v>
      </c>
      <c r="S14" s="1570"/>
      <c r="T14" s="1570" t="s">
        <v>7</v>
      </c>
      <c r="U14" s="1570"/>
      <c r="V14" s="1462" t="s">
        <v>8</v>
      </c>
      <c r="W14" s="1462"/>
      <c r="X14" s="1570" t="s">
        <v>27</v>
      </c>
      <c r="Y14" s="1570"/>
      <c r="Z14" s="1570" t="s">
        <v>9</v>
      </c>
      <c r="AA14" s="1570"/>
      <c r="AB14" s="1570" t="s">
        <v>10</v>
      </c>
      <c r="AC14" s="1570"/>
      <c r="AD14" s="1462" t="s">
        <v>8</v>
      </c>
      <c r="AE14" s="1462"/>
      <c r="AF14" s="1570" t="s">
        <v>11</v>
      </c>
      <c r="AG14" s="1570"/>
      <c r="AH14" s="1570" t="s">
        <v>12</v>
      </c>
      <c r="AI14" s="1570"/>
      <c r="AJ14" s="1570" t="s">
        <v>13</v>
      </c>
      <c r="AK14" s="1570"/>
      <c r="AL14" s="1462" t="s">
        <v>8</v>
      </c>
      <c r="AM14" s="1462"/>
      <c r="AN14" s="1570" t="s">
        <v>14</v>
      </c>
      <c r="AO14" s="1570"/>
      <c r="AP14" s="1570" t="s">
        <v>15</v>
      </c>
      <c r="AQ14" s="1570"/>
      <c r="AR14" s="1570" t="s">
        <v>16</v>
      </c>
      <c r="AS14" s="1570"/>
      <c r="AT14" s="1462" t="s">
        <v>8</v>
      </c>
      <c r="AU14" s="1462"/>
      <c r="AV14" s="1549"/>
      <c r="AW14" s="1554"/>
      <c r="AX14" s="1554"/>
      <c r="AY14" s="1554"/>
      <c r="AZ14" s="1554"/>
      <c r="BA14" s="1560"/>
      <c r="BB14" s="1560"/>
      <c r="BC14" s="1560"/>
      <c r="BD14" s="1560"/>
      <c r="BE14" s="1563"/>
      <c r="BF14" s="1563"/>
      <c r="BG14" s="1563"/>
      <c r="BH14" s="1563"/>
    </row>
    <row r="15" spans="2:60" ht="13.2" customHeight="1">
      <c r="B15" s="1442"/>
      <c r="C15" s="1442"/>
      <c r="D15" s="1253"/>
      <c r="E15" s="1442"/>
      <c r="F15" s="1253"/>
      <c r="G15" s="1442"/>
      <c r="H15" s="1442"/>
      <c r="I15" s="1442"/>
      <c r="J15" s="1442"/>
      <c r="K15" s="1442"/>
      <c r="L15" s="1442"/>
      <c r="M15" s="1442"/>
      <c r="N15" s="1442"/>
      <c r="O15" s="1442"/>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1549"/>
      <c r="AW15" s="1555"/>
      <c r="AX15" s="1555"/>
      <c r="AY15" s="1555"/>
      <c r="AZ15" s="1555"/>
      <c r="BA15" s="1561"/>
      <c r="BB15" s="1561"/>
      <c r="BC15" s="1561"/>
      <c r="BD15" s="1561"/>
      <c r="BE15" s="1564"/>
      <c r="BF15" s="1564"/>
      <c r="BG15" s="1564"/>
      <c r="BH15" s="1564"/>
    </row>
    <row r="16" spans="2:60" ht="98.25" customHeight="1">
      <c r="B16" s="154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1" t="str">
        <f>+'01-FR-03 POA INSTITUCIONAL'!C88</f>
        <v>4.5. Desarrollar el 100% de las acciones relacionadas con el fomento de la Cultura del Autocontrol, la Autorregulación y la Autogestión institucional.</v>
      </c>
      <c r="D16" s="31" t="str">
        <f>+'01-FR-03 POA INSTITUCIONAL'!D91</f>
        <v>4.5.4 Ejecutar  4 programas anuales de auditorias, aprobados por el Comité Institucional de Coordinación del Sistema de Control Interno.</v>
      </c>
      <c r="E16" s="52">
        <f>+'01-FR-03 POA INSTITUCIONAL'!E91</f>
        <v>0.5</v>
      </c>
      <c r="F16" s="68">
        <f>+'01-FR-03 POA INSTITUCIONAL'!F91</f>
        <v>4</v>
      </c>
      <c r="G16" s="68">
        <v>1</v>
      </c>
      <c r="H16" s="68">
        <v>1</v>
      </c>
      <c r="I16" s="140" t="str">
        <f>+'01-FR-03 POA INSTITUCIONAL'!H91</f>
        <v>Programa anual de auditorías ejecutado.</v>
      </c>
      <c r="J16" s="218" t="s">
        <v>711</v>
      </c>
      <c r="K16" s="241" t="s">
        <v>612</v>
      </c>
      <c r="L16" s="221" t="s">
        <v>613</v>
      </c>
      <c r="M16" s="221" t="s">
        <v>614</v>
      </c>
      <c r="N16" s="221" t="s">
        <v>615</v>
      </c>
      <c r="O16" s="242" t="str">
        <f>+'[6]POA Anualizado (Pág 1 de 3)'!J13</f>
        <v>Oficina de Control Interno</v>
      </c>
      <c r="P16" s="243">
        <v>0.18</v>
      </c>
      <c r="Q16" s="243">
        <v>0.18</v>
      </c>
      <c r="R16" s="243">
        <v>0.21</v>
      </c>
      <c r="S16" s="243">
        <v>0.21</v>
      </c>
      <c r="T16" s="243">
        <v>0.12</v>
      </c>
      <c r="U16" s="243">
        <v>0.12</v>
      </c>
      <c r="V16" s="93">
        <f>P16+R16+T16</f>
        <v>0.51</v>
      </c>
      <c r="W16" s="93">
        <f>Q16+S16+U16</f>
        <v>0.51</v>
      </c>
      <c r="X16" s="243">
        <v>0</v>
      </c>
      <c r="Y16" s="243">
        <v>0</v>
      </c>
      <c r="Z16" s="243">
        <v>0.12</v>
      </c>
      <c r="AA16" s="243">
        <v>0.12</v>
      </c>
      <c r="AB16" s="243">
        <v>0</v>
      </c>
      <c r="AC16" s="243">
        <v>0</v>
      </c>
      <c r="AD16" s="93">
        <f>X16+Z16+AB16</f>
        <v>0.12</v>
      </c>
      <c r="AE16" s="93">
        <f>Y16+AA16+AC16</f>
        <v>0.12</v>
      </c>
      <c r="AF16" s="243">
        <v>0.02</v>
      </c>
      <c r="AG16" s="243">
        <v>0.02</v>
      </c>
      <c r="AH16" s="243">
        <v>0.09</v>
      </c>
      <c r="AI16" s="243">
        <v>0.09</v>
      </c>
      <c r="AJ16" s="243">
        <v>0.15</v>
      </c>
      <c r="AK16" s="244">
        <v>0.15</v>
      </c>
      <c r="AL16" s="93">
        <f>AF16+AH16+AJ16</f>
        <v>0.26</v>
      </c>
      <c r="AM16" s="93">
        <f>AG16+AI16+AK16</f>
        <v>0.26</v>
      </c>
      <c r="AN16" s="243">
        <v>0.09</v>
      </c>
      <c r="AO16" s="243"/>
      <c r="AP16" s="243">
        <v>0.02</v>
      </c>
      <c r="AQ16" s="243"/>
      <c r="AR16" s="243">
        <v>0</v>
      </c>
      <c r="AS16" s="243"/>
      <c r="AT16" s="93">
        <f>AN16+AP16+AR16</f>
        <v>0.11</v>
      </c>
      <c r="AU16" s="93">
        <f>AO16+AQ16+AS16</f>
        <v>0</v>
      </c>
      <c r="AV16" s="245">
        <f>V16+AD16+AL16+AT16</f>
        <v>1</v>
      </c>
      <c r="AW16" s="348">
        <f>+W16</f>
        <v>0.51</v>
      </c>
      <c r="AX16" s="348">
        <f>+W16+AE16</f>
        <v>0.63</v>
      </c>
      <c r="AY16" s="348">
        <f>+W16+AE16+AM16</f>
        <v>0.89</v>
      </c>
      <c r="AZ16" s="400">
        <f>+W16+AE16+AM16+AU16</f>
        <v>0.89</v>
      </c>
      <c r="BA16" s="42">
        <f>IF(AND(AW16&gt;0,$AV16&gt;0),AW16/$AV16,0)</f>
        <v>0.51</v>
      </c>
      <c r="BB16" s="42">
        <f t="shared" ref="BB16:BD18" si="0">IF(AND(AX16&gt;0,$AV16&gt;0),AX16/$AV16,0)</f>
        <v>0.63</v>
      </c>
      <c r="BC16" s="42">
        <f t="shared" si="0"/>
        <v>0.89</v>
      </c>
      <c r="BD16" s="42">
        <f t="shared" si="0"/>
        <v>0.89</v>
      </c>
      <c r="BE16" s="335">
        <f>(IF(AND(AW16&gt;0,$F16&gt;0),AW16/$F16,0))</f>
        <v>0.1275</v>
      </c>
      <c r="BF16" s="335">
        <f t="shared" ref="BF16:BH18" si="1">(IF(AND(AX16&gt;0,$F16&gt;0),AX16/$F16,0))</f>
        <v>0.1575</v>
      </c>
      <c r="BG16" s="335">
        <f t="shared" si="1"/>
        <v>0.2225</v>
      </c>
      <c r="BH16" s="396">
        <f t="shared" si="1"/>
        <v>0.2225</v>
      </c>
    </row>
    <row r="17" spans="2:60" ht="120">
      <c r="B17" s="1542"/>
      <c r="C17" s="1542"/>
      <c r="D17" s="31" t="str">
        <f>+'01-FR-03 POA INSTITUCIONAL'!D92</f>
        <v>4.5.5 Desarrollar 4 estrategias de sensibilización acerca de la cultura del control.</v>
      </c>
      <c r="E17" s="52">
        <f>+'01-FR-03 POA INSTITUCIONAL'!E92</f>
        <v>0.1</v>
      </c>
      <c r="F17" s="68">
        <f>+'01-FR-03 POA INSTITUCIONAL'!F92</f>
        <v>4</v>
      </c>
      <c r="G17" s="68">
        <v>1</v>
      </c>
      <c r="H17" s="68">
        <v>1</v>
      </c>
      <c r="I17" s="140" t="str">
        <f>+'01-FR-03 POA INSTITUCIONAL'!H92</f>
        <v>Estrategia de Sensibilización acerca de la Cultura del Control realizada</v>
      </c>
      <c r="J17" s="218" t="s">
        <v>616</v>
      </c>
      <c r="K17" s="241" t="s">
        <v>621</v>
      </c>
      <c r="L17" s="221" t="s">
        <v>617</v>
      </c>
      <c r="M17" s="221" t="s">
        <v>614</v>
      </c>
      <c r="N17" s="221" t="s">
        <v>615</v>
      </c>
      <c r="O17" s="242" t="str">
        <f>+'[6]POA Anualizado (Pág 1 de 3)'!J14</f>
        <v>Oficina de Control Interno</v>
      </c>
      <c r="P17" s="243">
        <v>0</v>
      </c>
      <c r="Q17" s="243">
        <v>0</v>
      </c>
      <c r="R17" s="243">
        <v>0</v>
      </c>
      <c r="S17" s="243">
        <v>0</v>
      </c>
      <c r="T17" s="243">
        <v>0</v>
      </c>
      <c r="U17" s="243">
        <v>0</v>
      </c>
      <c r="V17" s="91">
        <f t="shared" ref="V17:W18" si="2">P17+R17+T17</f>
        <v>0</v>
      </c>
      <c r="W17" s="91">
        <f t="shared" si="2"/>
        <v>0</v>
      </c>
      <c r="X17" s="243">
        <v>0</v>
      </c>
      <c r="Y17" s="243">
        <v>0</v>
      </c>
      <c r="Z17" s="243">
        <v>0</v>
      </c>
      <c r="AA17" s="243">
        <v>0</v>
      </c>
      <c r="AB17" s="243">
        <v>0</v>
      </c>
      <c r="AC17" s="243">
        <v>0</v>
      </c>
      <c r="AD17" s="91">
        <f t="shared" ref="AD17:AE18" si="3">X17+Z17+AB17</f>
        <v>0</v>
      </c>
      <c r="AE17" s="91">
        <f t="shared" si="3"/>
        <v>0</v>
      </c>
      <c r="AF17" s="243">
        <v>0</v>
      </c>
      <c r="AG17" s="243">
        <v>0</v>
      </c>
      <c r="AH17" s="243">
        <v>0</v>
      </c>
      <c r="AI17" s="243">
        <v>0</v>
      </c>
      <c r="AJ17" s="243">
        <v>0</v>
      </c>
      <c r="AK17" s="244">
        <v>0</v>
      </c>
      <c r="AL17" s="91">
        <f t="shared" ref="AL17:AM18" si="4">AF17+AH17+AJ17</f>
        <v>0</v>
      </c>
      <c r="AM17" s="91">
        <f t="shared" si="4"/>
        <v>0</v>
      </c>
      <c r="AN17" s="243">
        <v>0</v>
      </c>
      <c r="AO17" s="243"/>
      <c r="AP17" s="243">
        <v>1</v>
      </c>
      <c r="AQ17" s="243"/>
      <c r="AR17" s="243">
        <v>0</v>
      </c>
      <c r="AS17" s="243"/>
      <c r="AT17" s="91">
        <f t="shared" ref="AT17:AU18" si="5">AN17+AP17+AR17</f>
        <v>1</v>
      </c>
      <c r="AU17" s="91">
        <f t="shared" si="5"/>
        <v>0</v>
      </c>
      <c r="AV17" s="245">
        <f t="shared" ref="AV17:AV18" si="6">V17+AD17+AL17+AT17</f>
        <v>1</v>
      </c>
      <c r="AW17" s="81">
        <f t="shared" ref="AW17:AW18" si="7">+W17</f>
        <v>0</v>
      </c>
      <c r="AX17" s="81">
        <f t="shared" ref="AX17:AX18" si="8">+W17+AE17</f>
        <v>0</v>
      </c>
      <c r="AY17" s="81">
        <f t="shared" ref="AY17:AY18" si="9">+W17+AE17+AM17</f>
        <v>0</v>
      </c>
      <c r="AZ17" s="386">
        <f t="shared" ref="AZ17:AZ18" si="10">+W17+AE17+AM17+AU17</f>
        <v>0</v>
      </c>
      <c r="BA17" s="42">
        <f>IF(AND(AW17&gt;0,AV17&gt;0),AW17/AV17,0)</f>
        <v>0</v>
      </c>
      <c r="BB17" s="42">
        <f t="shared" si="0"/>
        <v>0</v>
      </c>
      <c r="BC17" s="42">
        <f t="shared" si="0"/>
        <v>0</v>
      </c>
      <c r="BD17" s="42">
        <f t="shared" si="0"/>
        <v>0</v>
      </c>
      <c r="BE17" s="335">
        <f t="shared" ref="BE17:BE18" si="11">(IF(AND(AW17&gt;0,$F17&gt;0),AW17/$F17,0))</f>
        <v>0</v>
      </c>
      <c r="BF17" s="335">
        <f t="shared" si="1"/>
        <v>0</v>
      </c>
      <c r="BG17" s="335">
        <f t="shared" si="1"/>
        <v>0</v>
      </c>
      <c r="BH17" s="396">
        <f t="shared" si="1"/>
        <v>0</v>
      </c>
    </row>
    <row r="18" spans="2:60" ht="104.25" customHeight="1">
      <c r="B18" s="1574"/>
      <c r="C18" s="1574"/>
      <c r="D18" s="31" t="str">
        <f>+'01-FR-03 POA INSTITUCIONAL'!D93</f>
        <v>4.5.6 Realizar 4 jornadas de sensibilización a Directivos y Referentes de proceso sobre la Séptima Dimensión.</v>
      </c>
      <c r="E18" s="52">
        <f>+'01-FR-03 POA INSTITUCIONAL'!E93</f>
        <v>0.1</v>
      </c>
      <c r="F18" s="68">
        <f>+'01-FR-03 POA INSTITUCIONAL'!F93</f>
        <v>4</v>
      </c>
      <c r="G18" s="68">
        <v>1</v>
      </c>
      <c r="H18" s="68">
        <v>1</v>
      </c>
      <c r="I18" s="140" t="str">
        <f>+'01-FR-03 POA INSTITUCIONAL'!H93</f>
        <v>Sensibilización a Directivos y Referentes de Gestión sobre la Séptima Dimensión del MIPG realizada</v>
      </c>
      <c r="J18" s="218" t="s">
        <v>618</v>
      </c>
      <c r="K18" s="241" t="s">
        <v>622</v>
      </c>
      <c r="L18" s="221" t="s">
        <v>619</v>
      </c>
      <c r="M18" s="221" t="s">
        <v>614</v>
      </c>
      <c r="N18" s="221" t="s">
        <v>615</v>
      </c>
      <c r="O18" s="242" t="str">
        <f>+'[6]POA Anualizado (Pág 1 de 3)'!J15</f>
        <v>Oficina de Control Interno</v>
      </c>
      <c r="P18" s="243">
        <v>0</v>
      </c>
      <c r="Q18" s="243">
        <v>0</v>
      </c>
      <c r="R18" s="243">
        <v>0</v>
      </c>
      <c r="S18" s="243">
        <v>0</v>
      </c>
      <c r="T18" s="243">
        <v>0</v>
      </c>
      <c r="U18" s="243">
        <v>0</v>
      </c>
      <c r="V18" s="91">
        <f t="shared" si="2"/>
        <v>0</v>
      </c>
      <c r="W18" s="91">
        <f t="shared" si="2"/>
        <v>0</v>
      </c>
      <c r="X18" s="243">
        <v>0</v>
      </c>
      <c r="Y18" s="243">
        <v>0</v>
      </c>
      <c r="Z18" s="243">
        <v>0</v>
      </c>
      <c r="AA18" s="243">
        <v>0</v>
      </c>
      <c r="AB18" s="243">
        <v>0</v>
      </c>
      <c r="AC18" s="243">
        <v>0</v>
      </c>
      <c r="AD18" s="91">
        <f t="shared" si="3"/>
        <v>0</v>
      </c>
      <c r="AE18" s="91">
        <f t="shared" si="3"/>
        <v>0</v>
      </c>
      <c r="AF18" s="243">
        <v>0</v>
      </c>
      <c r="AG18" s="243">
        <v>0</v>
      </c>
      <c r="AH18" s="243">
        <v>0</v>
      </c>
      <c r="AI18" s="243">
        <v>0</v>
      </c>
      <c r="AJ18" s="243">
        <v>0</v>
      </c>
      <c r="AK18" s="244">
        <v>0</v>
      </c>
      <c r="AL18" s="91">
        <f t="shared" si="4"/>
        <v>0</v>
      </c>
      <c r="AM18" s="91">
        <f t="shared" si="4"/>
        <v>0</v>
      </c>
      <c r="AN18" s="243">
        <v>1</v>
      </c>
      <c r="AO18" s="243"/>
      <c r="AP18" s="243">
        <v>0</v>
      </c>
      <c r="AQ18" s="243"/>
      <c r="AR18" s="243">
        <v>0</v>
      </c>
      <c r="AS18" s="243"/>
      <c r="AT18" s="91">
        <f t="shared" si="5"/>
        <v>1</v>
      </c>
      <c r="AU18" s="91">
        <f t="shared" si="5"/>
        <v>0</v>
      </c>
      <c r="AV18" s="245">
        <f t="shared" si="6"/>
        <v>1</v>
      </c>
      <c r="AW18" s="81">
        <f t="shared" si="7"/>
        <v>0</v>
      </c>
      <c r="AX18" s="81">
        <f t="shared" si="8"/>
        <v>0</v>
      </c>
      <c r="AY18" s="81">
        <f t="shared" si="9"/>
        <v>0</v>
      </c>
      <c r="AZ18" s="386">
        <f t="shared" si="10"/>
        <v>0</v>
      </c>
      <c r="BA18" s="42">
        <f t="shared" ref="BA18" si="12">IF(AND(AW18&gt;0,AV18&gt;0),AW18/AV18,0)</f>
        <v>0</v>
      </c>
      <c r="BB18" s="42">
        <f t="shared" si="0"/>
        <v>0</v>
      </c>
      <c r="BC18" s="42">
        <f t="shared" si="0"/>
        <v>0</v>
      </c>
      <c r="BD18" s="42">
        <f t="shared" si="0"/>
        <v>0</v>
      </c>
      <c r="BE18" s="335">
        <f t="shared" si="11"/>
        <v>0</v>
      </c>
      <c r="BF18" s="335">
        <f t="shared" si="1"/>
        <v>0</v>
      </c>
      <c r="BG18" s="335">
        <f t="shared" si="1"/>
        <v>0</v>
      </c>
      <c r="BH18" s="396">
        <f t="shared" si="1"/>
        <v>0</v>
      </c>
    </row>
    <row r="19" spans="2:60" ht="22.8">
      <c r="B19" s="1491"/>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575"/>
      <c r="AX19" s="1539" t="s">
        <v>19</v>
      </c>
      <c r="AY19" s="1573"/>
      <c r="AZ19" s="1573"/>
      <c r="BA19" s="70">
        <f t="shared" ref="BA19:BD19" si="13">AVERAGE(BA16:BA18)</f>
        <v>0.17</v>
      </c>
      <c r="BB19" s="70">
        <f t="shared" si="13"/>
        <v>0.21</v>
      </c>
      <c r="BC19" s="70">
        <f t="shared" si="13"/>
        <v>0.29666666666666669</v>
      </c>
      <c r="BD19" s="70">
        <f t="shared" si="13"/>
        <v>0.29666666666666669</v>
      </c>
      <c r="BE19" s="1614"/>
      <c r="BF19" s="1615"/>
      <c r="BG19" s="1615"/>
      <c r="BH19" s="1616"/>
    </row>
    <row r="20" spans="2:60">
      <c r="B20" s="1512"/>
      <c r="C20" s="1512"/>
      <c r="D20" s="1512"/>
      <c r="E20" s="1512"/>
      <c r="F20" s="1512"/>
      <c r="G20" s="1512"/>
      <c r="H20" s="247"/>
      <c r="I20" s="248"/>
      <c r="J20" s="248"/>
      <c r="K20" s="248"/>
      <c r="L20" s="248"/>
      <c r="M20" s="248"/>
      <c r="N20" s="248"/>
      <c r="O20" s="248"/>
    </row>
    <row r="21" spans="2:60">
      <c r="B21" s="248"/>
      <c r="C21" s="248"/>
      <c r="D21" s="1524"/>
      <c r="E21" s="1524"/>
      <c r="F21" s="1524"/>
      <c r="G21" s="1524"/>
      <c r="H21" s="1524"/>
      <c r="I21" s="1524"/>
      <c r="J21" s="1524"/>
      <c r="K21" s="1524"/>
      <c r="L21" s="1524"/>
      <c r="M21" s="1524"/>
      <c r="N21" s="1524"/>
      <c r="O21" s="1524"/>
    </row>
    <row r="22" spans="2:60" ht="15.6" customHeight="1">
      <c r="B22" s="77" t="s">
        <v>26</v>
      </c>
      <c r="C22" s="249">
        <v>44224</v>
      </c>
      <c r="D22" s="250"/>
      <c r="E22" s="1514" t="s">
        <v>50</v>
      </c>
      <c r="F22" s="1638" t="s">
        <v>620</v>
      </c>
      <c r="G22" s="1639"/>
      <c r="H22" s="1639"/>
      <c r="I22" s="1639"/>
      <c r="J22" s="1640"/>
      <c r="K22" s="251"/>
      <c r="L22" s="1568"/>
      <c r="M22" s="1568"/>
      <c r="N22" s="1568"/>
      <c r="O22" s="1577"/>
    </row>
    <row r="23" spans="2:60" ht="15.6">
      <c r="B23" s="248"/>
      <c r="C23" s="248"/>
      <c r="D23" s="251"/>
      <c r="E23" s="1514"/>
      <c r="F23" s="1641"/>
      <c r="G23" s="1642"/>
      <c r="H23" s="1642"/>
      <c r="I23" s="1642"/>
      <c r="J23" s="1643"/>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1683" t="s">
        <v>983</v>
      </c>
      <c r="C26" s="1683"/>
      <c r="D26" s="1683"/>
      <c r="E26" s="1683"/>
      <c r="F26" s="1683"/>
      <c r="G26" s="1683"/>
      <c r="H26" s="247"/>
      <c r="I26" s="1576"/>
      <c r="J26" s="1576"/>
      <c r="K26" s="1576"/>
      <c r="L26" s="1576"/>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1576"/>
      <c r="J28" s="1576"/>
      <c r="K28" s="1576"/>
      <c r="L28" s="1576"/>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1576"/>
      <c r="J30" s="1576"/>
      <c r="K30" s="1576"/>
      <c r="L30" s="1576"/>
      <c r="M30" s="252"/>
      <c r="N30" s="252"/>
      <c r="O30" s="252"/>
    </row>
  </sheetData>
  <sheetProtection algorithmName="SHA-512" hashValue="stZivrVhzuno669kELt1+opCZrDx1R63FlWecSf1215AUhLbr3zV/lkl9x6ODpHTJ3ApJCzcHGLMX8IHcE2yZw==" saltValue="3ybUejHi1dcUHRu0ZRNg7A==" spinCount="100000" sheet="1" objects="1" scenarios="1"/>
  <mergeCells count="72">
    <mergeCell ref="BE19:BH19"/>
    <mergeCell ref="I28:L28"/>
    <mergeCell ref="I30:L30"/>
    <mergeCell ref="B20:G20"/>
    <mergeCell ref="AX19:AZ19"/>
    <mergeCell ref="D21:O21"/>
    <mergeCell ref="E22:E23"/>
    <mergeCell ref="L22:O22"/>
    <mergeCell ref="I26:L26"/>
    <mergeCell ref="B19:AW19"/>
    <mergeCell ref="F22:J23"/>
    <mergeCell ref="B26:G26"/>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dimension ref="B1:P68"/>
  <sheetViews>
    <sheetView showGridLines="0" topLeftCell="A43" workbookViewId="0">
      <selection activeCell="BF16" sqref="BF16"/>
    </sheetView>
  </sheetViews>
  <sheetFormatPr baseColWidth="10" defaultColWidth="11.44140625" defaultRowHeight="13.2"/>
  <cols>
    <col min="1" max="1" width="4.33203125" style="376" customWidth="1"/>
    <col min="2" max="2" width="42.88671875" style="376" customWidth="1"/>
    <col min="3" max="13" width="7.109375" style="376" customWidth="1"/>
    <col min="14" max="14" width="14.33203125" style="376" customWidth="1"/>
    <col min="15" max="15" width="14.44140625" style="376" customWidth="1"/>
    <col min="16" max="16" width="6.6640625" style="376" customWidth="1"/>
    <col min="17" max="17" width="9.5546875" style="376" customWidth="1"/>
    <col min="18" max="18" width="17.109375" style="376" customWidth="1"/>
    <col min="19" max="16384" width="11.44140625" style="376"/>
  </cols>
  <sheetData>
    <row r="1" spans="2:16" s="7" customFormat="1" ht="7.5" customHeight="1" thickBot="1">
      <c r="B1" s="374"/>
      <c r="C1" s="374"/>
      <c r="D1" s="374"/>
      <c r="E1" s="374"/>
      <c r="F1" s="374"/>
      <c r="G1" s="374"/>
      <c r="H1" s="374"/>
      <c r="I1" s="374"/>
      <c r="J1" s="374"/>
      <c r="K1" s="374"/>
      <c r="L1" s="374"/>
      <c r="M1" s="374"/>
      <c r="N1" s="374"/>
      <c r="O1" s="374"/>
      <c r="P1" s="374"/>
    </row>
    <row r="2" spans="2:16" s="7" customFormat="1" ht="15.6">
      <c r="B2" s="1696" t="s">
        <v>736</v>
      </c>
      <c r="C2" s="1699" t="s">
        <v>4</v>
      </c>
      <c r="D2" s="1700"/>
      <c r="E2" s="1700"/>
      <c r="F2" s="1700"/>
      <c r="G2" s="1700"/>
      <c r="H2" s="1700"/>
      <c r="I2" s="1700"/>
      <c r="J2" s="1700"/>
      <c r="K2" s="1700"/>
      <c r="L2" s="1700"/>
      <c r="M2" s="1700"/>
      <c r="N2" s="1705" t="s">
        <v>31</v>
      </c>
      <c r="O2" s="1706"/>
      <c r="P2" s="374"/>
    </row>
    <row r="3" spans="2:16" s="7" customFormat="1" ht="15.6">
      <c r="B3" s="1697"/>
      <c r="C3" s="1701"/>
      <c r="D3" s="1702"/>
      <c r="E3" s="1702"/>
      <c r="F3" s="1702"/>
      <c r="G3" s="1702"/>
      <c r="H3" s="1702"/>
      <c r="I3" s="1702"/>
      <c r="J3" s="1702"/>
      <c r="K3" s="1702"/>
      <c r="L3" s="1702"/>
      <c r="M3" s="1702"/>
      <c r="N3" s="8" t="s">
        <v>28</v>
      </c>
      <c r="O3" s="9" t="s">
        <v>29</v>
      </c>
      <c r="P3" s="374"/>
    </row>
    <row r="4" spans="2:16" s="7" customFormat="1" ht="15.75" customHeight="1">
      <c r="B4" s="1697"/>
      <c r="C4" s="1701"/>
      <c r="D4" s="1702"/>
      <c r="E4" s="1702"/>
      <c r="F4" s="1702"/>
      <c r="G4" s="1702"/>
      <c r="H4" s="1702"/>
      <c r="I4" s="1702"/>
      <c r="J4" s="1702"/>
      <c r="K4" s="1702"/>
      <c r="L4" s="1702"/>
      <c r="M4" s="1702"/>
      <c r="N4" s="10">
        <v>5</v>
      </c>
      <c r="O4" s="11" t="s">
        <v>737</v>
      </c>
      <c r="P4" s="374"/>
    </row>
    <row r="5" spans="2:16" s="7" customFormat="1" ht="15.6">
      <c r="B5" s="1697"/>
      <c r="C5" s="1701"/>
      <c r="D5" s="1702"/>
      <c r="E5" s="1702"/>
      <c r="F5" s="1702"/>
      <c r="G5" s="1702"/>
      <c r="H5" s="1702"/>
      <c r="I5" s="1702"/>
      <c r="J5" s="1702"/>
      <c r="K5" s="1702"/>
      <c r="L5" s="1702"/>
      <c r="M5" s="1702"/>
      <c r="N5" s="1707" t="s">
        <v>30</v>
      </c>
      <c r="O5" s="1708"/>
      <c r="P5" s="374"/>
    </row>
    <row r="6" spans="2:16" s="7" customFormat="1" ht="16.5" customHeight="1" thickBot="1">
      <c r="B6" s="1698"/>
      <c r="C6" s="1703"/>
      <c r="D6" s="1704"/>
      <c r="E6" s="1704"/>
      <c r="F6" s="1704"/>
      <c r="G6" s="1704"/>
      <c r="H6" s="1704"/>
      <c r="I6" s="1704"/>
      <c r="J6" s="1704"/>
      <c r="K6" s="1704"/>
      <c r="L6" s="1704"/>
      <c r="M6" s="1704"/>
      <c r="N6" s="1709">
        <v>44306</v>
      </c>
      <c r="O6" s="1710"/>
      <c r="P6" s="374"/>
    </row>
    <row r="7" spans="2:16" s="7" customFormat="1" ht="7.5" customHeight="1">
      <c r="B7" s="374"/>
      <c r="C7" s="374"/>
      <c r="D7" s="374"/>
      <c r="E7" s="374"/>
      <c r="F7" s="375">
        <f>D13</f>
        <v>0</v>
      </c>
      <c r="G7" s="374"/>
      <c r="H7" s="374"/>
      <c r="I7" s="374"/>
      <c r="J7" s="374"/>
      <c r="K7" s="374"/>
      <c r="L7" s="374"/>
      <c r="M7" s="374"/>
      <c r="N7" s="374"/>
      <c r="O7" s="374"/>
      <c r="P7" s="374"/>
    </row>
    <row r="8" spans="2:16" s="7" customFormat="1" ht="22.5" customHeight="1">
      <c r="B8" s="1711" t="s">
        <v>46</v>
      </c>
      <c r="C8" s="1711"/>
      <c r="D8" s="1711"/>
      <c r="E8" s="1711"/>
      <c r="F8" s="1711"/>
      <c r="G8" s="1711"/>
      <c r="H8" s="1711"/>
      <c r="I8" s="1711"/>
      <c r="J8" s="1711"/>
      <c r="K8" s="1711"/>
      <c r="L8" s="1711"/>
      <c r="M8" s="1711"/>
      <c r="N8" s="1711"/>
      <c r="O8" s="1711"/>
      <c r="P8" s="374"/>
    </row>
    <row r="9" spans="2:16" s="7" customFormat="1" ht="7.5" customHeight="1">
      <c r="B9" s="374"/>
      <c r="C9" s="374"/>
      <c r="D9" s="374"/>
      <c r="E9" s="374"/>
      <c r="F9" s="375"/>
      <c r="G9" s="374"/>
      <c r="H9" s="374"/>
      <c r="I9" s="374"/>
      <c r="J9" s="374"/>
      <c r="K9" s="374"/>
      <c r="L9" s="374"/>
      <c r="M9" s="374"/>
      <c r="N9" s="374"/>
      <c r="O9" s="374"/>
      <c r="P9" s="374"/>
    </row>
    <row r="10" spans="2:16" s="7" customFormat="1" ht="28.5" customHeight="1">
      <c r="B10" s="1695" t="s">
        <v>47</v>
      </c>
      <c r="C10" s="1695"/>
      <c r="D10" s="1695"/>
      <c r="E10" s="1695"/>
      <c r="F10" s="1695"/>
      <c r="G10" s="1695"/>
      <c r="H10" s="1695"/>
      <c r="I10" s="1695"/>
      <c r="J10" s="1695"/>
      <c r="K10" s="1695"/>
      <c r="L10" s="1695"/>
      <c r="M10" s="1695"/>
      <c r="N10" s="1695"/>
      <c r="O10" s="1695"/>
      <c r="P10" s="374"/>
    </row>
    <row r="11" spans="2:16" s="7" customFormat="1" ht="7.5" customHeight="1">
      <c r="B11" s="374"/>
      <c r="C11" s="374"/>
      <c r="D11" s="374"/>
      <c r="E11" s="374"/>
      <c r="F11" s="375"/>
      <c r="G11" s="374"/>
      <c r="H11" s="374"/>
      <c r="I11" s="374"/>
      <c r="J11" s="374"/>
      <c r="K11" s="374"/>
      <c r="L11" s="374"/>
      <c r="M11" s="374"/>
      <c r="N11" s="374"/>
      <c r="O11" s="374"/>
      <c r="P11" s="374"/>
    </row>
    <row r="12" spans="2:16" s="7" customFormat="1" ht="22.5" customHeight="1">
      <c r="B12" s="368" t="s">
        <v>32</v>
      </c>
      <c r="C12" s="1694" t="s">
        <v>33</v>
      </c>
      <c r="D12" s="1694"/>
      <c r="E12" s="1694"/>
      <c r="F12" s="1694"/>
      <c r="G12" s="1694"/>
      <c r="H12" s="1694"/>
      <c r="I12" s="1694"/>
      <c r="J12" s="1694"/>
      <c r="K12" s="1694"/>
      <c r="L12" s="1694"/>
      <c r="M12" s="1694"/>
      <c r="N12" s="1694"/>
      <c r="O12" s="1694"/>
      <c r="P12" s="374"/>
    </row>
    <row r="13" spans="2:16" s="7" customFormat="1" ht="45.75" customHeight="1">
      <c r="B13" s="22" t="s">
        <v>64</v>
      </c>
      <c r="C13" s="1692" t="s">
        <v>65</v>
      </c>
      <c r="D13" s="1692"/>
      <c r="E13" s="1692"/>
      <c r="F13" s="1692"/>
      <c r="G13" s="1692"/>
      <c r="H13" s="1692"/>
      <c r="I13" s="1692"/>
      <c r="J13" s="1692"/>
      <c r="K13" s="1692"/>
      <c r="L13" s="1692"/>
      <c r="M13" s="1692"/>
      <c r="N13" s="1692"/>
      <c r="O13" s="1692"/>
    </row>
    <row r="14" spans="2:16" s="7" customFormat="1" ht="45.75" customHeight="1">
      <c r="B14" s="22" t="s">
        <v>738</v>
      </c>
      <c r="C14" s="1692" t="s">
        <v>66</v>
      </c>
      <c r="D14" s="1692"/>
      <c r="E14" s="1692"/>
      <c r="F14" s="1692"/>
      <c r="G14" s="1692"/>
      <c r="H14" s="1692"/>
      <c r="I14" s="1692"/>
      <c r="J14" s="1692"/>
      <c r="K14" s="1692"/>
      <c r="L14" s="1692"/>
      <c r="M14" s="1692"/>
      <c r="N14" s="1692"/>
      <c r="O14" s="1692"/>
    </row>
    <row r="15" spans="2:16" s="7" customFormat="1" ht="76.5" customHeight="1">
      <c r="B15" s="22" t="s">
        <v>739</v>
      </c>
      <c r="C15" s="1692" t="s">
        <v>129</v>
      </c>
      <c r="D15" s="1692"/>
      <c r="E15" s="1692"/>
      <c r="F15" s="1692"/>
      <c r="G15" s="1692"/>
      <c r="H15" s="1692"/>
      <c r="I15" s="1692"/>
      <c r="J15" s="1692"/>
      <c r="K15" s="1692"/>
      <c r="L15" s="1692"/>
      <c r="M15" s="1692"/>
      <c r="N15" s="1692"/>
      <c r="O15" s="1692"/>
    </row>
    <row r="16" spans="2:16" s="7" customFormat="1" ht="45.75" customHeight="1">
      <c r="B16" s="22" t="s">
        <v>740</v>
      </c>
      <c r="C16" s="1692" t="s">
        <v>67</v>
      </c>
      <c r="D16" s="1692"/>
      <c r="E16" s="1692"/>
      <c r="F16" s="1692"/>
      <c r="G16" s="1692"/>
      <c r="H16" s="1692"/>
      <c r="I16" s="1692"/>
      <c r="J16" s="1692"/>
      <c r="K16" s="1692"/>
      <c r="L16" s="1692"/>
      <c r="M16" s="1692"/>
      <c r="N16" s="1692"/>
      <c r="O16" s="1692"/>
    </row>
    <row r="17" spans="2:16" s="7" customFormat="1" ht="61.5" customHeight="1">
      <c r="B17" s="22" t="s">
        <v>741</v>
      </c>
      <c r="C17" s="1692" t="s">
        <v>742</v>
      </c>
      <c r="D17" s="1692"/>
      <c r="E17" s="1692"/>
      <c r="F17" s="1692"/>
      <c r="G17" s="1692"/>
      <c r="H17" s="1692"/>
      <c r="I17" s="1692"/>
      <c r="J17" s="1692"/>
      <c r="K17" s="1692"/>
      <c r="L17" s="1692"/>
      <c r="M17" s="1692"/>
      <c r="N17" s="1692"/>
      <c r="O17" s="1692"/>
    </row>
    <row r="18" spans="2:16" s="7" customFormat="1" ht="45.75" customHeight="1">
      <c r="B18" s="22" t="s">
        <v>69</v>
      </c>
      <c r="C18" s="1692" t="s">
        <v>71</v>
      </c>
      <c r="D18" s="1692"/>
      <c r="E18" s="1692"/>
      <c r="F18" s="1692"/>
      <c r="G18" s="1692"/>
      <c r="H18" s="1692"/>
      <c r="I18" s="1692"/>
      <c r="J18" s="1692"/>
      <c r="K18" s="1692"/>
      <c r="L18" s="1692"/>
      <c r="M18" s="1692"/>
      <c r="N18" s="1692"/>
      <c r="O18" s="1692"/>
    </row>
    <row r="19" spans="2:16" s="7" customFormat="1" ht="45.75" customHeight="1">
      <c r="B19" s="22" t="s">
        <v>743</v>
      </c>
      <c r="C19" s="1692" t="s">
        <v>72</v>
      </c>
      <c r="D19" s="1692"/>
      <c r="E19" s="1692"/>
      <c r="F19" s="1692"/>
      <c r="G19" s="1692"/>
      <c r="H19" s="1692"/>
      <c r="I19" s="1692"/>
      <c r="J19" s="1692"/>
      <c r="K19" s="1692"/>
      <c r="L19" s="1692"/>
      <c r="M19" s="1692"/>
      <c r="N19" s="1692"/>
      <c r="O19" s="1692"/>
    </row>
    <row r="20" spans="2:16" s="7" customFormat="1" ht="45.75" customHeight="1">
      <c r="B20" s="22" t="s">
        <v>45</v>
      </c>
      <c r="C20" s="1692" t="s">
        <v>73</v>
      </c>
      <c r="D20" s="1692"/>
      <c r="E20" s="1692"/>
      <c r="F20" s="1692"/>
      <c r="G20" s="1692"/>
      <c r="H20" s="1692"/>
      <c r="I20" s="1692"/>
      <c r="J20" s="1692"/>
      <c r="K20" s="1692"/>
      <c r="L20" s="1692"/>
      <c r="M20" s="1692"/>
      <c r="N20" s="1692"/>
      <c r="O20" s="1692"/>
    </row>
    <row r="21" spans="2:16" s="7" customFormat="1" ht="45.75" customHeight="1">
      <c r="B21" s="22" t="s">
        <v>68</v>
      </c>
      <c r="C21" s="1692" t="s">
        <v>74</v>
      </c>
      <c r="D21" s="1692"/>
      <c r="E21" s="1692"/>
      <c r="F21" s="1692"/>
      <c r="G21" s="1692"/>
      <c r="H21" s="1692"/>
      <c r="I21" s="1692"/>
      <c r="J21" s="1692"/>
      <c r="K21" s="1692"/>
      <c r="L21" s="1692"/>
      <c r="M21" s="1692"/>
      <c r="N21" s="1692"/>
      <c r="O21" s="1692"/>
    </row>
    <row r="22" spans="2:16" s="7" customFormat="1" ht="78" customHeight="1">
      <c r="B22" s="16" t="s">
        <v>76</v>
      </c>
      <c r="C22" s="1692" t="s">
        <v>116</v>
      </c>
      <c r="D22" s="1692"/>
      <c r="E22" s="1692"/>
      <c r="F22" s="1692"/>
      <c r="G22" s="1692"/>
      <c r="H22" s="1692"/>
      <c r="I22" s="1692"/>
      <c r="J22" s="1692"/>
      <c r="K22" s="1692"/>
      <c r="L22" s="1692"/>
      <c r="M22" s="1692"/>
      <c r="N22" s="1692"/>
      <c r="O22" s="1692"/>
    </row>
    <row r="23" spans="2:16" s="7" customFormat="1" ht="45.75" customHeight="1">
      <c r="B23" s="16" t="s">
        <v>77</v>
      </c>
      <c r="C23" s="1693" t="s">
        <v>117</v>
      </c>
      <c r="D23" s="1693"/>
      <c r="E23" s="1693"/>
      <c r="F23" s="1693"/>
      <c r="G23" s="1693"/>
      <c r="H23" s="1693"/>
      <c r="I23" s="1693"/>
      <c r="J23" s="1693"/>
      <c r="K23" s="1693"/>
      <c r="L23" s="1693"/>
      <c r="M23" s="1693"/>
      <c r="N23" s="1693"/>
      <c r="O23" s="1693"/>
    </row>
    <row r="24" spans="2:16" s="7" customFormat="1" ht="45.75" customHeight="1">
      <c r="B24" s="16" t="s">
        <v>37</v>
      </c>
      <c r="C24" s="1692" t="s">
        <v>83</v>
      </c>
      <c r="D24" s="1692"/>
      <c r="E24" s="1692"/>
      <c r="F24" s="1692"/>
      <c r="G24" s="1692"/>
      <c r="H24" s="1692"/>
      <c r="I24" s="1692"/>
      <c r="J24" s="1692"/>
      <c r="K24" s="1692"/>
      <c r="L24" s="1692"/>
      <c r="M24" s="1692"/>
      <c r="N24" s="1692"/>
      <c r="O24" s="1692"/>
    </row>
    <row r="25" spans="2:16" s="7" customFormat="1" ht="45.75" customHeight="1">
      <c r="B25" s="16" t="s">
        <v>82</v>
      </c>
      <c r="C25" s="1692" t="s">
        <v>84</v>
      </c>
      <c r="D25" s="1692"/>
      <c r="E25" s="1692"/>
      <c r="F25" s="1692"/>
      <c r="G25" s="1692"/>
      <c r="H25" s="1692"/>
      <c r="I25" s="1692"/>
      <c r="J25" s="1692"/>
      <c r="K25" s="1692"/>
      <c r="L25" s="1692"/>
      <c r="M25" s="1692"/>
      <c r="N25" s="1692"/>
      <c r="O25" s="1692"/>
    </row>
    <row r="26" spans="2:16" s="7" customFormat="1">
      <c r="B26" s="374"/>
      <c r="C26" s="374"/>
      <c r="D26" s="374"/>
      <c r="E26" s="374"/>
      <c r="F26" s="375"/>
      <c r="G26" s="374"/>
      <c r="H26" s="374"/>
      <c r="I26" s="374"/>
      <c r="J26" s="374"/>
      <c r="K26" s="374"/>
      <c r="L26" s="374"/>
      <c r="M26" s="374"/>
      <c r="N26" s="374"/>
      <c r="O26" s="374"/>
      <c r="P26" s="374"/>
    </row>
    <row r="27" spans="2:16" s="7" customFormat="1" ht="32.25" customHeight="1">
      <c r="B27" s="1695" t="s">
        <v>63</v>
      </c>
      <c r="C27" s="1695"/>
      <c r="D27" s="1695"/>
      <c r="E27" s="1695"/>
      <c r="F27" s="1695"/>
      <c r="G27" s="1695"/>
      <c r="H27" s="1695"/>
      <c r="I27" s="1695"/>
      <c r="J27" s="1695"/>
      <c r="K27" s="1695"/>
      <c r="L27" s="1695"/>
      <c r="M27" s="1695"/>
      <c r="N27" s="1695"/>
      <c r="O27" s="1695"/>
      <c r="P27" s="374"/>
    </row>
    <row r="28" spans="2:16" s="7" customFormat="1" ht="7.5" customHeight="1">
      <c r="B28" s="374"/>
      <c r="C28" s="374"/>
      <c r="D28" s="374"/>
      <c r="E28" s="374"/>
      <c r="F28" s="375"/>
      <c r="G28" s="374"/>
      <c r="H28" s="374"/>
      <c r="I28" s="374"/>
      <c r="J28" s="374"/>
      <c r="K28" s="374"/>
      <c r="L28" s="374"/>
      <c r="M28" s="374"/>
      <c r="N28" s="374"/>
      <c r="O28" s="374"/>
      <c r="P28" s="374"/>
    </row>
    <row r="29" spans="2:16" s="7" customFormat="1" ht="22.5" customHeight="1">
      <c r="B29" s="368" t="s">
        <v>32</v>
      </c>
      <c r="C29" s="1694" t="s">
        <v>33</v>
      </c>
      <c r="D29" s="1694"/>
      <c r="E29" s="1694"/>
      <c r="F29" s="1694"/>
      <c r="G29" s="1694"/>
      <c r="H29" s="1694"/>
      <c r="I29" s="1694"/>
      <c r="J29" s="1694"/>
      <c r="K29" s="1694"/>
      <c r="L29" s="1694"/>
      <c r="M29" s="1694"/>
      <c r="N29" s="1694"/>
      <c r="O29" s="1694"/>
      <c r="P29" s="374"/>
    </row>
    <row r="30" spans="2:16" s="7" customFormat="1" ht="45.75" customHeight="1">
      <c r="B30" s="22" t="s">
        <v>45</v>
      </c>
      <c r="C30" s="1692" t="s">
        <v>100</v>
      </c>
      <c r="D30" s="1692"/>
      <c r="E30" s="1692"/>
      <c r="F30" s="1692"/>
      <c r="G30" s="1692"/>
      <c r="H30" s="1692"/>
      <c r="I30" s="1692"/>
      <c r="J30" s="1692"/>
      <c r="K30" s="1692"/>
      <c r="L30" s="1692"/>
      <c r="M30" s="1692"/>
      <c r="N30" s="1692"/>
      <c r="O30" s="1692"/>
    </row>
    <row r="31" spans="2:16" s="7" customFormat="1" ht="45.75" customHeight="1">
      <c r="B31" s="22" t="s">
        <v>34</v>
      </c>
      <c r="C31" s="1692" t="s">
        <v>85</v>
      </c>
      <c r="D31" s="1692"/>
      <c r="E31" s="1692"/>
      <c r="F31" s="1692"/>
      <c r="G31" s="1692"/>
      <c r="H31" s="1692"/>
      <c r="I31" s="1692"/>
      <c r="J31" s="1692"/>
      <c r="K31" s="1692"/>
      <c r="L31" s="1692"/>
      <c r="M31" s="1692"/>
      <c r="N31" s="1692"/>
      <c r="O31" s="1692"/>
    </row>
    <row r="32" spans="2:16" s="7" customFormat="1" ht="45.75" customHeight="1">
      <c r="B32" s="23" t="s">
        <v>101</v>
      </c>
      <c r="C32" s="1692" t="s">
        <v>102</v>
      </c>
      <c r="D32" s="1692"/>
      <c r="E32" s="1692"/>
      <c r="F32" s="1692"/>
      <c r="G32" s="1692"/>
      <c r="H32" s="1692"/>
      <c r="I32" s="1692"/>
      <c r="J32" s="1692"/>
      <c r="K32" s="1692"/>
      <c r="L32" s="1692"/>
      <c r="M32" s="1692"/>
      <c r="N32" s="1692"/>
      <c r="O32" s="1692"/>
    </row>
    <row r="33" spans="2:15" s="7" customFormat="1" ht="45.75" customHeight="1">
      <c r="B33" s="22" t="s">
        <v>741</v>
      </c>
      <c r="C33" s="1692" t="s">
        <v>744</v>
      </c>
      <c r="D33" s="1692"/>
      <c r="E33" s="1692"/>
      <c r="F33" s="1692"/>
      <c r="G33" s="1692"/>
      <c r="H33" s="1692"/>
      <c r="I33" s="1692"/>
      <c r="J33" s="1692"/>
      <c r="K33" s="1692"/>
      <c r="L33" s="1692"/>
      <c r="M33" s="1692"/>
      <c r="N33" s="1692"/>
      <c r="O33" s="1692"/>
    </row>
    <row r="34" spans="2:15" s="7" customFormat="1" ht="45.75" customHeight="1">
      <c r="B34" s="22" t="s">
        <v>745</v>
      </c>
      <c r="C34" s="1692" t="s">
        <v>746</v>
      </c>
      <c r="D34" s="1692"/>
      <c r="E34" s="1692"/>
      <c r="F34" s="1692"/>
      <c r="G34" s="1692"/>
      <c r="H34" s="1692"/>
      <c r="I34" s="1692"/>
      <c r="J34" s="1692"/>
      <c r="K34" s="1692"/>
      <c r="L34" s="1692"/>
      <c r="M34" s="1692"/>
      <c r="N34" s="1692"/>
      <c r="O34" s="1692"/>
    </row>
    <row r="35" spans="2:15" s="7" customFormat="1" ht="144" customHeight="1">
      <c r="B35" s="24" t="s">
        <v>747</v>
      </c>
      <c r="C35" s="1692" t="s">
        <v>103</v>
      </c>
      <c r="D35" s="1692"/>
      <c r="E35" s="1692"/>
      <c r="F35" s="1692"/>
      <c r="G35" s="1692"/>
      <c r="H35" s="1692"/>
      <c r="I35" s="1692"/>
      <c r="J35" s="1692"/>
      <c r="K35" s="1692"/>
      <c r="L35" s="1692"/>
      <c r="M35" s="1692"/>
      <c r="N35" s="1692"/>
      <c r="O35" s="1692"/>
    </row>
    <row r="36" spans="2:15" s="7" customFormat="1" ht="45.75" customHeight="1">
      <c r="B36" s="21" t="s">
        <v>104</v>
      </c>
      <c r="C36" s="1692" t="s">
        <v>105</v>
      </c>
      <c r="D36" s="1692"/>
      <c r="E36" s="1692"/>
      <c r="F36" s="1692"/>
      <c r="G36" s="1692"/>
      <c r="H36" s="1692"/>
      <c r="I36" s="1692"/>
      <c r="J36" s="1692"/>
      <c r="K36" s="1692"/>
      <c r="L36" s="1692"/>
      <c r="M36" s="1692"/>
      <c r="N36" s="1692"/>
      <c r="O36" s="1692"/>
    </row>
    <row r="37" spans="2:15" s="7" customFormat="1" ht="45.75" customHeight="1">
      <c r="B37" s="22" t="s">
        <v>36</v>
      </c>
      <c r="C37" s="1692" t="s">
        <v>106</v>
      </c>
      <c r="D37" s="1692"/>
      <c r="E37" s="1692"/>
      <c r="F37" s="1692"/>
      <c r="G37" s="1692"/>
      <c r="H37" s="1692"/>
      <c r="I37" s="1692"/>
      <c r="J37" s="1692"/>
      <c r="K37" s="1692"/>
      <c r="L37" s="1692"/>
      <c r="M37" s="1692"/>
      <c r="N37" s="1692"/>
      <c r="O37" s="1692"/>
    </row>
    <row r="38" spans="2:15" s="7" customFormat="1" ht="45.75" customHeight="1">
      <c r="B38" s="16" t="s">
        <v>35</v>
      </c>
      <c r="C38" s="1692" t="s">
        <v>107</v>
      </c>
      <c r="D38" s="1692"/>
      <c r="E38" s="1692"/>
      <c r="F38" s="1692"/>
      <c r="G38" s="1692"/>
      <c r="H38" s="1692"/>
      <c r="I38" s="1692"/>
      <c r="J38" s="1692"/>
      <c r="K38" s="1692"/>
      <c r="L38" s="1692"/>
      <c r="M38" s="1692"/>
      <c r="N38" s="1692"/>
      <c r="O38" s="1692"/>
    </row>
    <row r="39" spans="2:15" s="7" customFormat="1" ht="45.75" customHeight="1">
      <c r="B39" s="21" t="s">
        <v>111</v>
      </c>
      <c r="C39" s="1692" t="s">
        <v>108</v>
      </c>
      <c r="D39" s="1692"/>
      <c r="E39" s="1692"/>
      <c r="F39" s="1692"/>
      <c r="G39" s="1692"/>
      <c r="H39" s="1692"/>
      <c r="I39" s="1692"/>
      <c r="J39" s="1692"/>
      <c r="K39" s="1692"/>
      <c r="L39" s="1692"/>
      <c r="M39" s="1692"/>
      <c r="N39" s="1692"/>
      <c r="O39" s="1692"/>
    </row>
    <row r="40" spans="2:15" s="7" customFormat="1" ht="45.75" customHeight="1">
      <c r="B40" s="16" t="s">
        <v>110</v>
      </c>
      <c r="C40" s="1692" t="s">
        <v>109</v>
      </c>
      <c r="D40" s="1692"/>
      <c r="E40" s="1692"/>
      <c r="F40" s="1692"/>
      <c r="G40" s="1692"/>
      <c r="H40" s="1692"/>
      <c r="I40" s="1692"/>
      <c r="J40" s="1692"/>
      <c r="K40" s="1692"/>
      <c r="L40" s="1692"/>
      <c r="M40" s="1692"/>
      <c r="N40" s="1692"/>
      <c r="O40" s="1692"/>
    </row>
    <row r="41" spans="2:15" s="7" customFormat="1" ht="108.75" customHeight="1">
      <c r="B41" s="16" t="s">
        <v>113</v>
      </c>
      <c r="C41" s="1692" t="s">
        <v>114</v>
      </c>
      <c r="D41" s="1692"/>
      <c r="E41" s="1692"/>
      <c r="F41" s="1692"/>
      <c r="G41" s="1692"/>
      <c r="H41" s="1692"/>
      <c r="I41" s="1692"/>
      <c r="J41" s="1692"/>
      <c r="K41" s="1692"/>
      <c r="L41" s="1692"/>
      <c r="M41" s="1692"/>
      <c r="N41" s="1692"/>
      <c r="O41" s="1692"/>
    </row>
    <row r="42" spans="2:15" s="7" customFormat="1" ht="45.75" customHeight="1">
      <c r="B42" s="21" t="s">
        <v>115</v>
      </c>
      <c r="C42" s="1693" t="s">
        <v>125</v>
      </c>
      <c r="D42" s="1693"/>
      <c r="E42" s="1693"/>
      <c r="F42" s="1693"/>
      <c r="G42" s="1693"/>
      <c r="H42" s="1693"/>
      <c r="I42" s="1693"/>
      <c r="J42" s="1693"/>
      <c r="K42" s="1693"/>
      <c r="L42" s="1693"/>
      <c r="M42" s="1693"/>
      <c r="N42" s="1693"/>
      <c r="O42" s="1693"/>
    </row>
    <row r="43" spans="2:15" s="7" customFormat="1" ht="45.75" customHeight="1">
      <c r="B43" s="16" t="s">
        <v>748</v>
      </c>
      <c r="C43" s="1693" t="s">
        <v>126</v>
      </c>
      <c r="D43" s="1693"/>
      <c r="E43" s="1693"/>
      <c r="F43" s="1693"/>
      <c r="G43" s="1693"/>
      <c r="H43" s="1693"/>
      <c r="I43" s="1693"/>
      <c r="J43" s="1693"/>
      <c r="K43" s="1693"/>
      <c r="L43" s="1693"/>
      <c r="M43" s="1693"/>
      <c r="N43" s="1693"/>
      <c r="O43" s="1693"/>
    </row>
    <row r="44" spans="2:15" s="7" customFormat="1" ht="75" customHeight="1">
      <c r="B44" s="16" t="s">
        <v>734</v>
      </c>
      <c r="C44" s="1693" t="s">
        <v>749</v>
      </c>
      <c r="D44" s="1693"/>
      <c r="E44" s="1693"/>
      <c r="F44" s="1693"/>
      <c r="G44" s="1693"/>
      <c r="H44" s="1693"/>
      <c r="I44" s="1693"/>
      <c r="J44" s="1693"/>
      <c r="K44" s="1693"/>
      <c r="L44" s="1693"/>
      <c r="M44" s="1693"/>
      <c r="N44" s="1693"/>
      <c r="O44" s="1693"/>
    </row>
    <row r="45" spans="2:15" s="7" customFormat="1" ht="64.2" customHeight="1">
      <c r="B45" s="16" t="s">
        <v>750</v>
      </c>
      <c r="C45" s="1693" t="s">
        <v>751</v>
      </c>
      <c r="D45" s="1693"/>
      <c r="E45" s="1693"/>
      <c r="F45" s="1693"/>
      <c r="G45" s="1693"/>
      <c r="H45" s="1693"/>
      <c r="I45" s="1693"/>
      <c r="J45" s="1693"/>
      <c r="K45" s="1693"/>
      <c r="L45" s="1693"/>
      <c r="M45" s="1693"/>
      <c r="N45" s="1693"/>
      <c r="O45" s="1693"/>
    </row>
    <row r="46" spans="2:15" s="7" customFormat="1" ht="45.75" customHeight="1">
      <c r="B46" s="16" t="s">
        <v>37</v>
      </c>
      <c r="C46" s="1692" t="s">
        <v>127</v>
      </c>
      <c r="D46" s="1692"/>
      <c r="E46" s="1692"/>
      <c r="F46" s="1692"/>
      <c r="G46" s="1692"/>
      <c r="H46" s="1692"/>
      <c r="I46" s="1692"/>
      <c r="J46" s="1692"/>
      <c r="K46" s="1692"/>
      <c r="L46" s="1692"/>
      <c r="M46" s="1692"/>
      <c r="N46" s="1692"/>
      <c r="O46" s="1692"/>
    </row>
    <row r="47" spans="2:15" s="7" customFormat="1" ht="45.75" customHeight="1">
      <c r="B47" s="16" t="s">
        <v>82</v>
      </c>
      <c r="C47" s="1692" t="s">
        <v>128</v>
      </c>
      <c r="D47" s="1692"/>
      <c r="E47" s="1692"/>
      <c r="F47" s="1692"/>
      <c r="G47" s="1692"/>
      <c r="H47" s="1692"/>
      <c r="I47" s="1692"/>
      <c r="J47" s="1692"/>
      <c r="K47" s="1692"/>
      <c r="L47" s="1692"/>
      <c r="M47" s="1692"/>
      <c r="N47" s="1692"/>
      <c r="O47" s="1692"/>
    </row>
    <row r="48" spans="2:15" s="7" customFormat="1" ht="45" customHeight="1">
      <c r="B48" s="16" t="s">
        <v>50</v>
      </c>
      <c r="C48" s="1692" t="s">
        <v>38</v>
      </c>
      <c r="D48" s="1692"/>
      <c r="E48" s="1692"/>
      <c r="F48" s="1692"/>
      <c r="G48" s="1692"/>
      <c r="H48" s="1692"/>
      <c r="I48" s="1692"/>
      <c r="J48" s="1692"/>
      <c r="K48" s="1692"/>
      <c r="L48" s="1692"/>
      <c r="M48" s="1692"/>
      <c r="N48" s="1692"/>
      <c r="O48" s="1692"/>
    </row>
    <row r="50" spans="2:15" ht="34.200000000000003" customHeight="1">
      <c r="B50" s="1691" t="s">
        <v>983</v>
      </c>
      <c r="C50" s="1691"/>
      <c r="D50" s="1691"/>
      <c r="E50" s="1691"/>
      <c r="F50" s="1691"/>
      <c r="G50" s="1691"/>
      <c r="H50" s="1691"/>
      <c r="I50" s="1691"/>
      <c r="J50" s="1691"/>
      <c r="K50" s="1691"/>
      <c r="L50" s="1691"/>
      <c r="M50" s="1691"/>
      <c r="N50" s="1691"/>
      <c r="O50" s="1691"/>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mergeCells count="43">
    <mergeCell ref="B10:O10"/>
    <mergeCell ref="B2:B6"/>
    <mergeCell ref="C2:M6"/>
    <mergeCell ref="N2:O2"/>
    <mergeCell ref="N5:O5"/>
    <mergeCell ref="N6:O6"/>
    <mergeCell ref="B8:O8"/>
    <mergeCell ref="C22:O22"/>
    <mergeCell ref="C25:O25"/>
    <mergeCell ref="C29:O29"/>
    <mergeCell ref="C31:O31"/>
    <mergeCell ref="C32:O32"/>
    <mergeCell ref="C23:O23"/>
    <mergeCell ref="C24:O24"/>
    <mergeCell ref="C30:O30"/>
    <mergeCell ref="B27:O27"/>
    <mergeCell ref="C12:O12"/>
    <mergeCell ref="C13:O13"/>
    <mergeCell ref="C14:O14"/>
    <mergeCell ref="C15:O15"/>
    <mergeCell ref="C21:O21"/>
    <mergeCell ref="C16:O16"/>
    <mergeCell ref="C18:O18"/>
    <mergeCell ref="C17:O17"/>
    <mergeCell ref="C19:O19"/>
    <mergeCell ref="C20:O20"/>
    <mergeCell ref="C34:O34"/>
    <mergeCell ref="C33:O33"/>
    <mergeCell ref="C43:O43"/>
    <mergeCell ref="C44:O44"/>
    <mergeCell ref="C38:O38"/>
    <mergeCell ref="C39:O39"/>
    <mergeCell ref="C40:O40"/>
    <mergeCell ref="C41:O41"/>
    <mergeCell ref="C42:O42"/>
    <mergeCell ref="B50:O50"/>
    <mergeCell ref="C48:O48"/>
    <mergeCell ref="C35:O35"/>
    <mergeCell ref="C36:O36"/>
    <mergeCell ref="C37:O37"/>
    <mergeCell ref="C45:O45"/>
    <mergeCell ref="C46:O46"/>
    <mergeCell ref="C47:O47"/>
  </mergeCells>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4" t="s">
        <v>78</v>
      </c>
      <c r="E4" s="15" t="s">
        <v>59</v>
      </c>
    </row>
    <row r="5" spans="3:5" ht="22.8">
      <c r="C5" s="18" t="s">
        <v>99</v>
      </c>
      <c r="E5" s="18" t="s">
        <v>99</v>
      </c>
    </row>
    <row r="6" spans="3:5" ht="22.8">
      <c r="C6" s="18" t="s">
        <v>79</v>
      </c>
      <c r="E6" s="18">
        <v>2021</v>
      </c>
    </row>
    <row r="7" spans="3:5" ht="22.8">
      <c r="C7" s="18" t="s">
        <v>80</v>
      </c>
      <c r="E7" s="18">
        <v>2022</v>
      </c>
    </row>
    <row r="8" spans="3:5" ht="22.8">
      <c r="C8" s="18" t="s">
        <v>81</v>
      </c>
      <c r="E8" s="18">
        <v>2023</v>
      </c>
    </row>
    <row r="9" spans="3:5" ht="22.8">
      <c r="C9" s="18" t="s">
        <v>86</v>
      </c>
      <c r="E9" s="18">
        <v>2024</v>
      </c>
    </row>
    <row r="10" spans="3:5" ht="22.8">
      <c r="C10" s="18" t="s">
        <v>87</v>
      </c>
    </row>
    <row r="11" spans="3:5" ht="22.8">
      <c r="C11" s="18" t="s">
        <v>88</v>
      </c>
    </row>
    <row r="12" spans="3:5" ht="22.8">
      <c r="C12" s="18" t="s">
        <v>89</v>
      </c>
    </row>
    <row r="13" spans="3:5" ht="22.8">
      <c r="C13" s="18" t="s">
        <v>90</v>
      </c>
    </row>
    <row r="14" spans="3:5" ht="22.8">
      <c r="C14" s="18" t="s">
        <v>91</v>
      </c>
    </row>
    <row r="15" spans="3:5" ht="22.8">
      <c r="C15" s="18" t="s">
        <v>92</v>
      </c>
    </row>
    <row r="16" spans="3:5" ht="22.8">
      <c r="C16" s="18" t="s">
        <v>93</v>
      </c>
    </row>
    <row r="17" spans="3:3" ht="22.8">
      <c r="C17" s="18" t="s">
        <v>94</v>
      </c>
    </row>
    <row r="18" spans="3:3" ht="22.8">
      <c r="C18" s="18" t="s">
        <v>95</v>
      </c>
    </row>
    <row r="19" spans="3:3" ht="22.8">
      <c r="C19" s="18" t="s">
        <v>96</v>
      </c>
    </row>
    <row r="20" spans="3:3" ht="22.8">
      <c r="C20" s="18" t="s">
        <v>97</v>
      </c>
    </row>
    <row r="21" spans="3:3" ht="22.8">
      <c r="C21" s="18" t="s">
        <v>98</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01-PL-09 POA 2021 (Pág 1 de 2)</vt:lpstr>
      <vt:lpstr>01-PL-09 POA 2021 (Pág 2 de 2)</vt:lpstr>
      <vt:lpstr>Listas1</vt:lpstr>
      <vt:lpstr>Rango indicadores</vt:lpstr>
      <vt:lpstr>4-Grado Cum Objetivos Est &amp; Cal</vt:lpstr>
      <vt:lpstr>3-Grado Cump Metas Estratégicas</vt:lpstr>
      <vt:lpstr>2- Resumen Ejec PEI 2021</vt:lpstr>
      <vt:lpstr>1-Infor Det Sgto PEI 2021-2024 </vt:lpstr>
      <vt:lpstr>Matriz PEI 2021-2024</vt:lpstr>
      <vt:lpstr>4.Seguimiento Medición POA 2021</vt:lpstr>
      <vt:lpstr>3.Resum Desempeño Procesos POA </vt:lpstr>
      <vt:lpstr>2.Infor Detallado Desempeño POA</vt:lpstr>
      <vt:lpstr>1.Informe Seguimiento POA 2021</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2021-10-17T16:53:15Z</dcterms:modified>
</cp:coreProperties>
</file>