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D:\DireccionPlaneacionOMR\1-POA\POA2022\Seg_Trim_4_2022\PEI-SGTO\"/>
    </mc:Choice>
  </mc:AlternateContent>
  <xr:revisionPtr revIDLastSave="0" documentId="13_ncr:1_{8562F179-B30C-46ED-A1AD-688FF3896B98}" xr6:coauthVersionLast="41" xr6:coauthVersionMax="41" xr10:uidLastSave="{00000000-0000-0000-0000-000000000000}"/>
  <workbookProtection workbookAlgorithmName="SHA-512" workbookHashValue="gFDD7/jpPVlDdzd2ufkNnd7qgpfm0zLuzwkSHlxktpNEnf+8fimZYZFvkJuFHbT3Y/cQ7wxGBlPM4A5hL//rpQ==" workbookSaltValue="TkzjrNB6oOINwZFAw9qBnw==" workbookSpinCount="100000" lockStructure="1"/>
  <bookViews>
    <workbookView xWindow="-108" yWindow="-108" windowWidth="23256" windowHeight="12576" tabRatio="599" firstSheet="4" activeTab="4" xr2:uid="{00000000-000D-0000-FFFF-FFFF00000000}"/>
  </bookViews>
  <sheets>
    <sheet name="01-PL-09 POA 2021 (Pág 1 de 2)" sheetId="49" state="hidden" r:id="rId1"/>
    <sheet name="01-PL-09 POA 2021 (Pág 2 de 2)" sheetId="57" state="hidden" r:id="rId2"/>
    <sheet name="Rango indicadores" sheetId="59" state="hidden" r:id="rId3"/>
    <sheet name="Listas1" sheetId="61" state="hidden" r:id="rId4"/>
    <sheet name="4-Grado Cum Objetivos Est &amp; Cal" sheetId="70" r:id="rId5"/>
    <sheet name="3-Grado Cump Metas Estratégicas" sheetId="67" r:id="rId6"/>
    <sheet name="2- Resumen Ejec PEI 2022" sheetId="69" r:id="rId7"/>
    <sheet name="1-Infor Det Sgto PEI 2021-2024 " sheetId="64" r:id="rId8"/>
    <sheet name="Matriz PEI 2021-2024" sheetId="66" r:id="rId9"/>
    <sheet name="INSTRUCCIONES DILG (Pág 2 de 2)" sheetId="71" state="hidden" r:id="rId10"/>
    <sheet name="4.Segto Medición POA 2022 T2" sheetId="76" state="hidden" r:id="rId11"/>
    <sheet name="3.Resum Desemp Procesos POA T2" sheetId="72" state="hidden" r:id="rId12"/>
    <sheet name="4.Segto Medición POA 2022 T3" sheetId="77" state="hidden" r:id="rId13"/>
    <sheet name="4.Segto Medición POA 2022 T4" sheetId="63" state="hidden" r:id="rId14"/>
    <sheet name="3.Resum Desemp Procesos POA T4 " sheetId="74" state="hidden" r:id="rId15"/>
    <sheet name="3.Resum Desemp Procesos POA T3" sheetId="73" state="hidden" r:id="rId16"/>
    <sheet name="4.Segto Medición POA 2022 T1" sheetId="75" state="hidden" r:id="rId17"/>
    <sheet name="3.Resum Desemp Procesos POA T1" sheetId="62" state="hidden" r:id="rId18"/>
    <sheet name="LISTAS" sheetId="40" state="hidden" r:id="rId19"/>
    <sheet name="2.Infor Detallado Desempeño POA" sheetId="60" state="hidden" r:id="rId20"/>
    <sheet name="1.Informe Seguimiento POA 2022" sheetId="58" state="hidden" r:id="rId21"/>
    <sheet name="01-FR-03 POA INSTITUCIONAL" sheetId="38" state="hidden" r:id="rId22"/>
    <sheet name="01-DIRECCIONAMIENTO ESTRATÉGICO" sheetId="37" state="hidden" r:id="rId23"/>
    <sheet name="02-G. CONOCIMIENTO INNOVACIÓN" sheetId="45" state="hidden" r:id="rId24"/>
    <sheet name="03-DIRECCIONAMIENTO TIC" sheetId="44" state="hidden" r:id="rId25"/>
    <sheet name="04-COMUNICACIÓN ESTRATÉGICA" sheetId="56" state="hidden" r:id="rId26"/>
    <sheet name="05-POA PROM DEFENSA DERECHOS" sheetId="41" state="hidden" r:id="rId27"/>
    <sheet name="06-PREV CTRL FUN PÚBLICA" sheetId="42" state="hidden" r:id="rId28"/>
    <sheet name="07-POTESTAD DISCIPLINARIA" sheetId="43" state="hidden" r:id="rId29"/>
    <sheet name="08-G. DEL TALENTO HUMANO" sheetId="47" state="hidden" r:id="rId30"/>
    <sheet name="09-G.  ADMINISTRATIVA" sheetId="48" state="hidden" r:id="rId31"/>
    <sheet name="10-GESTIÓN FINANCIERA" sheetId="51" state="hidden" r:id="rId32"/>
    <sheet name="11-GESTIÓN CONTRACTUAL" sheetId="50" state="hidden" r:id="rId33"/>
    <sheet name="12-GESTIÓN DOCUMENTAL" sheetId="52" state="hidden" r:id="rId34"/>
    <sheet name="13-GESTIÓN JURÍDICA" sheetId="53" state="hidden" r:id="rId35"/>
    <sheet name="14-SERVICIO AL USUARIO" sheetId="46" state="hidden" r:id="rId36"/>
    <sheet name="15-CTRL DISCIPLINARIO INTERNO" sheetId="54" state="hidden" r:id="rId37"/>
    <sheet name="16-EVALUACIÓN Y SEGUIMIENTO" sheetId="55" state="hidden" r:id="rId38"/>
    <sheet name="Instrucciones Dil (Pág 3 de 3)" sheetId="39" state="hidden" r:id="rId39"/>
  </sheets>
  <externalReferences>
    <externalReference r:id="rId40"/>
    <externalReference r:id="rId41"/>
    <externalReference r:id="rId42"/>
    <externalReference r:id="rId43"/>
    <externalReference r:id="rId44"/>
    <externalReference r:id="rId45"/>
    <externalReference r:id="rId46"/>
  </externalReferences>
  <definedNames>
    <definedName name="_xlnm.Print_Area" localSheetId="0">'01-PL-09 POA 2021 (Pág 1 de 2)'!$A$1:$F$29</definedName>
    <definedName name="_xlnm.Print_Area" localSheetId="26">'05-POA PROM DEFENSA DERECHOS'!$A$1:$BH$47</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95" i="64" l="1"/>
  <c r="BK94" i="64"/>
  <c r="BK93" i="64"/>
  <c r="BK92" i="64"/>
  <c r="BJ95" i="64"/>
  <c r="BJ94" i="64"/>
  <c r="BJ93" i="64"/>
  <c r="BJ92" i="64"/>
  <c r="BK91" i="64"/>
  <c r="BJ91" i="64"/>
  <c r="BK90" i="64"/>
  <c r="BK89" i="64"/>
  <c r="BJ90" i="64"/>
  <c r="BJ89" i="64"/>
  <c r="BK88" i="64"/>
  <c r="BK87" i="64"/>
  <c r="BJ88" i="64"/>
  <c r="BJ87" i="64"/>
  <c r="BK86" i="64"/>
  <c r="BJ86" i="64"/>
  <c r="BK85" i="64"/>
  <c r="BJ85" i="64"/>
  <c r="BK84" i="64"/>
  <c r="BJ84" i="64"/>
  <c r="BK83" i="64"/>
  <c r="BJ83" i="64"/>
  <c r="BK81" i="64"/>
  <c r="BK82" i="64"/>
  <c r="BK80" i="64"/>
  <c r="BJ81" i="64"/>
  <c r="BJ82" i="64"/>
  <c r="BJ80" i="64"/>
  <c r="BK79" i="64"/>
  <c r="BJ79" i="64"/>
  <c r="BK77" i="64"/>
  <c r="BJ77" i="64"/>
  <c r="BK76" i="64"/>
  <c r="BJ76" i="64"/>
  <c r="BK75" i="64"/>
  <c r="BJ75" i="64"/>
  <c r="BK74" i="64"/>
  <c r="BJ74" i="64"/>
  <c r="BK73" i="64"/>
  <c r="BJ73" i="64"/>
  <c r="BK72" i="64"/>
  <c r="BJ72" i="64"/>
  <c r="BK71" i="64"/>
  <c r="BJ71" i="64"/>
  <c r="BJ70" i="64"/>
  <c r="BK70" i="64"/>
  <c r="BK69" i="64"/>
  <c r="BJ69" i="64"/>
  <c r="BK68" i="64"/>
  <c r="BJ68" i="64"/>
  <c r="BK67" i="64"/>
  <c r="BJ67" i="64"/>
  <c r="BK66" i="64"/>
  <c r="BJ66" i="64"/>
  <c r="BK65" i="64"/>
  <c r="BJ65" i="64"/>
  <c r="BK64" i="64"/>
  <c r="BJ64" i="64"/>
  <c r="BK63" i="64"/>
  <c r="BJ63" i="64"/>
  <c r="BK62" i="64"/>
  <c r="BJ62" i="64"/>
  <c r="BK61" i="64"/>
  <c r="BJ61" i="64"/>
  <c r="BK60" i="64"/>
  <c r="BJ60" i="64"/>
  <c r="BK59" i="64"/>
  <c r="BJ59" i="64"/>
  <c r="BK58" i="64"/>
  <c r="BJ58" i="64"/>
  <c r="BK57" i="64"/>
  <c r="BJ57" i="64"/>
  <c r="BK56" i="64"/>
  <c r="BJ56" i="64"/>
  <c r="BK55" i="64"/>
  <c r="BK54" i="64"/>
  <c r="BJ54" i="64"/>
  <c r="BK53" i="64"/>
  <c r="BJ53" i="64"/>
  <c r="BK52" i="64"/>
  <c r="BJ52" i="64"/>
  <c r="BK51" i="64"/>
  <c r="BJ51" i="64"/>
  <c r="BJ45" i="64"/>
  <c r="BK45" i="64"/>
  <c r="BJ46" i="64"/>
  <c r="BK46" i="64"/>
  <c r="BJ47" i="64"/>
  <c r="BK47" i="64"/>
  <c r="BJ48" i="64"/>
  <c r="BK48" i="64"/>
  <c r="BJ49" i="64"/>
  <c r="BK49" i="64"/>
  <c r="BJ50" i="64"/>
  <c r="BK50" i="64"/>
  <c r="BK44" i="64"/>
  <c r="BJ44" i="64"/>
  <c r="BK43" i="64"/>
  <c r="BJ43" i="64"/>
  <c r="BK42" i="64"/>
  <c r="BJ42" i="64"/>
  <c r="BK41" i="64"/>
  <c r="BJ41" i="64"/>
  <c r="BK40" i="64"/>
  <c r="BJ40" i="64"/>
  <c r="BK39" i="64"/>
  <c r="BL39" i="64" s="1"/>
  <c r="BJ39" i="64"/>
  <c r="BJ37" i="64"/>
  <c r="BK38" i="64"/>
  <c r="BJ38" i="64"/>
  <c r="BK37" i="64"/>
  <c r="BK36" i="64"/>
  <c r="BJ36" i="64"/>
  <c r="BJ35" i="64"/>
  <c r="BK35" i="64"/>
  <c r="BJ30" i="64"/>
  <c r="BK30" i="64"/>
  <c r="BJ31" i="64"/>
  <c r="BK31" i="64"/>
  <c r="BJ32" i="64"/>
  <c r="BK32" i="64"/>
  <c r="BJ33" i="64"/>
  <c r="BK33" i="64"/>
  <c r="BJ34" i="64"/>
  <c r="BK34" i="64"/>
  <c r="BK29" i="64"/>
  <c r="BJ29" i="64"/>
  <c r="BJ25" i="64"/>
  <c r="BK25" i="64"/>
  <c r="BJ26" i="64"/>
  <c r="BK26" i="64"/>
  <c r="BJ27" i="64"/>
  <c r="BK27" i="64"/>
  <c r="BJ28" i="64"/>
  <c r="BK28" i="64"/>
  <c r="BJ21" i="64"/>
  <c r="BK21" i="64"/>
  <c r="BJ22" i="64"/>
  <c r="BK22" i="64"/>
  <c r="BJ23" i="64"/>
  <c r="BK23" i="64"/>
  <c r="BJ24" i="64"/>
  <c r="BK24" i="64"/>
  <c r="BK20" i="64"/>
  <c r="BJ20" i="64"/>
  <c r="BK19" i="64"/>
  <c r="BJ19" i="64"/>
  <c r="BJ18" i="64"/>
  <c r="BK18" i="64"/>
  <c r="BJ14" i="64"/>
  <c r="BK14" i="64"/>
  <c r="BJ15" i="64"/>
  <c r="BK15" i="64"/>
  <c r="BJ16" i="64"/>
  <c r="BK16" i="64"/>
  <c r="BJ17" i="64"/>
  <c r="BK17" i="64"/>
  <c r="BJ10" i="64"/>
  <c r="BK10" i="64"/>
  <c r="BJ11" i="64"/>
  <c r="BK11" i="64"/>
  <c r="BJ12" i="64"/>
  <c r="BK12" i="64"/>
  <c r="BJ13" i="64"/>
  <c r="BK13" i="64"/>
  <c r="BK9" i="64"/>
  <c r="BJ9" i="64"/>
  <c r="F37" i="63" l="1"/>
  <c r="C37" i="74"/>
  <c r="B37" i="74"/>
  <c r="C5" i="74"/>
  <c r="AK145" i="60" l="1"/>
  <c r="AK144" i="60"/>
  <c r="AJ145" i="60"/>
  <c r="AJ144" i="60"/>
  <c r="AH147" i="60"/>
  <c r="AG147" i="60"/>
  <c r="AH146" i="60"/>
  <c r="AG146" i="60"/>
  <c r="AH145" i="60"/>
  <c r="AG145" i="60"/>
  <c r="AH144" i="60"/>
  <c r="AG144" i="60"/>
  <c r="AK137" i="60"/>
  <c r="AK138" i="60"/>
  <c r="AJ137" i="60"/>
  <c r="AJ138" i="60"/>
  <c r="AZ18" i="50"/>
  <c r="AU18" i="50"/>
  <c r="AT18" i="50"/>
  <c r="AJ136" i="60"/>
  <c r="AK136" i="60"/>
  <c r="AZ17" i="50"/>
  <c r="AY17" i="50"/>
  <c r="AX17" i="50"/>
  <c r="AH138" i="60" l="1"/>
  <c r="AG138" i="60"/>
  <c r="AH136" i="60"/>
  <c r="AG136" i="60"/>
  <c r="AH135" i="60"/>
  <c r="AG135" i="60"/>
  <c r="AZ17" i="51" l="1"/>
  <c r="AH129" i="60" l="1"/>
  <c r="AG129" i="60"/>
  <c r="AH128" i="60"/>
  <c r="AG128" i="60"/>
  <c r="AH127" i="60"/>
  <c r="AG127" i="60"/>
  <c r="AH121" i="60"/>
  <c r="AG121" i="60"/>
  <c r="AH120" i="60"/>
  <c r="AG120" i="60"/>
  <c r="AH114" i="60"/>
  <c r="AG114" i="60"/>
  <c r="AH113" i="60"/>
  <c r="AG113" i="60"/>
  <c r="AH112" i="60"/>
  <c r="AG112" i="60"/>
  <c r="AH111" i="60"/>
  <c r="AG111" i="60"/>
  <c r="AH110" i="60"/>
  <c r="AG110" i="60"/>
  <c r="AH109" i="60"/>
  <c r="AG109" i="60"/>
  <c r="AH108" i="60"/>
  <c r="AG108" i="60"/>
  <c r="AH107" i="60"/>
  <c r="AG107" i="60"/>
  <c r="AH101" i="60"/>
  <c r="AG101" i="60"/>
  <c r="AH100" i="60"/>
  <c r="AG100" i="60"/>
  <c r="AH99" i="60"/>
  <c r="AG99" i="60"/>
  <c r="AH98" i="60"/>
  <c r="AG98" i="60"/>
  <c r="AH97" i="60"/>
  <c r="AG97" i="60"/>
  <c r="AH96" i="60"/>
  <c r="AG96" i="60"/>
  <c r="AH95" i="60"/>
  <c r="AG95" i="60"/>
  <c r="AH94" i="60"/>
  <c r="AG94" i="60"/>
  <c r="AH88" i="60"/>
  <c r="AG88" i="60"/>
  <c r="AH87" i="60"/>
  <c r="AG87" i="60"/>
  <c r="AH86" i="60"/>
  <c r="AG86" i="60"/>
  <c r="AH85" i="60"/>
  <c r="AG85" i="60"/>
  <c r="AH84" i="60"/>
  <c r="AG84" i="60"/>
  <c r="AH83" i="60"/>
  <c r="AG83" i="60"/>
  <c r="AH82" i="60"/>
  <c r="AG82" i="60"/>
  <c r="AH76" i="60"/>
  <c r="AG76" i="60"/>
  <c r="AH75" i="60"/>
  <c r="AG75" i="60"/>
  <c r="AH74" i="60"/>
  <c r="AG74" i="60"/>
  <c r="AH73" i="60"/>
  <c r="AG73" i="60"/>
  <c r="AH72" i="60"/>
  <c r="AG72" i="60"/>
  <c r="AH71" i="60"/>
  <c r="AG71" i="60"/>
  <c r="AH70" i="60"/>
  <c r="AG70" i="60"/>
  <c r="AH69" i="60"/>
  <c r="AG69" i="60"/>
  <c r="AH68" i="60"/>
  <c r="AG68" i="60"/>
  <c r="AH67" i="60"/>
  <c r="AG67" i="60"/>
  <c r="AH66" i="60"/>
  <c r="AG66" i="60"/>
  <c r="AH65" i="60"/>
  <c r="AG65" i="60"/>
  <c r="AH64" i="60"/>
  <c r="AH63" i="60"/>
  <c r="AG63" i="60"/>
  <c r="AH62" i="60"/>
  <c r="AG62" i="60"/>
  <c r="AH61" i="60"/>
  <c r="AG61" i="60"/>
  <c r="AH60" i="60"/>
  <c r="AG60" i="60"/>
  <c r="AH59" i="60"/>
  <c r="AG59" i="60"/>
  <c r="AH58" i="60"/>
  <c r="AG58" i="60"/>
  <c r="AH57" i="60"/>
  <c r="AG57" i="60"/>
  <c r="AH51" i="60"/>
  <c r="AH50" i="60"/>
  <c r="AG51" i="60"/>
  <c r="AG50" i="60"/>
  <c r="AG49" i="60"/>
  <c r="AG36" i="60" l="1"/>
  <c r="AG35" i="60"/>
  <c r="AG34" i="60"/>
  <c r="AG33" i="60"/>
  <c r="AG32" i="60"/>
  <c r="AG31" i="60"/>
  <c r="AG30" i="60"/>
  <c r="AG24" i="60"/>
  <c r="AG23" i="60"/>
  <c r="AG22" i="60"/>
  <c r="AG21" i="60"/>
  <c r="AG15" i="60"/>
  <c r="AG14" i="60"/>
  <c r="AG13" i="60"/>
  <c r="AG12" i="60"/>
  <c r="AH36" i="60"/>
  <c r="AH35" i="60"/>
  <c r="AH34" i="60"/>
  <c r="AH33" i="60"/>
  <c r="AH32" i="60"/>
  <c r="AH31" i="60"/>
  <c r="AH30" i="60"/>
  <c r="AH15" i="60"/>
  <c r="AH14" i="60"/>
  <c r="AH13" i="60"/>
  <c r="AH12" i="60"/>
  <c r="AH22" i="60"/>
  <c r="AH23" i="60"/>
  <c r="AH24" i="60"/>
  <c r="AH21" i="60"/>
  <c r="AM170" i="60" l="1"/>
  <c r="AL170" i="60"/>
  <c r="AM162" i="60"/>
  <c r="AL162" i="60"/>
  <c r="AM152" i="60"/>
  <c r="AL152" i="60"/>
  <c r="AM143" i="60"/>
  <c r="AL143" i="60"/>
  <c r="AM134" i="60"/>
  <c r="AL134" i="60"/>
  <c r="AM126" i="60"/>
  <c r="AL126" i="60"/>
  <c r="AM119" i="60"/>
  <c r="AL119" i="60"/>
  <c r="AM93" i="60"/>
  <c r="AL93" i="60"/>
  <c r="AM81" i="60"/>
  <c r="AL81" i="60"/>
  <c r="AM56" i="60"/>
  <c r="AL56" i="60"/>
  <c r="AM48" i="60"/>
  <c r="AL48" i="60"/>
  <c r="AM41" i="60"/>
  <c r="AL41" i="60"/>
  <c r="AM29" i="60"/>
  <c r="AL29" i="60"/>
  <c r="AM20" i="60"/>
  <c r="AL20" i="60"/>
  <c r="AA19" i="58"/>
  <c r="Z94" i="58"/>
  <c r="Z93" i="58"/>
  <c r="Z86" i="58"/>
  <c r="Z83" i="58"/>
  <c r="Z82" i="58"/>
  <c r="Z81" i="58"/>
  <c r="Z80" i="58"/>
  <c r="Z79" i="58"/>
  <c r="Z76" i="58"/>
  <c r="Z75" i="58"/>
  <c r="Z70" i="58"/>
  <c r="Z69" i="58"/>
  <c r="Z63" i="58"/>
  <c r="Z62" i="58"/>
  <c r="Z61" i="58"/>
  <c r="Z43" i="58"/>
  <c r="Z41" i="58"/>
  <c r="Z19" i="58"/>
  <c r="Y94" i="58"/>
  <c r="Y93" i="58"/>
  <c r="Y86" i="58"/>
  <c r="Y85" i="58"/>
  <c r="Z85" i="58" s="1"/>
  <c r="Y84" i="58"/>
  <c r="Z84" i="58" s="1"/>
  <c r="Y83" i="58"/>
  <c r="Y82" i="58"/>
  <c r="Y81" i="58"/>
  <c r="Y80" i="58"/>
  <c r="Y79" i="58"/>
  <c r="Y76" i="58"/>
  <c r="Y75" i="58"/>
  <c r="Y70" i="58"/>
  <c r="Y69" i="58"/>
  <c r="Y61" i="58"/>
  <c r="Y63" i="58"/>
  <c r="Y62" i="58"/>
  <c r="X86" i="58"/>
  <c r="W27" i="58"/>
  <c r="W28" i="58"/>
  <c r="W29" i="58"/>
  <c r="W30" i="58"/>
  <c r="W31" i="58"/>
  <c r="W32" i="58"/>
  <c r="W24" i="58"/>
  <c r="W25" i="58"/>
  <c r="W26" i="58"/>
  <c r="W21" i="58"/>
  <c r="W22" i="58"/>
  <c r="W23" i="58"/>
  <c r="W20" i="58"/>
  <c r="W19" i="58"/>
  <c r="W14" i="58"/>
  <c r="W15" i="58"/>
  <c r="W16" i="58"/>
  <c r="W17" i="58"/>
  <c r="W18" i="58"/>
  <c r="W13" i="58"/>
  <c r="AZ16" i="52" l="1"/>
  <c r="AY16" i="52"/>
  <c r="AX16" i="52"/>
  <c r="AW16" i="52"/>
  <c r="AX19" i="50" l="1"/>
  <c r="AZ19" i="50"/>
  <c r="AY19" i="50"/>
  <c r="AY18" i="50" l="1"/>
  <c r="AZ19" i="43" l="1"/>
  <c r="AS22" i="47" l="1"/>
  <c r="AW19" i="43" l="1"/>
  <c r="AX19" i="43"/>
  <c r="AY19" i="43"/>
  <c r="AO57" i="60" l="1"/>
  <c r="AP57" i="60"/>
  <c r="AQ57" i="60"/>
  <c r="AR57" i="60"/>
  <c r="AS57" i="60"/>
  <c r="AT57" i="60"/>
  <c r="AU57" i="60"/>
  <c r="AV57" i="60"/>
  <c r="AY57" i="60"/>
  <c r="AO58" i="60"/>
  <c r="AP58" i="60"/>
  <c r="AQ58" i="60"/>
  <c r="AR58" i="60"/>
  <c r="AS58" i="60"/>
  <c r="AT58" i="60"/>
  <c r="AU58" i="60"/>
  <c r="AV58" i="60"/>
  <c r="AY58" i="60"/>
  <c r="AO59" i="60"/>
  <c r="AP59" i="60"/>
  <c r="AQ59" i="60"/>
  <c r="AR59" i="60"/>
  <c r="AS59" i="60"/>
  <c r="AT59" i="60"/>
  <c r="AU59" i="60"/>
  <c r="AV59" i="60"/>
  <c r="AY59" i="60"/>
  <c r="AZ59" i="60"/>
  <c r="AD12" i="60" l="1"/>
  <c r="AH173" i="60"/>
  <c r="AH172" i="60"/>
  <c r="AH171" i="60"/>
  <c r="AG173" i="60"/>
  <c r="AG172" i="60"/>
  <c r="AG171" i="60"/>
  <c r="AH165" i="60"/>
  <c r="AH164" i="60"/>
  <c r="AH163" i="60"/>
  <c r="AG165" i="60"/>
  <c r="AG164" i="60"/>
  <c r="AG163" i="60"/>
  <c r="AH157" i="60"/>
  <c r="AH156" i="60"/>
  <c r="AH155" i="60"/>
  <c r="AH154" i="60"/>
  <c r="AH153" i="60"/>
  <c r="AG157" i="60"/>
  <c r="AG156" i="60"/>
  <c r="AG155" i="60"/>
  <c r="AG154" i="60"/>
  <c r="AG153" i="60"/>
  <c r="AM67" i="60"/>
  <c r="AL75" i="60"/>
  <c r="AL67" i="60"/>
  <c r="B12" i="60" l="1"/>
  <c r="W97" i="58"/>
  <c r="W98" i="58"/>
  <c r="W99" i="58"/>
  <c r="W96" i="58"/>
  <c r="W95" i="58"/>
  <c r="W94" i="58"/>
  <c r="W93" i="58"/>
  <c r="W91" i="58"/>
  <c r="W92" i="58"/>
  <c r="W90" i="58"/>
  <c r="W88" i="58"/>
  <c r="W89" i="58"/>
  <c r="W87" i="58"/>
  <c r="W85" i="58"/>
  <c r="W86" i="58"/>
  <c r="W84" i="58"/>
  <c r="W80" i="58"/>
  <c r="W81" i="58"/>
  <c r="W82" i="58"/>
  <c r="W83" i="58"/>
  <c r="W79" i="58"/>
  <c r="W78" i="58"/>
  <c r="W77" i="58"/>
  <c r="W76" i="58"/>
  <c r="W75" i="58"/>
  <c r="W74" i="58"/>
  <c r="W73" i="58"/>
  <c r="W72" i="58"/>
  <c r="W71" i="58"/>
  <c r="W70" i="58"/>
  <c r="W69" i="58"/>
  <c r="W68" i="58"/>
  <c r="W67" i="58"/>
  <c r="W65" i="58"/>
  <c r="W66" i="58"/>
  <c r="W64" i="58"/>
  <c r="W63" i="58"/>
  <c r="W62" i="58"/>
  <c r="W61" i="58"/>
  <c r="W60" i="58"/>
  <c r="W58" i="58"/>
  <c r="W56" i="58"/>
  <c r="W57" i="58"/>
  <c r="W55" i="58"/>
  <c r="W54" i="58"/>
  <c r="W53" i="58"/>
  <c r="W52" i="58"/>
  <c r="W51" i="58"/>
  <c r="W50" i="58"/>
  <c r="W49" i="58"/>
  <c r="W48" i="58"/>
  <c r="W43" i="58"/>
  <c r="W41" i="58"/>
  <c r="W47" i="58"/>
  <c r="W46" i="58"/>
  <c r="W45" i="58"/>
  <c r="W44" i="58"/>
  <c r="W42" i="58"/>
  <c r="W40" i="58"/>
  <c r="W34" i="58"/>
  <c r="W35" i="58"/>
  <c r="W36" i="58"/>
  <c r="W37" i="58"/>
  <c r="W38" i="58"/>
  <c r="W39" i="58"/>
  <c r="W33" i="58"/>
  <c r="U13" i="58"/>
  <c r="U14" i="58"/>
  <c r="U15" i="58"/>
  <c r="U16" i="58"/>
  <c r="U17" i="58"/>
  <c r="U18" i="58"/>
  <c r="U19" i="58"/>
  <c r="U20" i="58"/>
  <c r="U21" i="58"/>
  <c r="U22" i="58"/>
  <c r="U23" i="58"/>
  <c r="U24" i="58"/>
  <c r="U25" i="58"/>
  <c r="U26" i="58"/>
  <c r="U27" i="58"/>
  <c r="U28" i="58"/>
  <c r="U29" i="58"/>
  <c r="U30" i="58"/>
  <c r="U31" i="58"/>
  <c r="U32" i="58"/>
  <c r="G126" i="59" l="1"/>
  <c r="G125" i="59"/>
  <c r="G124" i="59"/>
  <c r="G123" i="59"/>
  <c r="G122" i="59"/>
  <c r="G121" i="59"/>
  <c r="G120" i="59"/>
  <c r="G119" i="59"/>
  <c r="G118" i="59"/>
  <c r="G117" i="59"/>
  <c r="G116" i="59"/>
  <c r="G115" i="59"/>
  <c r="G114" i="59"/>
  <c r="G113" i="59"/>
  <c r="G112" i="59"/>
  <c r="G111" i="59"/>
  <c r="F126" i="59"/>
  <c r="F125" i="59"/>
  <c r="F124" i="59"/>
  <c r="F123" i="59"/>
  <c r="F122" i="59"/>
  <c r="F121" i="59"/>
  <c r="F120" i="59"/>
  <c r="F119" i="59"/>
  <c r="F118" i="59"/>
  <c r="F117" i="59"/>
  <c r="F116" i="59"/>
  <c r="F115" i="59"/>
  <c r="F114" i="59"/>
  <c r="F113" i="59"/>
  <c r="F112" i="59"/>
  <c r="F111" i="59"/>
  <c r="E123" i="59"/>
  <c r="D77" i="77" s="1"/>
  <c r="E122" i="59"/>
  <c r="D76" i="77" s="1"/>
  <c r="E121" i="59"/>
  <c r="D75" i="77" s="1"/>
  <c r="E118" i="59"/>
  <c r="D72" i="77" s="1"/>
  <c r="E115" i="59"/>
  <c r="D69" i="77" s="1"/>
  <c r="D71" i="77"/>
  <c r="D73" i="77"/>
  <c r="D74" i="77"/>
  <c r="D78" i="77"/>
  <c r="D79" i="77"/>
  <c r="D70" i="77"/>
  <c r="D68" i="77"/>
  <c r="AQ22" i="60" l="1"/>
  <c r="AR22" i="60"/>
  <c r="AS22" i="60"/>
  <c r="AT22" i="60"/>
  <c r="AU22" i="60"/>
  <c r="AV22" i="60"/>
  <c r="AP22" i="60"/>
  <c r="AO22" i="60"/>
  <c r="C37" i="72" l="1"/>
  <c r="AE18" i="50" l="1"/>
  <c r="AE17" i="50"/>
  <c r="AD18" i="50" l="1"/>
  <c r="AD19" i="50"/>
  <c r="AD17" i="50"/>
  <c r="C4" i="69" l="1"/>
  <c r="C5" i="70" s="1"/>
  <c r="AE17" i="43"/>
  <c r="R41" i="58" s="1"/>
  <c r="Q95" i="60" s="1"/>
  <c r="AE19" i="43"/>
  <c r="R43" i="58" s="1"/>
  <c r="AE18" i="43"/>
  <c r="AE20" i="43"/>
  <c r="R44" i="58" s="1"/>
  <c r="AE21" i="43"/>
  <c r="R45" i="58" s="1"/>
  <c r="AE22" i="43"/>
  <c r="R46" i="58" s="1"/>
  <c r="AE23" i="43"/>
  <c r="AE16" i="43"/>
  <c r="R40" i="58" s="1"/>
  <c r="I18" i="66"/>
  <c r="J18" i="66"/>
  <c r="K18" i="66"/>
  <c r="E18" i="66" s="1"/>
  <c r="H18" i="66"/>
  <c r="I17" i="66"/>
  <c r="J17" i="66"/>
  <c r="K17" i="66"/>
  <c r="H17" i="66"/>
  <c r="E17" i="66"/>
  <c r="D38" i="64" s="1"/>
  <c r="I16" i="66"/>
  <c r="J16" i="66"/>
  <c r="K16" i="66"/>
  <c r="H16" i="66"/>
  <c r="I13" i="66"/>
  <c r="J13" i="66"/>
  <c r="K13" i="66"/>
  <c r="I14" i="66"/>
  <c r="J14" i="66"/>
  <c r="K14" i="66"/>
  <c r="I15" i="66"/>
  <c r="J15" i="66"/>
  <c r="K15" i="66"/>
  <c r="H15" i="66"/>
  <c r="H14" i="66"/>
  <c r="H13" i="66"/>
  <c r="I12" i="66"/>
  <c r="J12" i="66"/>
  <c r="K12" i="66"/>
  <c r="H12" i="66"/>
  <c r="I11" i="66"/>
  <c r="J11" i="66"/>
  <c r="K11" i="66"/>
  <c r="H11" i="66"/>
  <c r="I10" i="66"/>
  <c r="J10" i="66"/>
  <c r="K10" i="66"/>
  <c r="H10" i="66"/>
  <c r="V19" i="50"/>
  <c r="C5" i="77"/>
  <c r="E36" i="77"/>
  <c r="C37" i="73"/>
  <c r="D59" i="77"/>
  <c r="D58" i="77"/>
  <c r="D57" i="77"/>
  <c r="D56" i="77"/>
  <c r="D34" i="77"/>
  <c r="D30" i="77"/>
  <c r="D29" i="77"/>
  <c r="D28" i="77"/>
  <c r="D27" i="77"/>
  <c r="C3" i="77"/>
  <c r="C5" i="76"/>
  <c r="D59" i="76"/>
  <c r="D58" i="76"/>
  <c r="D57" i="76"/>
  <c r="D56" i="76"/>
  <c r="D34" i="76"/>
  <c r="D30" i="76"/>
  <c r="D29" i="76"/>
  <c r="D28" i="76"/>
  <c r="D27" i="76"/>
  <c r="E36" i="76"/>
  <c r="C3" i="76"/>
  <c r="D59" i="75"/>
  <c r="D58" i="75"/>
  <c r="D57" i="75"/>
  <c r="D56" i="75"/>
  <c r="D34" i="75"/>
  <c r="D30" i="75"/>
  <c r="D29" i="75"/>
  <c r="D28" i="75"/>
  <c r="D27" i="75"/>
  <c r="C3" i="75"/>
  <c r="C5" i="63"/>
  <c r="E8" i="63" s="1"/>
  <c r="C3" i="63"/>
  <c r="F39" i="74"/>
  <c r="F39" i="73"/>
  <c r="B5" i="74"/>
  <c r="B5" i="73"/>
  <c r="B37" i="73"/>
  <c r="F39" i="72"/>
  <c r="B5" i="72"/>
  <c r="B37" i="72" s="1"/>
  <c r="F39" i="62"/>
  <c r="AV156" i="60"/>
  <c r="AP156" i="60"/>
  <c r="AO156" i="60"/>
  <c r="C156" i="60"/>
  <c r="AD81" i="60"/>
  <c r="U81" i="60"/>
  <c r="L81" i="60"/>
  <c r="AL17" i="45"/>
  <c r="AM17" i="45"/>
  <c r="T97" i="58" s="1"/>
  <c r="AD17" i="45"/>
  <c r="AE17" i="45"/>
  <c r="V17" i="45"/>
  <c r="W17" i="45"/>
  <c r="W20" i="53"/>
  <c r="W19" i="53"/>
  <c r="W18" i="50"/>
  <c r="W17" i="50"/>
  <c r="P84" i="58" s="1"/>
  <c r="V17" i="50"/>
  <c r="V18" i="50"/>
  <c r="W19" i="50"/>
  <c r="AE19" i="50"/>
  <c r="R86" i="58" s="1"/>
  <c r="Q22" i="47"/>
  <c r="W22" i="47" s="1"/>
  <c r="S20" i="47"/>
  <c r="Q20" i="47"/>
  <c r="W20" i="47" s="1"/>
  <c r="C5" i="62"/>
  <c r="C5" i="75" s="1"/>
  <c r="E36" i="75" s="1"/>
  <c r="C22" i="60"/>
  <c r="AD41" i="60"/>
  <c r="X41" i="60"/>
  <c r="AC41" i="60" s="1"/>
  <c r="U41" i="60"/>
  <c r="O41" i="60"/>
  <c r="T41" i="60" s="1"/>
  <c r="L41" i="60"/>
  <c r="K41" i="60"/>
  <c r="F41" i="60"/>
  <c r="AD170" i="60"/>
  <c r="X170" i="60"/>
  <c r="AC170" i="60" s="1"/>
  <c r="U170" i="60"/>
  <c r="O170" i="60"/>
  <c r="T170" i="60"/>
  <c r="AD162" i="60"/>
  <c r="X162" i="60"/>
  <c r="AC162" i="60" s="1"/>
  <c r="U162" i="60"/>
  <c r="O162" i="60"/>
  <c r="T162" i="60" s="1"/>
  <c r="AD152" i="60"/>
  <c r="X152" i="60"/>
  <c r="AC152" i="60" s="1"/>
  <c r="U152" i="60"/>
  <c r="O152" i="60"/>
  <c r="T152" i="60" s="1"/>
  <c r="AD143" i="60"/>
  <c r="X143" i="60"/>
  <c r="AC143" i="60" s="1"/>
  <c r="U143" i="60"/>
  <c r="O143" i="60"/>
  <c r="T143" i="60" s="1"/>
  <c r="AD134" i="60"/>
  <c r="X134" i="60"/>
  <c r="AC134" i="60" s="1"/>
  <c r="U134" i="60"/>
  <c r="O134" i="60"/>
  <c r="T134" i="60"/>
  <c r="AD126" i="60"/>
  <c r="X126" i="60"/>
  <c r="AC126" i="60" s="1"/>
  <c r="U126" i="60"/>
  <c r="O126" i="60"/>
  <c r="T126" i="60"/>
  <c r="AD119" i="60"/>
  <c r="X119" i="60"/>
  <c r="AC119" i="60" s="1"/>
  <c r="U119" i="60"/>
  <c r="O119" i="60"/>
  <c r="T119" i="60" s="1"/>
  <c r="AM106" i="60"/>
  <c r="AL106" i="60"/>
  <c r="AD106" i="60"/>
  <c r="X106" i="60"/>
  <c r="AC106" i="60" s="1"/>
  <c r="U106" i="60"/>
  <c r="O106" i="60"/>
  <c r="T106" i="60" s="1"/>
  <c r="AD93" i="60"/>
  <c r="X93" i="60"/>
  <c r="AC93" i="60" s="1"/>
  <c r="U93" i="60"/>
  <c r="O93" i="60"/>
  <c r="T93" i="60" s="1"/>
  <c r="X81" i="60"/>
  <c r="AC81" i="60" s="1"/>
  <c r="O81" i="60"/>
  <c r="T81" i="60" s="1"/>
  <c r="AD56" i="60"/>
  <c r="X56" i="60"/>
  <c r="AC56" i="60"/>
  <c r="U56" i="60"/>
  <c r="O56" i="60"/>
  <c r="T56" i="60"/>
  <c r="AD48" i="60"/>
  <c r="X48" i="60"/>
  <c r="AC48" i="60"/>
  <c r="U48" i="60"/>
  <c r="O48" i="60"/>
  <c r="T48" i="60"/>
  <c r="AD29" i="60"/>
  <c r="X29" i="60"/>
  <c r="AC29" i="60" s="1"/>
  <c r="U29" i="60"/>
  <c r="O29" i="60"/>
  <c r="T29" i="60" s="1"/>
  <c r="AD20" i="60"/>
  <c r="X20" i="60"/>
  <c r="AC20" i="60"/>
  <c r="U20" i="60"/>
  <c r="O20" i="60"/>
  <c r="T20" i="60" s="1"/>
  <c r="L170" i="60"/>
  <c r="K170" i="60"/>
  <c r="F170" i="60"/>
  <c r="L162" i="60"/>
  <c r="K162" i="60"/>
  <c r="F162" i="60"/>
  <c r="L152" i="60"/>
  <c r="K152" i="60"/>
  <c r="F152" i="60"/>
  <c r="L143" i="60"/>
  <c r="K143" i="60"/>
  <c r="F143" i="60"/>
  <c r="L134" i="60"/>
  <c r="K134" i="60"/>
  <c r="F134" i="60"/>
  <c r="L126" i="60"/>
  <c r="K126" i="60"/>
  <c r="F126" i="60"/>
  <c r="L119" i="60"/>
  <c r="K119" i="60"/>
  <c r="F119" i="60"/>
  <c r="L106" i="60"/>
  <c r="K106" i="60"/>
  <c r="F106" i="60"/>
  <c r="L93" i="60"/>
  <c r="K93" i="60"/>
  <c r="F93" i="60"/>
  <c r="K81" i="60"/>
  <c r="F81" i="60"/>
  <c r="L56" i="60"/>
  <c r="K56" i="60"/>
  <c r="F56" i="60"/>
  <c r="L48" i="60"/>
  <c r="K48" i="60"/>
  <c r="F48" i="60"/>
  <c r="L29" i="60"/>
  <c r="K29" i="60"/>
  <c r="F29" i="60"/>
  <c r="L20" i="60"/>
  <c r="K20" i="60"/>
  <c r="F20" i="60"/>
  <c r="N10" i="59"/>
  <c r="M10" i="59"/>
  <c r="L10" i="59"/>
  <c r="K10" i="59"/>
  <c r="J10" i="59"/>
  <c r="AM11" i="60"/>
  <c r="E39" i="74" s="1"/>
  <c r="AL11" i="60"/>
  <c r="D39" i="74" s="1"/>
  <c r="D29" i="74" s="1"/>
  <c r="AD11" i="60"/>
  <c r="E39" i="73"/>
  <c r="X11" i="60"/>
  <c r="AC11" i="60" s="1"/>
  <c r="D39" i="73" s="1"/>
  <c r="D29" i="73" s="1"/>
  <c r="L11" i="60"/>
  <c r="E39" i="62" s="1"/>
  <c r="U11" i="60"/>
  <c r="E39" i="72" s="1"/>
  <c r="O11" i="60"/>
  <c r="T11" i="60" s="1"/>
  <c r="D39" i="72" s="1"/>
  <c r="D29" i="72" s="1"/>
  <c r="F11" i="60"/>
  <c r="K11" i="60"/>
  <c r="D39" i="62" s="1"/>
  <c r="D29" i="62" s="1"/>
  <c r="F10" i="59"/>
  <c r="O10" i="58"/>
  <c r="O97" i="58"/>
  <c r="AB93" i="64" s="1"/>
  <c r="P97" i="58"/>
  <c r="AC93" i="64" s="1"/>
  <c r="Q97" i="58"/>
  <c r="AD93" i="64" s="1"/>
  <c r="S97" i="58"/>
  <c r="K97" i="58"/>
  <c r="M93" i="64" s="1"/>
  <c r="L97" i="58"/>
  <c r="N93" i="64" s="1"/>
  <c r="M97" i="58"/>
  <c r="O93" i="64" s="1"/>
  <c r="AV93" i="64" s="1"/>
  <c r="N97" i="58"/>
  <c r="P93" i="64" s="1"/>
  <c r="BG93" i="64" s="1"/>
  <c r="H97" i="58"/>
  <c r="I97" i="58"/>
  <c r="K93" i="64" s="1"/>
  <c r="J97" i="58"/>
  <c r="L93" i="64" s="1"/>
  <c r="G97" i="58"/>
  <c r="F97" i="58"/>
  <c r="J93" i="64" s="1"/>
  <c r="E97" i="58"/>
  <c r="I93" i="64" s="1"/>
  <c r="D97" i="58"/>
  <c r="H93" i="64" s="1"/>
  <c r="H18" i="55"/>
  <c r="H17" i="55"/>
  <c r="H16" i="55"/>
  <c r="G17" i="55"/>
  <c r="G18" i="55"/>
  <c r="G16" i="55"/>
  <c r="G18" i="54"/>
  <c r="G17" i="54"/>
  <c r="Q87" i="59" s="1"/>
  <c r="E164" i="60" s="1"/>
  <c r="G16" i="54"/>
  <c r="Q86" i="59" s="1"/>
  <c r="E163" i="60" s="1"/>
  <c r="N163" i="60" s="1"/>
  <c r="G18" i="46"/>
  <c r="Q85" i="59" s="1"/>
  <c r="E51" i="60" s="1"/>
  <c r="N51" i="60" s="1"/>
  <c r="G17" i="46"/>
  <c r="Q84" i="59" s="1"/>
  <c r="E50" i="60" s="1"/>
  <c r="G16" i="46"/>
  <c r="Q83" i="59" s="1"/>
  <c r="E49" i="60" s="1"/>
  <c r="N49" i="60" s="1"/>
  <c r="G20" i="53"/>
  <c r="Q82" i="59" s="1"/>
  <c r="E157" i="60" s="1"/>
  <c r="G19" i="53"/>
  <c r="Q81" i="59" s="1"/>
  <c r="E156" i="60" s="1"/>
  <c r="G18" i="53"/>
  <c r="G17" i="53"/>
  <c r="G16" i="53"/>
  <c r="G19" i="52"/>
  <c r="G18" i="52"/>
  <c r="G17" i="52"/>
  <c r="Q75" i="59" s="1"/>
  <c r="E145" i="60" s="1"/>
  <c r="N145" i="60" s="1"/>
  <c r="G16" i="52"/>
  <c r="Q74" i="59" s="1"/>
  <c r="E144" i="60" s="1"/>
  <c r="N144" i="60" s="1"/>
  <c r="AV19" i="50"/>
  <c r="AV18" i="50"/>
  <c r="AV17" i="50"/>
  <c r="G19" i="50"/>
  <c r="Q73" i="59" s="1"/>
  <c r="E138" i="60" s="1"/>
  <c r="N138" i="60" s="1"/>
  <c r="W138" i="60" s="1"/>
  <c r="AF138" i="60" s="1"/>
  <c r="G18" i="50"/>
  <c r="Q72" i="59" s="1"/>
  <c r="E137" i="60" s="1"/>
  <c r="N137" i="60" s="1"/>
  <c r="G17" i="50"/>
  <c r="G16" i="50"/>
  <c r="G18" i="51"/>
  <c r="G17" i="51"/>
  <c r="G16" i="51"/>
  <c r="G17" i="48"/>
  <c r="P66" i="59" s="1"/>
  <c r="G16" i="48"/>
  <c r="P65" i="59" s="1"/>
  <c r="AR22" i="47"/>
  <c r="AT22" i="47" s="1"/>
  <c r="U67" i="58" s="1"/>
  <c r="AR21" i="47"/>
  <c r="AT21" i="47" s="1"/>
  <c r="AR20" i="47"/>
  <c r="AT20" i="47" s="1"/>
  <c r="U65" i="58" s="1"/>
  <c r="AR19" i="47"/>
  <c r="R22" i="47"/>
  <c r="P22" i="47"/>
  <c r="V22" i="47" s="1"/>
  <c r="O67" i="58" s="1"/>
  <c r="R20" i="47"/>
  <c r="V20" i="47" s="1"/>
  <c r="O65" i="58" s="1"/>
  <c r="G111" i="60" s="1"/>
  <c r="P20" i="47"/>
  <c r="R19" i="47"/>
  <c r="G23" i="47"/>
  <c r="Q64" i="59" s="1"/>
  <c r="E114" i="60" s="1"/>
  <c r="N114" i="60" s="1"/>
  <c r="G22" i="47"/>
  <c r="Q63" i="59" s="1"/>
  <c r="E113" i="60" s="1"/>
  <c r="N113" i="60" s="1"/>
  <c r="G21" i="47"/>
  <c r="Q62" i="59" s="1"/>
  <c r="E112" i="60" s="1"/>
  <c r="N112" i="60" s="1"/>
  <c r="G20" i="47"/>
  <c r="Q61" i="59" s="1"/>
  <c r="E111" i="60" s="1"/>
  <c r="N111" i="60" s="1"/>
  <c r="G19" i="47"/>
  <c r="Q60" i="59" s="1"/>
  <c r="E110" i="60" s="1"/>
  <c r="N110" i="60" s="1"/>
  <c r="G18" i="47"/>
  <c r="Q59" i="59" s="1"/>
  <c r="E109" i="60" s="1"/>
  <c r="N109" i="60" s="1"/>
  <c r="G17" i="47"/>
  <c r="Q58" i="59" s="1"/>
  <c r="E108" i="60" s="1"/>
  <c r="G16" i="47"/>
  <c r="Q57" i="59" s="1"/>
  <c r="E107" i="60" s="1"/>
  <c r="G23" i="43"/>
  <c r="G22" i="43"/>
  <c r="G21" i="43"/>
  <c r="G20" i="43"/>
  <c r="G19" i="43"/>
  <c r="Q52" i="59" s="1"/>
  <c r="E97" i="60" s="1"/>
  <c r="N97" i="60" s="1"/>
  <c r="G18" i="43"/>
  <c r="Q51" i="59" s="1"/>
  <c r="E96" i="60" s="1"/>
  <c r="N96" i="60" s="1"/>
  <c r="W96" i="60" s="1"/>
  <c r="AF96" i="60" s="1"/>
  <c r="G17" i="43"/>
  <c r="Q50" i="59" s="1"/>
  <c r="E95" i="60" s="1"/>
  <c r="G16" i="43"/>
  <c r="Q49" i="59" s="1"/>
  <c r="E94" i="60" s="1"/>
  <c r="N94" i="60" s="1"/>
  <c r="AP21" i="42"/>
  <c r="AN21" i="42"/>
  <c r="AR19" i="42"/>
  <c r="AP18" i="42"/>
  <c r="AN18" i="42"/>
  <c r="AJ21" i="42"/>
  <c r="AH21" i="42"/>
  <c r="AF21" i="42"/>
  <c r="AJ18" i="42"/>
  <c r="AH18" i="42"/>
  <c r="AF18" i="42"/>
  <c r="AB21" i="42"/>
  <c r="Z21" i="42"/>
  <c r="X21" i="42"/>
  <c r="AB19" i="42"/>
  <c r="Z19" i="42"/>
  <c r="X19" i="42"/>
  <c r="AB18" i="42"/>
  <c r="Z18" i="42"/>
  <c r="X18" i="42"/>
  <c r="T21" i="42"/>
  <c r="R21" i="42"/>
  <c r="T19" i="42"/>
  <c r="R19" i="42"/>
  <c r="P19" i="42"/>
  <c r="T18" i="42"/>
  <c r="R18" i="42"/>
  <c r="G22" i="42"/>
  <c r="Q48" i="59" s="1"/>
  <c r="E88" i="60" s="1"/>
  <c r="N88" i="60" s="1"/>
  <c r="G21" i="42"/>
  <c r="G20" i="42"/>
  <c r="G19" i="42"/>
  <c r="G18" i="42"/>
  <c r="G17" i="42"/>
  <c r="Q43" i="59" s="1"/>
  <c r="E83" i="60" s="1"/>
  <c r="G16" i="42"/>
  <c r="Q42" i="59" s="1"/>
  <c r="E82" i="60" s="1"/>
  <c r="AP35" i="41"/>
  <c r="AR34" i="41"/>
  <c r="AP34" i="41"/>
  <c r="AN34" i="41"/>
  <c r="AR33" i="41"/>
  <c r="AP33" i="41"/>
  <c r="AR32" i="41"/>
  <c r="AP32" i="41"/>
  <c r="AN32" i="41"/>
  <c r="AR31" i="41"/>
  <c r="AP31" i="41"/>
  <c r="AN31" i="41"/>
  <c r="AR29" i="41"/>
  <c r="AP29" i="41"/>
  <c r="AN29" i="41"/>
  <c r="AP28" i="41"/>
  <c r="AN28" i="41"/>
  <c r="AR27" i="41"/>
  <c r="AP27" i="41"/>
  <c r="AN27" i="41"/>
  <c r="AR20" i="41"/>
  <c r="AP20" i="41"/>
  <c r="AN20" i="41"/>
  <c r="AR18" i="41"/>
  <c r="AP18" i="41"/>
  <c r="AN18" i="41"/>
  <c r="AR17" i="41"/>
  <c r="AP17" i="41"/>
  <c r="AN17" i="41"/>
  <c r="AR16" i="41"/>
  <c r="AP16" i="41"/>
  <c r="AN16" i="41"/>
  <c r="AJ34" i="41"/>
  <c r="AH34" i="41"/>
  <c r="AF34" i="41"/>
  <c r="AJ33" i="41"/>
  <c r="AH33" i="41"/>
  <c r="AJ32" i="41"/>
  <c r="AH32" i="41"/>
  <c r="AF32" i="41"/>
  <c r="AJ31" i="41"/>
  <c r="AH31" i="41"/>
  <c r="AF31" i="41"/>
  <c r="AJ29" i="41"/>
  <c r="AH29" i="41"/>
  <c r="AF29" i="41"/>
  <c r="AJ28" i="41"/>
  <c r="AH28" i="41"/>
  <c r="AF28" i="41"/>
  <c r="AJ27" i="41"/>
  <c r="AH27" i="41"/>
  <c r="AF27" i="41"/>
  <c r="AJ20" i="41"/>
  <c r="AH20" i="41"/>
  <c r="AF20" i="41"/>
  <c r="AJ18" i="41"/>
  <c r="AH18" i="41"/>
  <c r="AF18" i="41"/>
  <c r="AJ17" i="41"/>
  <c r="AH17" i="41"/>
  <c r="AF17" i="41"/>
  <c r="AJ16" i="41"/>
  <c r="AH16" i="41"/>
  <c r="AF16" i="41"/>
  <c r="AB34" i="41"/>
  <c r="Z34" i="41"/>
  <c r="X34" i="41"/>
  <c r="AB32" i="41"/>
  <c r="Z32" i="41"/>
  <c r="X32" i="41"/>
  <c r="AB31" i="41"/>
  <c r="Z31" i="41"/>
  <c r="X31" i="41"/>
  <c r="AB29" i="41"/>
  <c r="Z29" i="41"/>
  <c r="X29" i="41"/>
  <c r="AB28" i="41"/>
  <c r="Z28" i="41"/>
  <c r="X28" i="41"/>
  <c r="AB27" i="41"/>
  <c r="Z27" i="41"/>
  <c r="X27" i="41"/>
  <c r="AB20" i="41"/>
  <c r="Z20" i="41"/>
  <c r="X20" i="41"/>
  <c r="AB18" i="41"/>
  <c r="Z18" i="41"/>
  <c r="X18" i="41"/>
  <c r="AB17" i="41"/>
  <c r="Z17" i="41"/>
  <c r="X17" i="41"/>
  <c r="AB16" i="41"/>
  <c r="Z16" i="41"/>
  <c r="X16" i="41"/>
  <c r="T34" i="41"/>
  <c r="R34" i="41"/>
  <c r="P34" i="41"/>
  <c r="T33" i="41"/>
  <c r="R33" i="41"/>
  <c r="P33" i="41"/>
  <c r="T32" i="41"/>
  <c r="R32" i="41"/>
  <c r="P32" i="41"/>
  <c r="T31" i="41"/>
  <c r="R31" i="41"/>
  <c r="P31" i="41"/>
  <c r="T29" i="41"/>
  <c r="R29" i="41"/>
  <c r="P29" i="41"/>
  <c r="T28" i="41"/>
  <c r="R28" i="41"/>
  <c r="P28" i="41"/>
  <c r="T27" i="41"/>
  <c r="R27" i="41"/>
  <c r="P27" i="41"/>
  <c r="T20" i="41"/>
  <c r="R20" i="41"/>
  <c r="P20" i="41"/>
  <c r="T18" i="41"/>
  <c r="R18" i="41"/>
  <c r="P18" i="41"/>
  <c r="T17" i="41"/>
  <c r="R17" i="41"/>
  <c r="P17" i="41"/>
  <c r="T16" i="41"/>
  <c r="R16" i="41"/>
  <c r="P16" i="41"/>
  <c r="G35" i="41"/>
  <c r="G34" i="41"/>
  <c r="G33" i="41"/>
  <c r="G32" i="41"/>
  <c r="G31" i="41"/>
  <c r="Q37" i="59" s="1"/>
  <c r="E72" i="60" s="1"/>
  <c r="N72" i="60" s="1"/>
  <c r="G30" i="41"/>
  <c r="Q36" i="59" s="1"/>
  <c r="E71" i="60" s="1"/>
  <c r="N71" i="60" s="1"/>
  <c r="G29" i="41"/>
  <c r="G28" i="41"/>
  <c r="Q34" i="59" s="1"/>
  <c r="E69" i="60" s="1"/>
  <c r="N69" i="60" s="1"/>
  <c r="G27" i="41"/>
  <c r="Q33" i="59" s="1"/>
  <c r="E68" i="60" s="1"/>
  <c r="N68" i="60" s="1"/>
  <c r="G26" i="41"/>
  <c r="Q32" i="59" s="1"/>
  <c r="E67" i="60" s="1"/>
  <c r="N67" i="60" s="1"/>
  <c r="G25" i="41"/>
  <c r="Q31" i="59" s="1"/>
  <c r="E66" i="60" s="1"/>
  <c r="G24" i="41"/>
  <c r="G23" i="41"/>
  <c r="G22" i="41"/>
  <c r="G21" i="41"/>
  <c r="G20" i="41"/>
  <c r="Q26" i="59" s="1"/>
  <c r="E61" i="60" s="1"/>
  <c r="N61" i="60" s="1"/>
  <c r="G19" i="41"/>
  <c r="Q25" i="59" s="1"/>
  <c r="E60" i="60" s="1"/>
  <c r="N60" i="60" s="1"/>
  <c r="G18" i="41"/>
  <c r="Q24" i="59" s="1"/>
  <c r="E59" i="60" s="1"/>
  <c r="G17" i="41"/>
  <c r="Q23" i="59" s="1"/>
  <c r="E58" i="60" s="1"/>
  <c r="N58" i="60" s="1"/>
  <c r="G16" i="41"/>
  <c r="Q22" i="59" s="1"/>
  <c r="E57" i="60" s="1"/>
  <c r="N57" i="60" s="1"/>
  <c r="G17" i="56"/>
  <c r="Q21" i="59" s="1"/>
  <c r="E43" i="60" s="1"/>
  <c r="N43" i="60" s="1"/>
  <c r="G16" i="56"/>
  <c r="Q20" i="59" s="1"/>
  <c r="E42" i="60" s="1"/>
  <c r="N42" i="60" s="1"/>
  <c r="G22" i="44"/>
  <c r="Q19" i="59" s="1"/>
  <c r="E36" i="60" s="1"/>
  <c r="N36" i="60" s="1"/>
  <c r="G21" i="44"/>
  <c r="G20" i="44"/>
  <c r="G19" i="44"/>
  <c r="G18" i="44"/>
  <c r="G17" i="44"/>
  <c r="G16" i="44"/>
  <c r="Q13" i="59" s="1"/>
  <c r="E30" i="60" s="1"/>
  <c r="AW17" i="45"/>
  <c r="AT17" i="45"/>
  <c r="AV17" i="45" s="1"/>
  <c r="X97" i="58" s="1"/>
  <c r="AJ93" i="64" s="1"/>
  <c r="AU17" i="45"/>
  <c r="O17" i="45"/>
  <c r="R10" i="59" s="1"/>
  <c r="I17" i="45"/>
  <c r="E10" i="59"/>
  <c r="D22" i="60" s="1"/>
  <c r="H17" i="45"/>
  <c r="G19" i="45"/>
  <c r="G18" i="45"/>
  <c r="G17" i="45"/>
  <c r="Q10" i="59" s="1"/>
  <c r="E22" i="60" s="1"/>
  <c r="G16" i="45"/>
  <c r="Q9" i="59" s="1"/>
  <c r="F17" i="45"/>
  <c r="P10" i="59" s="1"/>
  <c r="F18" i="45"/>
  <c r="P11" i="59" s="1"/>
  <c r="E17" i="45"/>
  <c r="D17" i="45"/>
  <c r="G19" i="37"/>
  <c r="Q8" i="59" s="1"/>
  <c r="E15" i="60" s="1"/>
  <c r="N15" i="60" s="1"/>
  <c r="G18" i="37"/>
  <c r="Q7" i="59" s="1"/>
  <c r="E14" i="60" s="1"/>
  <c r="G17" i="37"/>
  <c r="Q6" i="59" s="1"/>
  <c r="E13" i="60" s="1"/>
  <c r="G16" i="37"/>
  <c r="O97" i="38"/>
  <c r="AW17" i="50"/>
  <c r="BE17" i="50" s="1"/>
  <c r="G22" i="60"/>
  <c r="L22" i="60"/>
  <c r="F22" i="60"/>
  <c r="K22" i="60" s="1"/>
  <c r="V97" i="58"/>
  <c r="AI93" i="64" s="1"/>
  <c r="F7" i="71"/>
  <c r="C33" i="41"/>
  <c r="C27" i="41"/>
  <c r="C16" i="41"/>
  <c r="B7" i="67"/>
  <c r="B7" i="70" s="1"/>
  <c r="D31" i="63"/>
  <c r="D30" i="63"/>
  <c r="D29" i="63"/>
  <c r="D28" i="63"/>
  <c r="BC19" i="50"/>
  <c r="V85" i="58"/>
  <c r="AU19" i="50"/>
  <c r="V86" i="58" s="1"/>
  <c r="AM19" i="50"/>
  <c r="T86" i="58"/>
  <c r="Z138" i="60" s="1"/>
  <c r="AM18" i="50"/>
  <c r="T85" i="58" s="1"/>
  <c r="AU17" i="50"/>
  <c r="V84" i="58" s="1"/>
  <c r="AM17" i="50"/>
  <c r="T84" i="58" s="1"/>
  <c r="Z136" i="60" s="1"/>
  <c r="AM21" i="42"/>
  <c r="AM20" i="42"/>
  <c r="T37" i="58" s="1"/>
  <c r="AG33" i="64" s="1"/>
  <c r="C29" i="66"/>
  <c r="C48" i="69" s="1"/>
  <c r="C28" i="66"/>
  <c r="C27" i="66"/>
  <c r="C28" i="67" s="1"/>
  <c r="C26" i="66"/>
  <c r="C27" i="67" s="1"/>
  <c r="C25" i="66"/>
  <c r="C26" i="67" s="1"/>
  <c r="C24" i="66"/>
  <c r="C83" i="64" s="1"/>
  <c r="C23" i="66"/>
  <c r="C65" i="64" s="1"/>
  <c r="C22" i="66"/>
  <c r="C57" i="64" s="1"/>
  <c r="C21" i="66"/>
  <c r="C51" i="64" s="1"/>
  <c r="C20" i="66"/>
  <c r="C19" i="66"/>
  <c r="C22" i="69" s="1"/>
  <c r="C18" i="66"/>
  <c r="C19" i="67" s="1"/>
  <c r="C17" i="66"/>
  <c r="C18" i="67" s="1"/>
  <c r="C16" i="66"/>
  <c r="C15" i="66"/>
  <c r="C16" i="69" s="1"/>
  <c r="C14" i="66"/>
  <c r="C15" i="69" s="1"/>
  <c r="C13" i="66"/>
  <c r="C29" i="64" s="1"/>
  <c r="C12" i="66"/>
  <c r="C13" i="69" s="1"/>
  <c r="C11" i="66"/>
  <c r="C12" i="67" s="1"/>
  <c r="C10" i="66"/>
  <c r="C11" i="67" s="1"/>
  <c r="E47" i="69"/>
  <c r="E48" i="69"/>
  <c r="E46" i="69"/>
  <c r="E45" i="69"/>
  <c r="E44" i="69"/>
  <c r="E43" i="69"/>
  <c r="E42" i="69"/>
  <c r="E41" i="69"/>
  <c r="E40" i="69"/>
  <c r="E36" i="69"/>
  <c r="E35" i="69"/>
  <c r="G72" i="64"/>
  <c r="G71" i="64"/>
  <c r="G70" i="64"/>
  <c r="E33" i="69"/>
  <c r="G64" i="64"/>
  <c r="G59" i="64"/>
  <c r="G58" i="64"/>
  <c r="G57" i="64"/>
  <c r="E25" i="69"/>
  <c r="E26" i="69"/>
  <c r="E27" i="69"/>
  <c r="E28" i="69"/>
  <c r="E29" i="69"/>
  <c r="E24" i="69"/>
  <c r="E23" i="69"/>
  <c r="E22" i="69"/>
  <c r="E21" i="69"/>
  <c r="E20" i="69"/>
  <c r="E19" i="69"/>
  <c r="E18" i="69"/>
  <c r="E17" i="69"/>
  <c r="E16" i="69"/>
  <c r="E15" i="69"/>
  <c r="E14" i="69"/>
  <c r="E13" i="69"/>
  <c r="E12" i="69"/>
  <c r="B15" i="70"/>
  <c r="B14" i="70"/>
  <c r="B13" i="70"/>
  <c r="B12" i="70"/>
  <c r="B11" i="70"/>
  <c r="E10" i="69"/>
  <c r="E11" i="69"/>
  <c r="D46" i="69"/>
  <c r="D47" i="69"/>
  <c r="D48" i="69"/>
  <c r="D23" i="69"/>
  <c r="D24" i="69"/>
  <c r="D30" i="69"/>
  <c r="D35" i="69"/>
  <c r="D43" i="69"/>
  <c r="D44" i="69"/>
  <c r="D45" i="69"/>
  <c r="D22" i="69"/>
  <c r="C46" i="69"/>
  <c r="B46" i="69"/>
  <c r="C43" i="69"/>
  <c r="C35" i="69"/>
  <c r="B23" i="69"/>
  <c r="C17" i="69"/>
  <c r="B17" i="69"/>
  <c r="B14" i="69"/>
  <c r="B10" i="69"/>
  <c r="C30" i="67"/>
  <c r="B28" i="67"/>
  <c r="B21" i="67"/>
  <c r="C20" i="67"/>
  <c r="C17" i="67"/>
  <c r="B17" i="67"/>
  <c r="B14" i="67"/>
  <c r="B11" i="67"/>
  <c r="B92" i="64"/>
  <c r="B44" i="64"/>
  <c r="B36" i="64"/>
  <c r="B29" i="64"/>
  <c r="B9" i="64"/>
  <c r="C95" i="64"/>
  <c r="C41" i="64"/>
  <c r="C36" i="64"/>
  <c r="C33" i="64"/>
  <c r="E94" i="64"/>
  <c r="E95" i="64"/>
  <c r="E92" i="64"/>
  <c r="E91" i="64"/>
  <c r="E89" i="64"/>
  <c r="E83" i="64"/>
  <c r="E65" i="64"/>
  <c r="E57" i="64"/>
  <c r="E51" i="64"/>
  <c r="E44" i="64"/>
  <c r="E41" i="64"/>
  <c r="E40" i="64"/>
  <c r="E38" i="64"/>
  <c r="E36" i="64"/>
  <c r="E33" i="64"/>
  <c r="E31" i="64"/>
  <c r="E29" i="64"/>
  <c r="E26" i="64"/>
  <c r="E20" i="64"/>
  <c r="E9" i="64"/>
  <c r="D94" i="64"/>
  <c r="D95" i="64"/>
  <c r="D92" i="64"/>
  <c r="D91" i="64"/>
  <c r="D89" i="64"/>
  <c r="D83" i="64"/>
  <c r="D65" i="64"/>
  <c r="D57" i="64"/>
  <c r="D51" i="64"/>
  <c r="D44" i="64"/>
  <c r="D41" i="64"/>
  <c r="D58" i="63"/>
  <c r="D57" i="63"/>
  <c r="D56" i="63"/>
  <c r="D55" i="63"/>
  <c r="D62" i="63"/>
  <c r="AT23" i="43"/>
  <c r="AV138" i="60"/>
  <c r="AP138" i="60"/>
  <c r="AO138" i="60"/>
  <c r="AV137" i="60"/>
  <c r="AP137" i="60"/>
  <c r="AO137" i="60"/>
  <c r="AV136" i="60"/>
  <c r="AP136" i="60"/>
  <c r="AO136" i="60"/>
  <c r="AV18" i="47"/>
  <c r="AU18" i="47"/>
  <c r="V63" i="58" s="1"/>
  <c r="AM18" i="47"/>
  <c r="T63" i="58"/>
  <c r="Z109" i="60" s="1"/>
  <c r="W18" i="47"/>
  <c r="AE18" i="47"/>
  <c r="R63" i="58" s="1"/>
  <c r="M71" i="59"/>
  <c r="AT136" i="60" s="1"/>
  <c r="M72" i="59"/>
  <c r="AT137" i="60" s="1"/>
  <c r="M73" i="59"/>
  <c r="AT138" i="60"/>
  <c r="K73" i="59"/>
  <c r="AR138" i="60"/>
  <c r="K71" i="59"/>
  <c r="AR136" i="60" s="1"/>
  <c r="K72" i="59"/>
  <c r="AR137" i="60" s="1"/>
  <c r="BF17" i="50"/>
  <c r="AE21" i="42"/>
  <c r="AE20" i="42"/>
  <c r="AE17" i="52"/>
  <c r="R76" i="58" s="1"/>
  <c r="R85" i="58"/>
  <c r="AE81" i="64" s="1"/>
  <c r="R84" i="58"/>
  <c r="AE80" i="64" s="1"/>
  <c r="N99" i="58"/>
  <c r="P95" i="64" s="1"/>
  <c r="BG95" i="64" s="1"/>
  <c r="M99" i="58"/>
  <c r="O95" i="64" s="1"/>
  <c r="AV95" i="64" s="1"/>
  <c r="L99" i="58"/>
  <c r="N95" i="64" s="1"/>
  <c r="K99" i="58"/>
  <c r="M95" i="64" s="1"/>
  <c r="J99" i="58"/>
  <c r="L95" i="64" s="1"/>
  <c r="I99" i="58"/>
  <c r="K95" i="64" s="1"/>
  <c r="H99" i="58"/>
  <c r="G99" i="58"/>
  <c r="F99" i="58"/>
  <c r="J95" i="64" s="1"/>
  <c r="E99" i="58"/>
  <c r="I95" i="64" s="1"/>
  <c r="D99" i="58"/>
  <c r="H95" i="64" s="1"/>
  <c r="N98" i="58"/>
  <c r="P94" i="64" s="1"/>
  <c r="BG94" i="64" s="1"/>
  <c r="M98" i="58"/>
  <c r="O94" i="64" s="1"/>
  <c r="AV94" i="64" s="1"/>
  <c r="L98" i="58"/>
  <c r="N94" i="64" s="1"/>
  <c r="K98" i="58"/>
  <c r="M94" i="64" s="1"/>
  <c r="J98" i="58"/>
  <c r="L94" i="64" s="1"/>
  <c r="I98" i="58"/>
  <c r="K94" i="64" s="1"/>
  <c r="H98" i="58"/>
  <c r="G98" i="58"/>
  <c r="F98" i="58"/>
  <c r="J94" i="64" s="1"/>
  <c r="E98" i="58"/>
  <c r="I94" i="64" s="1"/>
  <c r="D98" i="58"/>
  <c r="H94" i="64" s="1"/>
  <c r="N96" i="58"/>
  <c r="P92" i="64" s="1"/>
  <c r="BG92" i="64" s="1"/>
  <c r="M96" i="58"/>
  <c r="O92" i="64"/>
  <c r="AV92" i="64" s="1"/>
  <c r="L96" i="58"/>
  <c r="N92" i="64" s="1"/>
  <c r="K96" i="58"/>
  <c r="M92" i="64"/>
  <c r="J96" i="58"/>
  <c r="L92" i="64" s="1"/>
  <c r="I96" i="58"/>
  <c r="K92" i="64" s="1"/>
  <c r="H96" i="58"/>
  <c r="G96" i="58"/>
  <c r="F96" i="58"/>
  <c r="J92" i="64" s="1"/>
  <c r="E96" i="58"/>
  <c r="I92" i="64" s="1"/>
  <c r="D96" i="58"/>
  <c r="H92" i="64" s="1"/>
  <c r="N95" i="58"/>
  <c r="P91" i="64" s="1"/>
  <c r="BG91" i="64" s="1"/>
  <c r="M95" i="58"/>
  <c r="O91" i="64" s="1"/>
  <c r="AV91" i="64" s="1"/>
  <c r="L95" i="58"/>
  <c r="N91" i="64" s="1"/>
  <c r="K95" i="58"/>
  <c r="M91" i="64" s="1"/>
  <c r="J95" i="58"/>
  <c r="L91" i="64" s="1"/>
  <c r="I95" i="58"/>
  <c r="K91" i="64" s="1"/>
  <c r="H95" i="58"/>
  <c r="G95" i="58"/>
  <c r="F95" i="58"/>
  <c r="J91" i="64" s="1"/>
  <c r="E95" i="58"/>
  <c r="I91" i="64"/>
  <c r="D95" i="58"/>
  <c r="H91" i="64" s="1"/>
  <c r="N94" i="58"/>
  <c r="P90" i="64" s="1"/>
  <c r="BG90" i="64" s="1"/>
  <c r="M94" i="58"/>
  <c r="O90" i="64" s="1"/>
  <c r="AV90" i="64" s="1"/>
  <c r="L94" i="58"/>
  <c r="N90" i="64" s="1"/>
  <c r="K94" i="58"/>
  <c r="M90" i="64" s="1"/>
  <c r="J94" i="58"/>
  <c r="L90" i="64" s="1"/>
  <c r="I94" i="58"/>
  <c r="K90" i="64" s="1"/>
  <c r="H94" i="58"/>
  <c r="G94" i="58"/>
  <c r="F94" i="58"/>
  <c r="E94" i="58"/>
  <c r="I90" i="64" s="1"/>
  <c r="D94" i="58"/>
  <c r="H90" i="64" s="1"/>
  <c r="N93" i="58"/>
  <c r="P89" i="64" s="1"/>
  <c r="BG89" i="64" s="1"/>
  <c r="M93" i="58"/>
  <c r="O89" i="64" s="1"/>
  <c r="AV89" i="64" s="1"/>
  <c r="L93" i="58"/>
  <c r="N89" i="64" s="1"/>
  <c r="K93" i="58"/>
  <c r="M89" i="64"/>
  <c r="J93" i="58"/>
  <c r="L89" i="64" s="1"/>
  <c r="I93" i="58"/>
  <c r="K89" i="64" s="1"/>
  <c r="H93" i="58"/>
  <c r="G93" i="58"/>
  <c r="F93" i="58"/>
  <c r="AA93" i="58" s="1"/>
  <c r="E93" i="58"/>
  <c r="I89" i="64" s="1"/>
  <c r="D93" i="58"/>
  <c r="H89" i="64" s="1"/>
  <c r="N92" i="58"/>
  <c r="P88" i="64" s="1"/>
  <c r="BG88" i="64" s="1"/>
  <c r="M92" i="58"/>
  <c r="O88" i="64" s="1"/>
  <c r="AV88" i="64" s="1"/>
  <c r="L92" i="58"/>
  <c r="N88" i="64" s="1"/>
  <c r="K92" i="58"/>
  <c r="M88" i="64" s="1"/>
  <c r="J92" i="58"/>
  <c r="L88" i="64" s="1"/>
  <c r="I92" i="58"/>
  <c r="K88" i="64" s="1"/>
  <c r="H92" i="58"/>
  <c r="G92" i="58"/>
  <c r="F92" i="58"/>
  <c r="J88" i="64" s="1"/>
  <c r="E92" i="58"/>
  <c r="I88" i="64" s="1"/>
  <c r="D92" i="58"/>
  <c r="H88" i="64" s="1"/>
  <c r="N91" i="58"/>
  <c r="P87" i="64" s="1"/>
  <c r="BG87" i="64" s="1"/>
  <c r="M91" i="58"/>
  <c r="O87" i="64" s="1"/>
  <c r="AV87" i="64" s="1"/>
  <c r="L91" i="58"/>
  <c r="N87" i="64" s="1"/>
  <c r="K91" i="58"/>
  <c r="M87" i="64" s="1"/>
  <c r="J91" i="58"/>
  <c r="L87" i="64" s="1"/>
  <c r="I91" i="58"/>
  <c r="K87" i="64" s="1"/>
  <c r="H91" i="58"/>
  <c r="G91" i="58"/>
  <c r="F91" i="58"/>
  <c r="J87" i="64" s="1"/>
  <c r="E91" i="58"/>
  <c r="I87" i="64" s="1"/>
  <c r="D91" i="58"/>
  <c r="H87" i="64" s="1"/>
  <c r="N90" i="58"/>
  <c r="P86" i="64" s="1"/>
  <c r="BG86" i="64" s="1"/>
  <c r="M90" i="58"/>
  <c r="O86" i="64" s="1"/>
  <c r="AV86" i="64" s="1"/>
  <c r="L90" i="58"/>
  <c r="N86" i="64" s="1"/>
  <c r="K90" i="58"/>
  <c r="M86" i="64" s="1"/>
  <c r="J90" i="58"/>
  <c r="L86" i="64" s="1"/>
  <c r="I90" i="58"/>
  <c r="K86" i="64" s="1"/>
  <c r="H90" i="58"/>
  <c r="G90" i="58"/>
  <c r="F90" i="58"/>
  <c r="J86" i="64" s="1"/>
  <c r="E90" i="58"/>
  <c r="I86" i="64" s="1"/>
  <c r="D90" i="58"/>
  <c r="H86" i="64" s="1"/>
  <c r="N89" i="58"/>
  <c r="P85" i="64" s="1"/>
  <c r="BG85" i="64" s="1"/>
  <c r="M89" i="58"/>
  <c r="O85" i="64" s="1"/>
  <c r="AV85" i="64" s="1"/>
  <c r="L89" i="58"/>
  <c r="N85" i="64" s="1"/>
  <c r="K89" i="58"/>
  <c r="M85" i="64" s="1"/>
  <c r="J89" i="58"/>
  <c r="L85" i="64" s="1"/>
  <c r="I89" i="58"/>
  <c r="K85" i="64" s="1"/>
  <c r="H89" i="58"/>
  <c r="G89" i="58"/>
  <c r="E89" i="58"/>
  <c r="I85" i="64" s="1"/>
  <c r="D89" i="58"/>
  <c r="H85" i="64" s="1"/>
  <c r="N88" i="58"/>
  <c r="P84" i="64" s="1"/>
  <c r="BG84" i="64" s="1"/>
  <c r="M88" i="58"/>
  <c r="O84" i="64" s="1"/>
  <c r="AV84" i="64" s="1"/>
  <c r="L88" i="58"/>
  <c r="N84" i="64" s="1"/>
  <c r="K88" i="58"/>
  <c r="M84" i="64" s="1"/>
  <c r="J88" i="58"/>
  <c r="L84" i="64" s="1"/>
  <c r="I88" i="58"/>
  <c r="K84" i="64" s="1"/>
  <c r="H88" i="58"/>
  <c r="G88" i="58"/>
  <c r="E88" i="58"/>
  <c r="I84" i="64" s="1"/>
  <c r="D88" i="58"/>
  <c r="H84" i="64" s="1"/>
  <c r="N87" i="58"/>
  <c r="P83" i="64" s="1"/>
  <c r="BG83" i="64" s="1"/>
  <c r="M87" i="58"/>
  <c r="O83" i="64" s="1"/>
  <c r="AV83" i="64" s="1"/>
  <c r="L87" i="58"/>
  <c r="N83" i="64" s="1"/>
  <c r="K87" i="58"/>
  <c r="M83" i="64" s="1"/>
  <c r="J87" i="58"/>
  <c r="L83" i="64" s="1"/>
  <c r="I87" i="58"/>
  <c r="K83" i="64" s="1"/>
  <c r="H87" i="58"/>
  <c r="G87" i="58"/>
  <c r="E87" i="58"/>
  <c r="I83" i="64" s="1"/>
  <c r="D87" i="58"/>
  <c r="H83" i="64" s="1"/>
  <c r="X85" i="58"/>
  <c r="X84" i="58"/>
  <c r="Q85" i="58"/>
  <c r="Q86" i="58"/>
  <c r="Q84" i="58"/>
  <c r="P85" i="58"/>
  <c r="H137" i="60" s="1"/>
  <c r="P86" i="58"/>
  <c r="I138" i="60" s="1"/>
  <c r="O85" i="58"/>
  <c r="G137" i="60" s="1"/>
  <c r="L137" i="60" s="1"/>
  <c r="O86" i="58"/>
  <c r="F138" i="60" s="1"/>
  <c r="O84" i="58"/>
  <c r="G136" i="60" s="1"/>
  <c r="L136" i="60" s="1"/>
  <c r="N86" i="58"/>
  <c r="P82" i="64" s="1"/>
  <c r="BG82" i="64" s="1"/>
  <c r="M86" i="58"/>
  <c r="O82" i="64" s="1"/>
  <c r="AV82" i="64" s="1"/>
  <c r="L86" i="58"/>
  <c r="N82" i="64" s="1"/>
  <c r="K86" i="58"/>
  <c r="M82" i="64" s="1"/>
  <c r="J86" i="58"/>
  <c r="L82" i="64" s="1"/>
  <c r="I86" i="58"/>
  <c r="K82" i="64" s="1"/>
  <c r="H86" i="58"/>
  <c r="G86" i="58"/>
  <c r="F86" i="58"/>
  <c r="AA86" i="58" s="1"/>
  <c r="N85" i="58"/>
  <c r="P81" i="64" s="1"/>
  <c r="BG81" i="64" s="1"/>
  <c r="M85" i="58"/>
  <c r="O81" i="64" s="1"/>
  <c r="AV81" i="64" s="1"/>
  <c r="L85" i="58"/>
  <c r="N81" i="64" s="1"/>
  <c r="K85" i="58"/>
  <c r="M81" i="64" s="1"/>
  <c r="J85" i="58"/>
  <c r="L81" i="64" s="1"/>
  <c r="I85" i="58"/>
  <c r="K81" i="64" s="1"/>
  <c r="H85" i="58"/>
  <c r="G85" i="58"/>
  <c r="F85" i="58"/>
  <c r="AA85" i="58" s="1"/>
  <c r="N84" i="58"/>
  <c r="P80" i="64" s="1"/>
  <c r="BG80" i="64" s="1"/>
  <c r="M84" i="58"/>
  <c r="O80" i="64" s="1"/>
  <c r="AV80" i="64" s="1"/>
  <c r="L84" i="58"/>
  <c r="N80" i="64" s="1"/>
  <c r="K84" i="58"/>
  <c r="M80" i="64" s="1"/>
  <c r="J84" i="58"/>
  <c r="L80" i="64" s="1"/>
  <c r="I84" i="58"/>
  <c r="K80" i="64" s="1"/>
  <c r="H84" i="58"/>
  <c r="G84" i="58"/>
  <c r="F84" i="58"/>
  <c r="AA84" i="58" s="1"/>
  <c r="N83" i="58"/>
  <c r="P79" i="64"/>
  <c r="BG79" i="64" s="1"/>
  <c r="M83" i="58"/>
  <c r="O79" i="64" s="1"/>
  <c r="AV79" i="64" s="1"/>
  <c r="L83" i="58"/>
  <c r="N79" i="64"/>
  <c r="K83" i="58"/>
  <c r="M79" i="64" s="1"/>
  <c r="J83" i="58"/>
  <c r="L79" i="64" s="1"/>
  <c r="I83" i="58"/>
  <c r="K79" i="64" s="1"/>
  <c r="H83" i="58"/>
  <c r="G83" i="58"/>
  <c r="F83" i="58"/>
  <c r="N82" i="58"/>
  <c r="P78" i="64" s="1"/>
  <c r="BG78" i="64" s="1"/>
  <c r="M82" i="58"/>
  <c r="O78" i="64" s="1"/>
  <c r="AV78" i="64" s="1"/>
  <c r="L82" i="58"/>
  <c r="N78" i="64" s="1"/>
  <c r="K82" i="58"/>
  <c r="M78" i="64" s="1"/>
  <c r="J82" i="58"/>
  <c r="L78" i="64" s="1"/>
  <c r="I82" i="58"/>
  <c r="K78" i="64" s="1"/>
  <c r="H82" i="58"/>
  <c r="G82" i="58"/>
  <c r="F82" i="58"/>
  <c r="AA82" i="58" s="1"/>
  <c r="E82" i="58"/>
  <c r="I78" i="64" s="1"/>
  <c r="D82" i="58"/>
  <c r="H78" i="64" s="1"/>
  <c r="N78" i="58"/>
  <c r="P74" i="64" s="1"/>
  <c r="BG74" i="64" s="1"/>
  <c r="M78" i="58"/>
  <c r="O74" i="64" s="1"/>
  <c r="AV74" i="64" s="1"/>
  <c r="L78" i="58"/>
  <c r="N74" i="64"/>
  <c r="K78" i="58"/>
  <c r="M74" i="64" s="1"/>
  <c r="J78" i="58"/>
  <c r="L74" i="64" s="1"/>
  <c r="I78" i="58"/>
  <c r="K74" i="64" s="1"/>
  <c r="H78" i="58"/>
  <c r="G78" i="58"/>
  <c r="F78" i="58"/>
  <c r="J74" i="64" s="1"/>
  <c r="E78" i="58"/>
  <c r="I74" i="64" s="1"/>
  <c r="D78" i="58"/>
  <c r="H74" i="64" s="1"/>
  <c r="N77" i="58"/>
  <c r="P73" i="64"/>
  <c r="BG73" i="64" s="1"/>
  <c r="M77" i="58"/>
  <c r="O73" i="64" s="1"/>
  <c r="AV73" i="64" s="1"/>
  <c r="L77" i="58"/>
  <c r="N73" i="64" s="1"/>
  <c r="K77" i="58"/>
  <c r="M73" i="64" s="1"/>
  <c r="J77" i="58"/>
  <c r="L73" i="64" s="1"/>
  <c r="I77" i="58"/>
  <c r="K73" i="64"/>
  <c r="H77" i="58"/>
  <c r="G77" i="58"/>
  <c r="F77" i="58"/>
  <c r="J73" i="64" s="1"/>
  <c r="E77" i="58"/>
  <c r="I73" i="64" s="1"/>
  <c r="D77" i="58"/>
  <c r="H73" i="64" s="1"/>
  <c r="E84" i="58"/>
  <c r="I80" i="64" s="1"/>
  <c r="D84" i="58"/>
  <c r="H80" i="64" s="1"/>
  <c r="N81" i="58"/>
  <c r="P77" i="64" s="1"/>
  <c r="BG77" i="64" s="1"/>
  <c r="M81" i="58"/>
  <c r="O77" i="64" s="1"/>
  <c r="AV77" i="64" s="1"/>
  <c r="L81" i="58"/>
  <c r="N77" i="64"/>
  <c r="K81" i="58"/>
  <c r="M77" i="64" s="1"/>
  <c r="J81" i="58"/>
  <c r="L77" i="64" s="1"/>
  <c r="I81" i="58"/>
  <c r="K77" i="64" s="1"/>
  <c r="H81" i="58"/>
  <c r="G81" i="58"/>
  <c r="F81" i="58"/>
  <c r="AA81" i="58" s="1"/>
  <c r="E81" i="58"/>
  <c r="I77" i="64" s="1"/>
  <c r="D81" i="58"/>
  <c r="H77" i="64" s="1"/>
  <c r="N80" i="58"/>
  <c r="P76" i="64" s="1"/>
  <c r="BG76" i="64" s="1"/>
  <c r="M80" i="58"/>
  <c r="O76" i="64" s="1"/>
  <c r="AV76" i="64" s="1"/>
  <c r="L80" i="58"/>
  <c r="N76" i="64" s="1"/>
  <c r="K80" i="58"/>
  <c r="M76" i="64" s="1"/>
  <c r="J80" i="58"/>
  <c r="L76" i="64" s="1"/>
  <c r="I80" i="58"/>
  <c r="K76" i="64" s="1"/>
  <c r="H80" i="58"/>
  <c r="G80" i="58"/>
  <c r="F80" i="58"/>
  <c r="AA80" i="58" s="1"/>
  <c r="E80" i="58"/>
  <c r="I76" i="64" s="1"/>
  <c r="D80" i="58"/>
  <c r="H76" i="64" s="1"/>
  <c r="N79" i="58"/>
  <c r="P75" i="64" s="1"/>
  <c r="BG75" i="64" s="1"/>
  <c r="M79" i="58"/>
  <c r="O75" i="64" s="1"/>
  <c r="AV75" i="64" s="1"/>
  <c r="L79" i="58"/>
  <c r="N75" i="64" s="1"/>
  <c r="K79" i="58"/>
  <c r="M75" i="64" s="1"/>
  <c r="J79" i="58"/>
  <c r="L75" i="64" s="1"/>
  <c r="I79" i="58"/>
  <c r="K75" i="64" s="1"/>
  <c r="H79" i="58"/>
  <c r="G79" i="58"/>
  <c r="F79" i="58"/>
  <c r="E79" i="58"/>
  <c r="I75" i="64" s="1"/>
  <c r="D79" i="58"/>
  <c r="H75" i="64" s="1"/>
  <c r="N76" i="58"/>
  <c r="P72" i="64" s="1"/>
  <c r="BG72" i="64" s="1"/>
  <c r="M76" i="58"/>
  <c r="O72" i="64" s="1"/>
  <c r="AV72" i="64" s="1"/>
  <c r="L76" i="58"/>
  <c r="N72" i="64" s="1"/>
  <c r="K76" i="58"/>
  <c r="M72" i="64" s="1"/>
  <c r="J76" i="58"/>
  <c r="L72" i="64" s="1"/>
  <c r="I76" i="58"/>
  <c r="K72" i="64" s="1"/>
  <c r="H76" i="58"/>
  <c r="F72" i="64" s="1"/>
  <c r="E39" i="69" s="1"/>
  <c r="G76" i="58"/>
  <c r="F76" i="58"/>
  <c r="AA76" i="58" s="1"/>
  <c r="E76" i="58"/>
  <c r="I72" i="64"/>
  <c r="D76" i="58"/>
  <c r="H72" i="64" s="1"/>
  <c r="N75" i="58"/>
  <c r="P71" i="64" s="1"/>
  <c r="BG71" i="64" s="1"/>
  <c r="M75" i="58"/>
  <c r="O71" i="64" s="1"/>
  <c r="AV71" i="64" s="1"/>
  <c r="L75" i="58"/>
  <c r="N71" i="64"/>
  <c r="K75" i="58"/>
  <c r="M71" i="64" s="1"/>
  <c r="J75" i="58"/>
  <c r="L71" i="64" s="1"/>
  <c r="I75" i="58"/>
  <c r="K71" i="64" s="1"/>
  <c r="H75" i="58"/>
  <c r="F71" i="64" s="1"/>
  <c r="E38" i="69" s="1"/>
  <c r="G75" i="58"/>
  <c r="F75" i="58"/>
  <c r="E75" i="58"/>
  <c r="I71" i="64" s="1"/>
  <c r="D75" i="58"/>
  <c r="H71" i="64" s="1"/>
  <c r="N74" i="58"/>
  <c r="P70" i="64" s="1"/>
  <c r="BG70" i="64" s="1"/>
  <c r="M74" i="58"/>
  <c r="O70" i="64" s="1"/>
  <c r="AV70" i="64" s="1"/>
  <c r="L74" i="58"/>
  <c r="N70" i="64" s="1"/>
  <c r="K74" i="58"/>
  <c r="M70" i="64" s="1"/>
  <c r="J74" i="58"/>
  <c r="L70" i="64" s="1"/>
  <c r="I74" i="58"/>
  <c r="K70" i="64" s="1"/>
  <c r="H74" i="58"/>
  <c r="F70" i="64" s="1"/>
  <c r="E37" i="69" s="1"/>
  <c r="G74" i="58"/>
  <c r="F74" i="58"/>
  <c r="AA74" i="58" s="1"/>
  <c r="E74" i="58"/>
  <c r="I70" i="64" s="1"/>
  <c r="D74" i="58"/>
  <c r="H70" i="64" s="1"/>
  <c r="N73" i="58"/>
  <c r="P69" i="64" s="1"/>
  <c r="BG69" i="64" s="1"/>
  <c r="M73" i="58"/>
  <c r="O69" i="64" s="1"/>
  <c r="AV69" i="64" s="1"/>
  <c r="L73" i="58"/>
  <c r="N69" i="64" s="1"/>
  <c r="K73" i="58"/>
  <c r="M69" i="64" s="1"/>
  <c r="J73" i="58"/>
  <c r="L69" i="64" s="1"/>
  <c r="I73" i="58"/>
  <c r="K69" i="64" s="1"/>
  <c r="H73" i="58"/>
  <c r="G73" i="58"/>
  <c r="F73" i="58"/>
  <c r="AA73" i="58" s="1"/>
  <c r="E73" i="58"/>
  <c r="I69" i="64" s="1"/>
  <c r="D73" i="58"/>
  <c r="H69" i="64" s="1"/>
  <c r="N72" i="58"/>
  <c r="P68" i="64" s="1"/>
  <c r="BG68" i="64" s="1"/>
  <c r="M72" i="58"/>
  <c r="O68" i="64" s="1"/>
  <c r="AV68" i="64" s="1"/>
  <c r="L72" i="58"/>
  <c r="N68" i="64" s="1"/>
  <c r="K72" i="58"/>
  <c r="M68" i="64" s="1"/>
  <c r="J72" i="58"/>
  <c r="L68" i="64" s="1"/>
  <c r="I72" i="58"/>
  <c r="K68" i="64" s="1"/>
  <c r="H72" i="58"/>
  <c r="G72" i="58"/>
  <c r="F72" i="58"/>
  <c r="J68" i="64" s="1"/>
  <c r="BM68" i="64" s="1"/>
  <c r="E72" i="58"/>
  <c r="I68" i="64" s="1"/>
  <c r="D72" i="58"/>
  <c r="H68" i="64" s="1"/>
  <c r="N71" i="58"/>
  <c r="P67" i="64" s="1"/>
  <c r="BG67" i="64" s="1"/>
  <c r="M71" i="58"/>
  <c r="O67" i="64" s="1"/>
  <c r="AV67" i="64" s="1"/>
  <c r="L71" i="58"/>
  <c r="N67" i="64" s="1"/>
  <c r="K71" i="58"/>
  <c r="M67" i="64" s="1"/>
  <c r="J71" i="58"/>
  <c r="L67" i="64" s="1"/>
  <c r="I71" i="58"/>
  <c r="K67" i="64" s="1"/>
  <c r="H71" i="58"/>
  <c r="G71" i="58"/>
  <c r="F71" i="58"/>
  <c r="E71" i="58"/>
  <c r="I67" i="64" s="1"/>
  <c r="D71" i="58"/>
  <c r="H67" i="64" s="1"/>
  <c r="N70" i="58"/>
  <c r="P66" i="64" s="1"/>
  <c r="BG66" i="64" s="1"/>
  <c r="M70" i="58"/>
  <c r="O66" i="64"/>
  <c r="AV66" i="64" s="1"/>
  <c r="L70" i="58"/>
  <c r="N66" i="64" s="1"/>
  <c r="K70" i="58"/>
  <c r="M66" i="64" s="1"/>
  <c r="J70" i="58"/>
  <c r="L66" i="64" s="1"/>
  <c r="I70" i="58"/>
  <c r="K66" i="64" s="1"/>
  <c r="H70" i="58"/>
  <c r="G70" i="58"/>
  <c r="F70" i="58"/>
  <c r="E70" i="58"/>
  <c r="I66" i="64" s="1"/>
  <c r="D70" i="58"/>
  <c r="H66" i="64" s="1"/>
  <c r="N69" i="58"/>
  <c r="P65" i="64" s="1"/>
  <c r="BG65" i="64" s="1"/>
  <c r="M69" i="58"/>
  <c r="O65" i="64" s="1"/>
  <c r="AV65" i="64"/>
  <c r="L69" i="58"/>
  <c r="N65" i="64" s="1"/>
  <c r="K69" i="58"/>
  <c r="M65" i="64" s="1"/>
  <c r="J69" i="58"/>
  <c r="L65" i="64" s="1"/>
  <c r="I69" i="58"/>
  <c r="K65" i="64" s="1"/>
  <c r="H69" i="58"/>
  <c r="G69" i="58"/>
  <c r="F69" i="58"/>
  <c r="E69" i="58"/>
  <c r="I65" i="64" s="1"/>
  <c r="D69" i="58"/>
  <c r="H65" i="64" s="1"/>
  <c r="N68" i="58"/>
  <c r="P64" i="64" s="1"/>
  <c r="BG64" i="64" s="1"/>
  <c r="M68" i="58"/>
  <c r="O64" i="64" s="1"/>
  <c r="AV64" i="64" s="1"/>
  <c r="L68" i="58"/>
  <c r="N64" i="64" s="1"/>
  <c r="K68" i="58"/>
  <c r="M64" i="64" s="1"/>
  <c r="J68" i="58"/>
  <c r="L64" i="64" s="1"/>
  <c r="I68" i="58"/>
  <c r="K64" i="64" s="1"/>
  <c r="H68" i="58"/>
  <c r="F64" i="64" s="1"/>
  <c r="E34" i="69" s="1"/>
  <c r="G68" i="58"/>
  <c r="F68" i="58"/>
  <c r="J64" i="64" s="1"/>
  <c r="E68" i="58"/>
  <c r="I64" i="64" s="1"/>
  <c r="D68" i="58"/>
  <c r="H64" i="64" s="1"/>
  <c r="N67" i="58"/>
  <c r="P63" i="64" s="1"/>
  <c r="BG63" i="64" s="1"/>
  <c r="M67" i="58"/>
  <c r="O63" i="64" s="1"/>
  <c r="AV63" i="64" s="1"/>
  <c r="L67" i="58"/>
  <c r="N63" i="64" s="1"/>
  <c r="K67" i="58"/>
  <c r="M63" i="64" s="1"/>
  <c r="J67" i="58"/>
  <c r="L63" i="64" s="1"/>
  <c r="I67" i="58"/>
  <c r="K63" i="64" s="1"/>
  <c r="H67" i="58"/>
  <c r="G67" i="58"/>
  <c r="F67" i="58"/>
  <c r="E67" i="58"/>
  <c r="I63" i="64" s="1"/>
  <c r="D67" i="58"/>
  <c r="H63" i="64" s="1"/>
  <c r="N66" i="58"/>
  <c r="P62" i="64" s="1"/>
  <c r="BG62" i="64" s="1"/>
  <c r="M66" i="58"/>
  <c r="O62" i="64" s="1"/>
  <c r="AV62" i="64" s="1"/>
  <c r="L66" i="58"/>
  <c r="N62" i="64" s="1"/>
  <c r="K66" i="58"/>
  <c r="M62" i="64" s="1"/>
  <c r="J66" i="58"/>
  <c r="L62" i="64" s="1"/>
  <c r="I66" i="58"/>
  <c r="K62" i="64" s="1"/>
  <c r="H66" i="58"/>
  <c r="G66" i="58"/>
  <c r="F66" i="58"/>
  <c r="AA66" i="58" s="1"/>
  <c r="E66" i="58"/>
  <c r="I62" i="64" s="1"/>
  <c r="D66" i="58"/>
  <c r="H62" i="64" s="1"/>
  <c r="N65" i="58"/>
  <c r="P61" i="64" s="1"/>
  <c r="BG61" i="64" s="1"/>
  <c r="M65" i="58"/>
  <c r="O61" i="64" s="1"/>
  <c r="AV61" i="64" s="1"/>
  <c r="L65" i="58"/>
  <c r="N61" i="64" s="1"/>
  <c r="K65" i="58"/>
  <c r="M61" i="64" s="1"/>
  <c r="J65" i="58"/>
  <c r="L61" i="64" s="1"/>
  <c r="I65" i="58"/>
  <c r="K61" i="64" s="1"/>
  <c r="H65" i="58"/>
  <c r="G65" i="58"/>
  <c r="F65" i="58"/>
  <c r="E65" i="58"/>
  <c r="I61" i="64" s="1"/>
  <c r="D65" i="58"/>
  <c r="H61" i="64" s="1"/>
  <c r="N64" i="58"/>
  <c r="P60" i="64" s="1"/>
  <c r="BG60" i="64" s="1"/>
  <c r="M64" i="58"/>
  <c r="O60" i="64" s="1"/>
  <c r="AV60" i="64" s="1"/>
  <c r="L64" i="58"/>
  <c r="N60" i="64" s="1"/>
  <c r="K64" i="58"/>
  <c r="M60" i="64" s="1"/>
  <c r="J64" i="58"/>
  <c r="L60" i="64" s="1"/>
  <c r="I64" i="58"/>
  <c r="K60" i="64" s="1"/>
  <c r="H64" i="58"/>
  <c r="G64" i="58"/>
  <c r="F64" i="58"/>
  <c r="E64" i="58"/>
  <c r="I60" i="64" s="1"/>
  <c r="D64" i="58"/>
  <c r="H60" i="64" s="1"/>
  <c r="N63" i="58"/>
  <c r="P59" i="64" s="1"/>
  <c r="BG59" i="64" s="1"/>
  <c r="M63" i="58"/>
  <c r="O59" i="64" s="1"/>
  <c r="AV59" i="64" s="1"/>
  <c r="L63" i="58"/>
  <c r="N59" i="64" s="1"/>
  <c r="K63" i="58"/>
  <c r="M59" i="64" s="1"/>
  <c r="J63" i="58"/>
  <c r="L59" i="64" s="1"/>
  <c r="I63" i="58"/>
  <c r="K59" i="64" s="1"/>
  <c r="H63" i="58"/>
  <c r="F59" i="64" s="1"/>
  <c r="E32" i="69" s="1"/>
  <c r="G63" i="58"/>
  <c r="F63" i="58"/>
  <c r="E63" i="58"/>
  <c r="I59" i="64" s="1"/>
  <c r="D63" i="58"/>
  <c r="H59" i="64" s="1"/>
  <c r="N62" i="58"/>
  <c r="P58" i="64" s="1"/>
  <c r="BG58" i="64" s="1"/>
  <c r="M62" i="58"/>
  <c r="O58" i="64" s="1"/>
  <c r="AV58" i="64" s="1"/>
  <c r="L62" i="58"/>
  <c r="N58" i="64" s="1"/>
  <c r="K62" i="58"/>
  <c r="M58" i="64" s="1"/>
  <c r="J62" i="58"/>
  <c r="L58" i="64" s="1"/>
  <c r="I62" i="58"/>
  <c r="K58" i="64" s="1"/>
  <c r="H62" i="58"/>
  <c r="F58" i="64" s="1"/>
  <c r="E31" i="69" s="1"/>
  <c r="G62" i="58"/>
  <c r="F62" i="58"/>
  <c r="E62" i="58"/>
  <c r="I58" i="64" s="1"/>
  <c r="D62" i="58"/>
  <c r="H58" i="64" s="1"/>
  <c r="N61" i="58"/>
  <c r="P57" i="64" s="1"/>
  <c r="BG57" i="64" s="1"/>
  <c r="M61" i="58"/>
  <c r="O57" i="64" s="1"/>
  <c r="AV57" i="64" s="1"/>
  <c r="L61" i="58"/>
  <c r="N57" i="64" s="1"/>
  <c r="K61" i="58"/>
  <c r="M57" i="64" s="1"/>
  <c r="J61" i="58"/>
  <c r="L57" i="64" s="1"/>
  <c r="I61" i="58"/>
  <c r="K57" i="64" s="1"/>
  <c r="H61" i="58"/>
  <c r="F57" i="64" s="1"/>
  <c r="E30" i="69" s="1"/>
  <c r="G61" i="58"/>
  <c r="F61" i="58"/>
  <c r="E61" i="58"/>
  <c r="I57" i="64" s="1"/>
  <c r="D61" i="58"/>
  <c r="H57" i="64" s="1"/>
  <c r="N60" i="58"/>
  <c r="P56" i="64" s="1"/>
  <c r="BG56" i="64" s="1"/>
  <c r="M60" i="58"/>
  <c r="O56" i="64" s="1"/>
  <c r="AV56" i="64" s="1"/>
  <c r="L60" i="58"/>
  <c r="N56" i="64" s="1"/>
  <c r="K60" i="58"/>
  <c r="M56" i="64" s="1"/>
  <c r="J60" i="58"/>
  <c r="L56" i="64" s="1"/>
  <c r="I60" i="58"/>
  <c r="K56" i="64" s="1"/>
  <c r="H60" i="58"/>
  <c r="G60" i="58"/>
  <c r="F60" i="58"/>
  <c r="J56" i="64" s="1"/>
  <c r="E60" i="58"/>
  <c r="I56" i="64" s="1"/>
  <c r="D60" i="58"/>
  <c r="H56" i="64" s="1"/>
  <c r="N58" i="58"/>
  <c r="P54" i="64" s="1"/>
  <c r="BG54" i="64" s="1"/>
  <c r="M58" i="58"/>
  <c r="O54" i="64" s="1"/>
  <c r="AV54" i="64" s="1"/>
  <c r="L58" i="58"/>
  <c r="N54" i="64" s="1"/>
  <c r="K58" i="58"/>
  <c r="M54" i="64"/>
  <c r="J58" i="58"/>
  <c r="L54" i="64" s="1"/>
  <c r="I58" i="58"/>
  <c r="K54" i="64" s="1"/>
  <c r="H58" i="58"/>
  <c r="G58" i="58"/>
  <c r="F58" i="58"/>
  <c r="J54" i="64" s="1"/>
  <c r="E58" i="58"/>
  <c r="I54" i="64" s="1"/>
  <c r="D58" i="58"/>
  <c r="H54" i="64" s="1"/>
  <c r="N59" i="58"/>
  <c r="P55" i="64" s="1"/>
  <c r="BG55" i="64" s="1"/>
  <c r="M59" i="58"/>
  <c r="O55" i="64" s="1"/>
  <c r="AV55" i="64" s="1"/>
  <c r="L59" i="58"/>
  <c r="N55" i="64" s="1"/>
  <c r="K59" i="58"/>
  <c r="M55" i="64" s="1"/>
  <c r="J59" i="58"/>
  <c r="L55" i="64" s="1"/>
  <c r="I59" i="58"/>
  <c r="K55" i="64" s="1"/>
  <c r="H59" i="58"/>
  <c r="G59" i="58"/>
  <c r="F59" i="58"/>
  <c r="E59" i="58"/>
  <c r="I55" i="64" s="1"/>
  <c r="D59" i="58"/>
  <c r="H55" i="64" s="1"/>
  <c r="N57" i="58"/>
  <c r="P53" i="64" s="1"/>
  <c r="BG53" i="64" s="1"/>
  <c r="M57" i="58"/>
  <c r="O53" i="64" s="1"/>
  <c r="AV53" i="64" s="1"/>
  <c r="L57" i="58"/>
  <c r="N53" i="64" s="1"/>
  <c r="K57" i="58"/>
  <c r="M53" i="64" s="1"/>
  <c r="J57" i="58"/>
  <c r="L53" i="64" s="1"/>
  <c r="I57" i="58"/>
  <c r="K53" i="64" s="1"/>
  <c r="H57" i="58"/>
  <c r="G57" i="58"/>
  <c r="F57" i="58"/>
  <c r="J53" i="64" s="1"/>
  <c r="E57" i="58"/>
  <c r="I53" i="64" s="1"/>
  <c r="D57" i="58"/>
  <c r="H53" i="64"/>
  <c r="N56" i="58"/>
  <c r="P52" i="64" s="1"/>
  <c r="BG52" i="64" s="1"/>
  <c r="M56" i="58"/>
  <c r="O52" i="64" s="1"/>
  <c r="AV52" i="64" s="1"/>
  <c r="L56" i="58"/>
  <c r="N52" i="64" s="1"/>
  <c r="K56" i="58"/>
  <c r="M52" i="64" s="1"/>
  <c r="J56" i="58"/>
  <c r="L52" i="64" s="1"/>
  <c r="I56" i="58"/>
  <c r="K52" i="64" s="1"/>
  <c r="H56" i="58"/>
  <c r="G56" i="58"/>
  <c r="F56" i="58"/>
  <c r="J52" i="64" s="1"/>
  <c r="E56" i="58"/>
  <c r="I52" i="64" s="1"/>
  <c r="D56" i="58"/>
  <c r="H52" i="64" s="1"/>
  <c r="N55" i="58"/>
  <c r="P51" i="64" s="1"/>
  <c r="BG51" i="64" s="1"/>
  <c r="M55" i="58"/>
  <c r="O51" i="64" s="1"/>
  <c r="AV51" i="64" s="1"/>
  <c r="L55" i="58"/>
  <c r="N51" i="64" s="1"/>
  <c r="K55" i="58"/>
  <c r="M51" i="64" s="1"/>
  <c r="J55" i="58"/>
  <c r="L51" i="64" s="1"/>
  <c r="I55" i="58"/>
  <c r="K51" i="64" s="1"/>
  <c r="H55" i="58"/>
  <c r="G55" i="58"/>
  <c r="F55" i="58"/>
  <c r="AA55" i="58" s="1"/>
  <c r="J51" i="64"/>
  <c r="BM51" i="64" s="1"/>
  <c r="E55" i="58"/>
  <c r="I51" i="64" s="1"/>
  <c r="D55" i="58"/>
  <c r="H51" i="64" s="1"/>
  <c r="J54" i="58"/>
  <c r="L50" i="64" s="1"/>
  <c r="I54" i="58"/>
  <c r="K50" i="64" s="1"/>
  <c r="H54" i="58"/>
  <c r="G54" i="58"/>
  <c r="F54" i="58"/>
  <c r="J50" i="64" s="1"/>
  <c r="E54" i="58"/>
  <c r="I50" i="64" s="1"/>
  <c r="D54" i="58"/>
  <c r="H50" i="64" s="1"/>
  <c r="J53" i="58"/>
  <c r="L49" i="64" s="1"/>
  <c r="I53" i="58"/>
  <c r="K49" i="64" s="1"/>
  <c r="H53" i="58"/>
  <c r="G53" i="58"/>
  <c r="F53" i="58"/>
  <c r="J49" i="64" s="1"/>
  <c r="E53" i="58"/>
  <c r="I49" i="64" s="1"/>
  <c r="D53" i="58"/>
  <c r="H49" i="64" s="1"/>
  <c r="J52" i="58"/>
  <c r="L48" i="64" s="1"/>
  <c r="I52" i="58"/>
  <c r="K48" i="64" s="1"/>
  <c r="H52" i="58"/>
  <c r="G52" i="58"/>
  <c r="F52" i="58"/>
  <c r="J48" i="64"/>
  <c r="E52" i="58"/>
  <c r="I48" i="64" s="1"/>
  <c r="D52" i="58"/>
  <c r="H48" i="64" s="1"/>
  <c r="J51" i="58"/>
  <c r="L47" i="64" s="1"/>
  <c r="I51" i="58"/>
  <c r="K47" i="64" s="1"/>
  <c r="H51" i="58"/>
  <c r="G51" i="58"/>
  <c r="F51" i="58"/>
  <c r="J47" i="64" s="1"/>
  <c r="E51" i="58"/>
  <c r="I47" i="64" s="1"/>
  <c r="D51" i="58"/>
  <c r="H47" i="64" s="1"/>
  <c r="J50" i="58"/>
  <c r="L46" i="64" s="1"/>
  <c r="I50" i="58"/>
  <c r="K46" i="64" s="1"/>
  <c r="H50" i="58"/>
  <c r="G50" i="58"/>
  <c r="F50" i="58"/>
  <c r="J46" i="64" s="1"/>
  <c r="E50" i="58"/>
  <c r="I46" i="64" s="1"/>
  <c r="D50" i="58"/>
  <c r="H46" i="64" s="1"/>
  <c r="J49" i="58"/>
  <c r="L45" i="64" s="1"/>
  <c r="I49" i="58"/>
  <c r="K45" i="64" s="1"/>
  <c r="H49" i="58"/>
  <c r="G49" i="58"/>
  <c r="F49" i="58"/>
  <c r="J45" i="64"/>
  <c r="E49" i="58"/>
  <c r="I45" i="64" s="1"/>
  <c r="D49" i="58"/>
  <c r="H45" i="64" s="1"/>
  <c r="K49" i="58"/>
  <c r="M45" i="64" s="1"/>
  <c r="L49" i="58"/>
  <c r="N45" i="64" s="1"/>
  <c r="M49" i="58"/>
  <c r="O45" i="64" s="1"/>
  <c r="AV45" i="64" s="1"/>
  <c r="N49" i="58"/>
  <c r="P45" i="64" s="1"/>
  <c r="BG45" i="64" s="1"/>
  <c r="K50" i="58"/>
  <c r="M46" i="64" s="1"/>
  <c r="L50" i="58"/>
  <c r="N46" i="64" s="1"/>
  <c r="M50" i="58"/>
  <c r="O46" i="64" s="1"/>
  <c r="AV46" i="64" s="1"/>
  <c r="N50" i="58"/>
  <c r="P46" i="64" s="1"/>
  <c r="BG46" i="64" s="1"/>
  <c r="K51" i="58"/>
  <c r="M47" i="64" s="1"/>
  <c r="L51" i="58"/>
  <c r="N47" i="64" s="1"/>
  <c r="M51" i="58"/>
  <c r="O47" i="64" s="1"/>
  <c r="AV47" i="64" s="1"/>
  <c r="N51" i="58"/>
  <c r="P47" i="64" s="1"/>
  <c r="BG47" i="64" s="1"/>
  <c r="K52" i="58"/>
  <c r="M48" i="64" s="1"/>
  <c r="L52" i="58"/>
  <c r="N48" i="64" s="1"/>
  <c r="M52" i="58"/>
  <c r="O48" i="64"/>
  <c r="AV48" i="64" s="1"/>
  <c r="N52" i="58"/>
  <c r="P48" i="64" s="1"/>
  <c r="BG48" i="64" s="1"/>
  <c r="K53" i="58"/>
  <c r="M49" i="64" s="1"/>
  <c r="L53" i="58"/>
  <c r="N49" i="64" s="1"/>
  <c r="M53" i="58"/>
  <c r="O49" i="64" s="1"/>
  <c r="AV49" i="64" s="1"/>
  <c r="N53" i="58"/>
  <c r="P49" i="64" s="1"/>
  <c r="BG49" i="64" s="1"/>
  <c r="K54" i="58"/>
  <c r="M50" i="64" s="1"/>
  <c r="L54" i="58"/>
  <c r="N50" i="64" s="1"/>
  <c r="M54" i="58"/>
  <c r="O50" i="64" s="1"/>
  <c r="AV50" i="64" s="1"/>
  <c r="N54" i="58"/>
  <c r="P50" i="64" s="1"/>
  <c r="BG50" i="64" s="1"/>
  <c r="L48" i="58"/>
  <c r="N44" i="64" s="1"/>
  <c r="M48" i="58"/>
  <c r="O44" i="64" s="1"/>
  <c r="AV44" i="64" s="1"/>
  <c r="N48" i="58"/>
  <c r="P44" i="64" s="1"/>
  <c r="BG44" i="64" s="1"/>
  <c r="K48" i="58"/>
  <c r="M44" i="64" s="1"/>
  <c r="J48" i="58"/>
  <c r="L44" i="64" s="1"/>
  <c r="I48" i="58"/>
  <c r="K44" i="64" s="1"/>
  <c r="H48" i="58"/>
  <c r="G48" i="58"/>
  <c r="F48" i="58"/>
  <c r="J44" i="64" s="1"/>
  <c r="E48" i="58"/>
  <c r="I44" i="64" s="1"/>
  <c r="D48" i="58"/>
  <c r="H44" i="64" s="1"/>
  <c r="N47" i="58"/>
  <c r="P43" i="64" s="1"/>
  <c r="BG43" i="64" s="1"/>
  <c r="M47" i="58"/>
  <c r="O43" i="64" s="1"/>
  <c r="AV43" i="64"/>
  <c r="L47" i="58"/>
  <c r="N43" i="64" s="1"/>
  <c r="K47" i="58"/>
  <c r="M43" i="64" s="1"/>
  <c r="J47" i="58"/>
  <c r="L43" i="64" s="1"/>
  <c r="I47" i="58"/>
  <c r="K43" i="64" s="1"/>
  <c r="H47" i="58"/>
  <c r="G47" i="58"/>
  <c r="F47" i="58"/>
  <c r="J43" i="64" s="1"/>
  <c r="E47" i="58"/>
  <c r="I43" i="64" s="1"/>
  <c r="D47" i="58"/>
  <c r="H43" i="64" s="1"/>
  <c r="N46" i="58"/>
  <c r="P42" i="64" s="1"/>
  <c r="BG42" i="64" s="1"/>
  <c r="M46" i="58"/>
  <c r="O42" i="64" s="1"/>
  <c r="AV42" i="64" s="1"/>
  <c r="L46" i="58"/>
  <c r="N42" i="64" s="1"/>
  <c r="K46" i="58"/>
  <c r="M42" i="64" s="1"/>
  <c r="J46" i="58"/>
  <c r="L42" i="64" s="1"/>
  <c r="I46" i="58"/>
  <c r="K42" i="64" s="1"/>
  <c r="H46" i="58"/>
  <c r="G46" i="58"/>
  <c r="F46" i="58"/>
  <c r="J42" i="64" s="1"/>
  <c r="E46" i="58"/>
  <c r="I42" i="64"/>
  <c r="D46" i="58"/>
  <c r="H42" i="64" s="1"/>
  <c r="N45" i="58"/>
  <c r="P41" i="64" s="1"/>
  <c r="BG41" i="64" s="1"/>
  <c r="M45" i="58"/>
  <c r="O41" i="64" s="1"/>
  <c r="AV41" i="64" s="1"/>
  <c r="L45" i="58"/>
  <c r="N41" i="64" s="1"/>
  <c r="K45" i="58"/>
  <c r="M41" i="64" s="1"/>
  <c r="J45" i="58"/>
  <c r="L41" i="64" s="1"/>
  <c r="I45" i="58"/>
  <c r="K41" i="64" s="1"/>
  <c r="H45" i="58"/>
  <c r="G45" i="58"/>
  <c r="F45" i="58"/>
  <c r="J41" i="64" s="1"/>
  <c r="E45" i="58"/>
  <c r="I41" i="64" s="1"/>
  <c r="D45" i="58"/>
  <c r="H41" i="64" s="1"/>
  <c r="N44" i="58"/>
  <c r="P40" i="64"/>
  <c r="BG40" i="64" s="1"/>
  <c r="M44" i="58"/>
  <c r="O40" i="64" s="1"/>
  <c r="AV40" i="64" s="1"/>
  <c r="L44" i="58"/>
  <c r="N40" i="64" s="1"/>
  <c r="K44" i="58"/>
  <c r="M40" i="64" s="1"/>
  <c r="J44" i="58"/>
  <c r="L40" i="64" s="1"/>
  <c r="I44" i="58"/>
  <c r="K40" i="64" s="1"/>
  <c r="H44" i="58"/>
  <c r="G44" i="58"/>
  <c r="F44" i="58"/>
  <c r="J40" i="64" s="1"/>
  <c r="E44" i="58"/>
  <c r="I40" i="64" s="1"/>
  <c r="D44" i="58"/>
  <c r="H40" i="64" s="1"/>
  <c r="N43" i="58"/>
  <c r="P39" i="64" s="1"/>
  <c r="BG39" i="64" s="1"/>
  <c r="M43" i="58"/>
  <c r="O39" i="64" s="1"/>
  <c r="AV39" i="64" s="1"/>
  <c r="L43" i="58"/>
  <c r="N39" i="64" s="1"/>
  <c r="K43" i="58"/>
  <c r="M39" i="64" s="1"/>
  <c r="J43" i="58"/>
  <c r="L39" i="64" s="1"/>
  <c r="I43" i="58"/>
  <c r="K39" i="64" s="1"/>
  <c r="H43" i="58"/>
  <c r="G43" i="58"/>
  <c r="F43" i="58"/>
  <c r="E43" i="58"/>
  <c r="I39" i="64" s="1"/>
  <c r="D43" i="58"/>
  <c r="H39" i="64" s="1"/>
  <c r="N42" i="58"/>
  <c r="P38" i="64" s="1"/>
  <c r="BG38" i="64" s="1"/>
  <c r="M42" i="58"/>
  <c r="O38" i="64" s="1"/>
  <c r="AV38" i="64" s="1"/>
  <c r="L42" i="58"/>
  <c r="N38" i="64" s="1"/>
  <c r="K42" i="58"/>
  <c r="M38" i="64" s="1"/>
  <c r="J42" i="58"/>
  <c r="L38" i="64" s="1"/>
  <c r="I42" i="58"/>
  <c r="K38" i="64" s="1"/>
  <c r="H42" i="58"/>
  <c r="G42" i="58"/>
  <c r="F42" i="58"/>
  <c r="J38" i="64" s="1"/>
  <c r="E42" i="58"/>
  <c r="I38" i="64" s="1"/>
  <c r="D42" i="58"/>
  <c r="H38" i="64" s="1"/>
  <c r="N41" i="58"/>
  <c r="P37" i="64" s="1"/>
  <c r="BG37" i="64" s="1"/>
  <c r="M41" i="58"/>
  <c r="O37" i="64" s="1"/>
  <c r="AV37" i="64" s="1"/>
  <c r="L41" i="58"/>
  <c r="N37" i="64" s="1"/>
  <c r="K41" i="58"/>
  <c r="M37" i="64" s="1"/>
  <c r="J41" i="58"/>
  <c r="L37" i="64" s="1"/>
  <c r="I41" i="58"/>
  <c r="K37" i="64" s="1"/>
  <c r="H41" i="58"/>
  <c r="G41" i="58"/>
  <c r="F41" i="58"/>
  <c r="E41" i="58"/>
  <c r="I37" i="64" s="1"/>
  <c r="D41" i="58"/>
  <c r="H37" i="64" s="1"/>
  <c r="N40" i="58"/>
  <c r="P36" i="64" s="1"/>
  <c r="BG36" i="64" s="1"/>
  <c r="M40" i="58"/>
  <c r="O36" i="64" s="1"/>
  <c r="AV36" i="64" s="1"/>
  <c r="L40" i="58"/>
  <c r="N36" i="64" s="1"/>
  <c r="K40" i="58"/>
  <c r="M36" i="64" s="1"/>
  <c r="J40" i="58"/>
  <c r="L36" i="64" s="1"/>
  <c r="I40" i="58"/>
  <c r="K36" i="64" s="1"/>
  <c r="H40" i="58"/>
  <c r="G40" i="58"/>
  <c r="F40" i="58"/>
  <c r="J36" i="64" s="1"/>
  <c r="E40" i="58"/>
  <c r="I36" i="64" s="1"/>
  <c r="D40" i="58"/>
  <c r="H36" i="64" s="1"/>
  <c r="N39" i="58"/>
  <c r="P35" i="64" s="1"/>
  <c r="BG35" i="64" s="1"/>
  <c r="M39" i="58"/>
  <c r="O35" i="64" s="1"/>
  <c r="AV35" i="64" s="1"/>
  <c r="L39" i="58"/>
  <c r="N35" i="64" s="1"/>
  <c r="K39" i="58"/>
  <c r="M35" i="64" s="1"/>
  <c r="J39" i="58"/>
  <c r="L35" i="64" s="1"/>
  <c r="I39" i="58"/>
  <c r="K35" i="64"/>
  <c r="H39" i="58"/>
  <c r="G39" i="58"/>
  <c r="F39" i="58"/>
  <c r="J35" i="64" s="1"/>
  <c r="D39" i="58"/>
  <c r="H35" i="64"/>
  <c r="N38" i="58"/>
  <c r="P34" i="64" s="1"/>
  <c r="BG34" i="64" s="1"/>
  <c r="M38" i="58"/>
  <c r="O34" i="64" s="1"/>
  <c r="AV34" i="64" s="1"/>
  <c r="L38" i="58"/>
  <c r="N34" i="64" s="1"/>
  <c r="K38" i="58"/>
  <c r="M34" i="64" s="1"/>
  <c r="J38" i="58"/>
  <c r="L34" i="64" s="1"/>
  <c r="I38" i="58"/>
  <c r="K34" i="64" s="1"/>
  <c r="H38" i="58"/>
  <c r="G38" i="58"/>
  <c r="F38" i="58"/>
  <c r="J34" i="64" s="1"/>
  <c r="D38" i="58"/>
  <c r="H34" i="64" s="1"/>
  <c r="N37" i="58"/>
  <c r="P33" i="64" s="1"/>
  <c r="BG33" i="64" s="1"/>
  <c r="M37" i="58"/>
  <c r="O33" i="64" s="1"/>
  <c r="AV33" i="64" s="1"/>
  <c r="L37" i="58"/>
  <c r="N33" i="64" s="1"/>
  <c r="K37" i="58"/>
  <c r="M33" i="64" s="1"/>
  <c r="J37" i="58"/>
  <c r="L33" i="64" s="1"/>
  <c r="I37" i="58"/>
  <c r="K33" i="64" s="1"/>
  <c r="H37" i="58"/>
  <c r="G37" i="58"/>
  <c r="F37" i="58"/>
  <c r="J33" i="64" s="1"/>
  <c r="D37" i="58"/>
  <c r="H33" i="64" s="1"/>
  <c r="N36" i="58"/>
  <c r="P32" i="64" s="1"/>
  <c r="BG32" i="64" s="1"/>
  <c r="M36" i="58"/>
  <c r="O32" i="64" s="1"/>
  <c r="AV32" i="64" s="1"/>
  <c r="L36" i="58"/>
  <c r="N32" i="64" s="1"/>
  <c r="K36" i="58"/>
  <c r="M32" i="64" s="1"/>
  <c r="J36" i="58"/>
  <c r="L32" i="64" s="1"/>
  <c r="I36" i="58"/>
  <c r="K32" i="64" s="1"/>
  <c r="H36" i="58"/>
  <c r="G36" i="58"/>
  <c r="F36" i="58"/>
  <c r="J32" i="64" s="1"/>
  <c r="D36" i="58"/>
  <c r="H32" i="64" s="1"/>
  <c r="N35" i="58"/>
  <c r="P31" i="64" s="1"/>
  <c r="BG31" i="64" s="1"/>
  <c r="M35" i="58"/>
  <c r="O31" i="64" s="1"/>
  <c r="AV31" i="64" s="1"/>
  <c r="L35" i="58"/>
  <c r="N31" i="64" s="1"/>
  <c r="K35" i="58"/>
  <c r="M31" i="64" s="1"/>
  <c r="J35" i="58"/>
  <c r="L31" i="64" s="1"/>
  <c r="I35" i="58"/>
  <c r="K31" i="64" s="1"/>
  <c r="H35" i="58"/>
  <c r="G35" i="58"/>
  <c r="F35" i="58"/>
  <c r="J31" i="64" s="1"/>
  <c r="D35" i="58"/>
  <c r="H31" i="64" s="1"/>
  <c r="N34" i="58"/>
  <c r="P30" i="64" s="1"/>
  <c r="BG30" i="64" s="1"/>
  <c r="M34" i="58"/>
  <c r="O30" i="64" s="1"/>
  <c r="AV30" i="64" s="1"/>
  <c r="L34" i="58"/>
  <c r="N30" i="64" s="1"/>
  <c r="K34" i="58"/>
  <c r="M30" i="64" s="1"/>
  <c r="J34" i="58"/>
  <c r="L30" i="64" s="1"/>
  <c r="I34" i="58"/>
  <c r="K30" i="64" s="1"/>
  <c r="H34" i="58"/>
  <c r="G34" i="58"/>
  <c r="F34" i="58"/>
  <c r="J30" i="64" s="1"/>
  <c r="D34" i="58"/>
  <c r="H30" i="64" s="1"/>
  <c r="N33" i="58"/>
  <c r="P29" i="64" s="1"/>
  <c r="BG29" i="64" s="1"/>
  <c r="M33" i="58"/>
  <c r="O29" i="64" s="1"/>
  <c r="AV29" i="64" s="1"/>
  <c r="L33" i="58"/>
  <c r="N29" i="64" s="1"/>
  <c r="K33" i="58"/>
  <c r="M29" i="64" s="1"/>
  <c r="J33" i="58"/>
  <c r="L29" i="64" s="1"/>
  <c r="I33" i="58"/>
  <c r="K29" i="64" s="1"/>
  <c r="H33" i="58"/>
  <c r="G33" i="58"/>
  <c r="F33" i="58"/>
  <c r="J29" i="64" s="1"/>
  <c r="D33" i="58"/>
  <c r="H29" i="64" s="1"/>
  <c r="K14" i="58"/>
  <c r="M10" i="64" s="1"/>
  <c r="L14" i="58"/>
  <c r="N10" i="64"/>
  <c r="M14" i="58"/>
  <c r="O10" i="64" s="1"/>
  <c r="AV10" i="64" s="1"/>
  <c r="N14" i="58"/>
  <c r="P10" i="64" s="1"/>
  <c r="BG10" i="64" s="1"/>
  <c r="K15" i="58"/>
  <c r="M11" i="64" s="1"/>
  <c r="L15" i="58"/>
  <c r="N11" i="64" s="1"/>
  <c r="M15" i="58"/>
  <c r="O11" i="64" s="1"/>
  <c r="AV11" i="64" s="1"/>
  <c r="N15" i="58"/>
  <c r="P11" i="64" s="1"/>
  <c r="BG11" i="64" s="1"/>
  <c r="K16" i="58"/>
  <c r="M12" i="64" s="1"/>
  <c r="L16" i="58"/>
  <c r="N12" i="64"/>
  <c r="M16" i="58"/>
  <c r="O12" i="64"/>
  <c r="AV12" i="64" s="1"/>
  <c r="N16" i="58"/>
  <c r="P12" i="64" s="1"/>
  <c r="BG12" i="64" s="1"/>
  <c r="K17" i="58"/>
  <c r="M13" i="64" s="1"/>
  <c r="L17" i="58"/>
  <c r="N13" i="64" s="1"/>
  <c r="M17" i="58"/>
  <c r="O13" i="64" s="1"/>
  <c r="AV13" i="64" s="1"/>
  <c r="N17" i="58"/>
  <c r="P13" i="64" s="1"/>
  <c r="BG13" i="64" s="1"/>
  <c r="K18" i="58"/>
  <c r="M14" i="64" s="1"/>
  <c r="L18" i="58"/>
  <c r="N14" i="64" s="1"/>
  <c r="M18" i="58"/>
  <c r="O14" i="64" s="1"/>
  <c r="AV14" i="64" s="1"/>
  <c r="N18" i="58"/>
  <c r="P14" i="64" s="1"/>
  <c r="BG14" i="64" s="1"/>
  <c r="K19" i="58"/>
  <c r="M19" i="64" s="1"/>
  <c r="L19" i="58"/>
  <c r="N19" i="64" s="1"/>
  <c r="M19" i="58"/>
  <c r="O19" i="64" s="1"/>
  <c r="AV19" i="64" s="1"/>
  <c r="N19" i="58"/>
  <c r="P19" i="64" s="1"/>
  <c r="BG19" i="64" s="1"/>
  <c r="K20" i="58"/>
  <c r="M15" i="64" s="1"/>
  <c r="L20" i="58"/>
  <c r="N15" i="64" s="1"/>
  <c r="M20" i="58"/>
  <c r="O15" i="64" s="1"/>
  <c r="AV15" i="64" s="1"/>
  <c r="N20" i="58"/>
  <c r="P15" i="64" s="1"/>
  <c r="BG15" i="64" s="1"/>
  <c r="K21" i="58"/>
  <c r="M16" i="64" s="1"/>
  <c r="L21" i="58"/>
  <c r="N16" i="64" s="1"/>
  <c r="M21" i="58"/>
  <c r="O16" i="64" s="1"/>
  <c r="AV16" i="64" s="1"/>
  <c r="N21" i="58"/>
  <c r="P16" i="64" s="1"/>
  <c r="BG16" i="64" s="1"/>
  <c r="K22" i="58"/>
  <c r="M17" i="64" s="1"/>
  <c r="L22" i="58"/>
  <c r="N17" i="64" s="1"/>
  <c r="M22" i="58"/>
  <c r="O17" i="64" s="1"/>
  <c r="AV17" i="64" s="1"/>
  <c r="N22" i="58"/>
  <c r="P17" i="64" s="1"/>
  <c r="BG17" i="64" s="1"/>
  <c r="K23" i="58"/>
  <c r="M18" i="64" s="1"/>
  <c r="L23" i="58"/>
  <c r="N18" i="64" s="1"/>
  <c r="M23" i="58"/>
  <c r="O18" i="64" s="1"/>
  <c r="AV18" i="64" s="1"/>
  <c r="N23" i="58"/>
  <c r="P18" i="64" s="1"/>
  <c r="BG18" i="64" s="1"/>
  <c r="K24" i="58"/>
  <c r="M20" i="64"/>
  <c r="L24" i="58"/>
  <c r="N20" i="64" s="1"/>
  <c r="M24" i="58"/>
  <c r="O20" i="64" s="1"/>
  <c r="AV20" i="64" s="1"/>
  <c r="N24" i="58"/>
  <c r="P20" i="64" s="1"/>
  <c r="BG20" i="64" s="1"/>
  <c r="K25" i="58"/>
  <c r="M21" i="64" s="1"/>
  <c r="L25" i="58"/>
  <c r="N21" i="64" s="1"/>
  <c r="M25" i="58"/>
  <c r="O21" i="64" s="1"/>
  <c r="AV21" i="64" s="1"/>
  <c r="N25" i="58"/>
  <c r="P21" i="64" s="1"/>
  <c r="BG21" i="64" s="1"/>
  <c r="K26" i="58"/>
  <c r="M22" i="64" s="1"/>
  <c r="L26" i="58"/>
  <c r="N22" i="64" s="1"/>
  <c r="M26" i="58"/>
  <c r="O22" i="64" s="1"/>
  <c r="AV22" i="64" s="1"/>
  <c r="N26" i="58"/>
  <c r="P22" i="64" s="1"/>
  <c r="BG22" i="64" s="1"/>
  <c r="K27" i="58"/>
  <c r="M23" i="64" s="1"/>
  <c r="L27" i="58"/>
  <c r="N23" i="64"/>
  <c r="M27" i="58"/>
  <c r="O23" i="64" s="1"/>
  <c r="AV23" i="64" s="1"/>
  <c r="N27" i="58"/>
  <c r="P23" i="64" s="1"/>
  <c r="BG23" i="64" s="1"/>
  <c r="K28" i="58"/>
  <c r="M24" i="64" s="1"/>
  <c r="L28" i="58"/>
  <c r="N24" i="64" s="1"/>
  <c r="M28" i="58"/>
  <c r="O24" i="64" s="1"/>
  <c r="AV24" i="64" s="1"/>
  <c r="N28" i="58"/>
  <c r="P24" i="64" s="1"/>
  <c r="BG24" i="64" s="1"/>
  <c r="K29" i="58"/>
  <c r="M25" i="64" s="1"/>
  <c r="L29" i="58"/>
  <c r="N25" i="64" s="1"/>
  <c r="M29" i="58"/>
  <c r="O25" i="64"/>
  <c r="AV25" i="64" s="1"/>
  <c r="N29" i="58"/>
  <c r="P25" i="64" s="1"/>
  <c r="BG25" i="64" s="1"/>
  <c r="K30" i="58"/>
  <c r="M26" i="64"/>
  <c r="L30" i="58"/>
  <c r="N26" i="64" s="1"/>
  <c r="M30" i="58"/>
  <c r="O26" i="64" s="1"/>
  <c r="AV26" i="64" s="1"/>
  <c r="N30" i="58"/>
  <c r="P26" i="64" s="1"/>
  <c r="BG26" i="64" s="1"/>
  <c r="K31" i="58"/>
  <c r="M27" i="64"/>
  <c r="L31" i="58"/>
  <c r="N27" i="64" s="1"/>
  <c r="M31" i="58"/>
  <c r="O27" i="64" s="1"/>
  <c r="AV27" i="64" s="1"/>
  <c r="N31" i="58"/>
  <c r="P27" i="64" s="1"/>
  <c r="BG27" i="64" s="1"/>
  <c r="K32" i="58"/>
  <c r="M28" i="64" s="1"/>
  <c r="L32" i="58"/>
  <c r="N28" i="64"/>
  <c r="M32" i="58"/>
  <c r="O28" i="64" s="1"/>
  <c r="AV28" i="64" s="1"/>
  <c r="N32" i="58"/>
  <c r="P28" i="64" s="1"/>
  <c r="BG28" i="64" s="1"/>
  <c r="L13" i="58"/>
  <c r="N9" i="64" s="1"/>
  <c r="M13" i="58"/>
  <c r="O9" i="64" s="1"/>
  <c r="AV9" i="64" s="1"/>
  <c r="N13" i="58"/>
  <c r="P9" i="64" s="1"/>
  <c r="BG9" i="64" s="1"/>
  <c r="K13" i="58"/>
  <c r="M9" i="64"/>
  <c r="D30" i="58"/>
  <c r="H26" i="64" s="1"/>
  <c r="E30" i="58"/>
  <c r="I26" i="64" s="1"/>
  <c r="F30" i="58"/>
  <c r="J26" i="64"/>
  <c r="G30" i="58"/>
  <c r="H30" i="58"/>
  <c r="I30" i="58"/>
  <c r="K26" i="64" s="1"/>
  <c r="J30" i="58"/>
  <c r="L26" i="64" s="1"/>
  <c r="D31" i="58"/>
  <c r="H27" i="64"/>
  <c r="E31" i="58"/>
  <c r="I27" i="64"/>
  <c r="F31" i="58"/>
  <c r="J27" i="64" s="1"/>
  <c r="G31" i="58"/>
  <c r="H31" i="58"/>
  <c r="I31" i="58"/>
  <c r="K27" i="64" s="1"/>
  <c r="J31" i="58"/>
  <c r="L27" i="64" s="1"/>
  <c r="D32" i="58"/>
  <c r="H28" i="64" s="1"/>
  <c r="E32" i="58"/>
  <c r="I28" i="64" s="1"/>
  <c r="F32" i="58"/>
  <c r="J28" i="64" s="1"/>
  <c r="G32" i="58"/>
  <c r="H32" i="58"/>
  <c r="I32" i="58"/>
  <c r="K28" i="64" s="1"/>
  <c r="J32" i="58"/>
  <c r="L28" i="64" s="1"/>
  <c r="D27" i="58"/>
  <c r="H23" i="64" s="1"/>
  <c r="E27" i="58"/>
  <c r="I23" i="64" s="1"/>
  <c r="F27" i="58"/>
  <c r="J23" i="64" s="1"/>
  <c r="G27" i="58"/>
  <c r="H27" i="58"/>
  <c r="I27" i="58"/>
  <c r="K23" i="64" s="1"/>
  <c r="J27" i="58"/>
  <c r="L23" i="64" s="1"/>
  <c r="D28" i="58"/>
  <c r="H24" i="64" s="1"/>
  <c r="E28" i="58"/>
  <c r="I24" i="64" s="1"/>
  <c r="F28" i="58"/>
  <c r="J24" i="64"/>
  <c r="G28" i="58"/>
  <c r="H28" i="58"/>
  <c r="I28" i="58"/>
  <c r="K24" i="64" s="1"/>
  <c r="J28" i="58"/>
  <c r="L24" i="64" s="1"/>
  <c r="D29" i="58"/>
  <c r="H25" i="64" s="1"/>
  <c r="E29" i="58"/>
  <c r="I25" i="64" s="1"/>
  <c r="F29" i="58"/>
  <c r="J25" i="64" s="1"/>
  <c r="G29" i="58"/>
  <c r="H29" i="58"/>
  <c r="I29" i="58"/>
  <c r="K25" i="64" s="1"/>
  <c r="J29" i="58"/>
  <c r="L25" i="64" s="1"/>
  <c r="D25" i="58"/>
  <c r="H21" i="64" s="1"/>
  <c r="E25" i="58"/>
  <c r="I21" i="64" s="1"/>
  <c r="F25" i="58"/>
  <c r="J21" i="64" s="1"/>
  <c r="G25" i="58"/>
  <c r="H25" i="58"/>
  <c r="I25" i="58"/>
  <c r="K21" i="64" s="1"/>
  <c r="J25" i="58"/>
  <c r="L21" i="64" s="1"/>
  <c r="D26" i="58"/>
  <c r="H22" i="64" s="1"/>
  <c r="E26" i="58"/>
  <c r="I22" i="64" s="1"/>
  <c r="F26" i="58"/>
  <c r="J22" i="64" s="1"/>
  <c r="G26" i="58"/>
  <c r="H26" i="58"/>
  <c r="I26" i="58"/>
  <c r="K22" i="64" s="1"/>
  <c r="J26" i="58"/>
  <c r="L22" i="64" s="1"/>
  <c r="D24" i="58"/>
  <c r="H20" i="64" s="1"/>
  <c r="E24" i="58"/>
  <c r="I20" i="64" s="1"/>
  <c r="F24" i="58"/>
  <c r="J20" i="64" s="1"/>
  <c r="G24" i="58"/>
  <c r="H24" i="58"/>
  <c r="I24" i="58"/>
  <c r="K20" i="64" s="1"/>
  <c r="J24" i="58"/>
  <c r="L20" i="64" s="1"/>
  <c r="D21" i="58"/>
  <c r="H16" i="64" s="1"/>
  <c r="E21" i="58"/>
  <c r="I16" i="64"/>
  <c r="F21" i="58"/>
  <c r="J16" i="64" s="1"/>
  <c r="G21" i="58"/>
  <c r="H21" i="58"/>
  <c r="I21" i="58"/>
  <c r="K16" i="64" s="1"/>
  <c r="J21" i="58"/>
  <c r="L16" i="64" s="1"/>
  <c r="D22" i="58"/>
  <c r="H17" i="64" s="1"/>
  <c r="E22" i="58"/>
  <c r="I17" i="64" s="1"/>
  <c r="F22" i="58"/>
  <c r="J17" i="64" s="1"/>
  <c r="G22" i="58"/>
  <c r="H22" i="58"/>
  <c r="I22" i="58"/>
  <c r="K17" i="64" s="1"/>
  <c r="J22" i="58"/>
  <c r="L17" i="64" s="1"/>
  <c r="D23" i="58"/>
  <c r="H18" i="64"/>
  <c r="E23" i="58"/>
  <c r="I18" i="64"/>
  <c r="F23" i="58"/>
  <c r="J18" i="64" s="1"/>
  <c r="G23" i="58"/>
  <c r="H23" i="58"/>
  <c r="I23" i="58"/>
  <c r="K18" i="64"/>
  <c r="J23" i="58"/>
  <c r="L18" i="64" s="1"/>
  <c r="D20" i="58"/>
  <c r="H15" i="64" s="1"/>
  <c r="E20" i="58"/>
  <c r="I15" i="64" s="1"/>
  <c r="F20" i="58"/>
  <c r="J15" i="64" s="1"/>
  <c r="G20" i="58"/>
  <c r="H20" i="58"/>
  <c r="I20" i="58"/>
  <c r="K15" i="64" s="1"/>
  <c r="J20" i="58"/>
  <c r="L15" i="64" s="1"/>
  <c r="D18" i="58"/>
  <c r="H14" i="64" s="1"/>
  <c r="E18" i="58"/>
  <c r="I14" i="64" s="1"/>
  <c r="F18" i="58"/>
  <c r="J14" i="64" s="1"/>
  <c r="G18" i="58"/>
  <c r="H18" i="58"/>
  <c r="I18" i="58"/>
  <c r="K14" i="64" s="1"/>
  <c r="J18" i="58"/>
  <c r="L14" i="64" s="1"/>
  <c r="D19" i="58"/>
  <c r="H19" i="64" s="1"/>
  <c r="E19" i="58"/>
  <c r="I19" i="64" s="1"/>
  <c r="F19" i="58"/>
  <c r="J19" i="64"/>
  <c r="G19" i="58"/>
  <c r="H19" i="58"/>
  <c r="I19" i="58"/>
  <c r="K19" i="64" s="1"/>
  <c r="J19" i="58"/>
  <c r="L19" i="64" s="1"/>
  <c r="J17" i="58"/>
  <c r="L13" i="64"/>
  <c r="I17" i="58"/>
  <c r="K13" i="64"/>
  <c r="H17" i="58"/>
  <c r="G17" i="58"/>
  <c r="F17" i="58"/>
  <c r="J13" i="64" s="1"/>
  <c r="E17" i="58"/>
  <c r="I13" i="64" s="1"/>
  <c r="D17" i="58"/>
  <c r="H13" i="64" s="1"/>
  <c r="J16" i="58"/>
  <c r="L12" i="64" s="1"/>
  <c r="I16" i="58"/>
  <c r="K12" i="64" s="1"/>
  <c r="H16" i="58"/>
  <c r="G16" i="58"/>
  <c r="F16" i="58"/>
  <c r="J12" i="64"/>
  <c r="E16" i="58"/>
  <c r="I12" i="64" s="1"/>
  <c r="D16" i="58"/>
  <c r="H12" i="64" s="1"/>
  <c r="D14" i="58"/>
  <c r="H10" i="64" s="1"/>
  <c r="E14" i="58"/>
  <c r="I10" i="64" s="1"/>
  <c r="F14" i="58"/>
  <c r="J10" i="64" s="1"/>
  <c r="G14" i="58"/>
  <c r="H14" i="58"/>
  <c r="I14" i="58"/>
  <c r="K10" i="64" s="1"/>
  <c r="J14" i="58"/>
  <c r="L10" i="64"/>
  <c r="D15" i="58"/>
  <c r="H11" i="64" s="1"/>
  <c r="E15" i="58"/>
  <c r="I11" i="64" s="1"/>
  <c r="F15" i="58"/>
  <c r="J11" i="64" s="1"/>
  <c r="G15" i="58"/>
  <c r="H15" i="58"/>
  <c r="I15" i="58"/>
  <c r="K11" i="64" s="1"/>
  <c r="J15" i="58"/>
  <c r="L11" i="64" s="1"/>
  <c r="J13" i="58"/>
  <c r="L9" i="64" s="1"/>
  <c r="I13" i="58"/>
  <c r="K9" i="64" s="1"/>
  <c r="H13" i="58"/>
  <c r="G13" i="58"/>
  <c r="F13" i="58"/>
  <c r="J9" i="64" s="1"/>
  <c r="E13" i="58"/>
  <c r="I9" i="64" s="1"/>
  <c r="D13" i="58"/>
  <c r="H9" i="64" s="1"/>
  <c r="AD82" i="64"/>
  <c r="O138" i="60"/>
  <c r="AB81" i="64"/>
  <c r="F137" i="60"/>
  <c r="K137" i="60" s="1"/>
  <c r="AC80" i="64"/>
  <c r="I136" i="60"/>
  <c r="J136" i="60" s="1"/>
  <c r="H136" i="60"/>
  <c r="AD80" i="64"/>
  <c r="O136" i="60"/>
  <c r="T136" i="60" s="1"/>
  <c r="AB82" i="64"/>
  <c r="J72" i="64"/>
  <c r="BM72" i="64" s="1"/>
  <c r="J78" i="64"/>
  <c r="BM78" i="64" s="1"/>
  <c r="AK80" i="64"/>
  <c r="AJ80" i="64"/>
  <c r="AJ81" i="64"/>
  <c r="AJ82" i="64"/>
  <c r="F75" i="63"/>
  <c r="E74" i="75"/>
  <c r="D74" i="75"/>
  <c r="R73" i="59"/>
  <c r="R72" i="59"/>
  <c r="R71" i="59"/>
  <c r="N73" i="59"/>
  <c r="AU138" i="60" s="1"/>
  <c r="N72" i="59"/>
  <c r="AU137" i="60" s="1"/>
  <c r="N71" i="59"/>
  <c r="AU136" i="60" s="1"/>
  <c r="L73" i="59"/>
  <c r="AS138" i="60" s="1"/>
  <c r="L72" i="59"/>
  <c r="AS137" i="60" s="1"/>
  <c r="L71" i="59"/>
  <c r="AS136" i="60" s="1"/>
  <c r="J73" i="59"/>
  <c r="AQ138" i="60" s="1"/>
  <c r="J72" i="59"/>
  <c r="AQ137" i="60" s="1"/>
  <c r="J71" i="59"/>
  <c r="AQ136" i="60" s="1"/>
  <c r="C136" i="60"/>
  <c r="C137" i="60"/>
  <c r="C138" i="60"/>
  <c r="D137" i="60"/>
  <c r="D136" i="60"/>
  <c r="D138" i="60"/>
  <c r="E75" i="63"/>
  <c r="E74" i="77"/>
  <c r="BA17" i="50"/>
  <c r="BF19" i="50"/>
  <c r="AW19" i="50"/>
  <c r="AT19" i="50"/>
  <c r="U86" i="58"/>
  <c r="AL19" i="50"/>
  <c r="S86" i="58" s="1"/>
  <c r="U85" i="58"/>
  <c r="AL18" i="50"/>
  <c r="S85" i="58"/>
  <c r="AT17" i="50"/>
  <c r="U84" i="58"/>
  <c r="AH80" i="64" s="1"/>
  <c r="AL17" i="50"/>
  <c r="S84" i="58" s="1"/>
  <c r="H18" i="50"/>
  <c r="I18" i="50"/>
  <c r="H19" i="50"/>
  <c r="I19" i="50"/>
  <c r="I17" i="50"/>
  <c r="H17" i="50"/>
  <c r="Q71" i="59"/>
  <c r="E136" i="60" s="1"/>
  <c r="N136" i="60" s="1"/>
  <c r="F18" i="50"/>
  <c r="P72" i="59" s="1"/>
  <c r="F19" i="50"/>
  <c r="F17" i="50"/>
  <c r="BH17" i="50" s="1"/>
  <c r="AH84" i="58" s="1"/>
  <c r="E17" i="50"/>
  <c r="D17" i="50"/>
  <c r="E16" i="50"/>
  <c r="O86" i="38"/>
  <c r="O85" i="38"/>
  <c r="O84" i="38"/>
  <c r="BC18" i="50"/>
  <c r="AW18" i="50"/>
  <c r="BE18" i="50" s="1"/>
  <c r="BB17" i="50"/>
  <c r="AX18" i="50"/>
  <c r="BC17" i="50"/>
  <c r="B5" i="62"/>
  <c r="B5" i="77" s="1"/>
  <c r="F77" i="75"/>
  <c r="F76" i="63"/>
  <c r="F72" i="63"/>
  <c r="F70" i="76"/>
  <c r="F70" i="63"/>
  <c r="F66" i="77"/>
  <c r="E79" i="63"/>
  <c r="E77" i="75"/>
  <c r="E76" i="76"/>
  <c r="E75" i="75"/>
  <c r="E72" i="75"/>
  <c r="E70" i="76"/>
  <c r="E70" i="63"/>
  <c r="E68" i="76"/>
  <c r="E68" i="63"/>
  <c r="E66" i="76"/>
  <c r="E126" i="59"/>
  <c r="E125" i="59"/>
  <c r="E124" i="59"/>
  <c r="D77" i="63"/>
  <c r="D75" i="76"/>
  <c r="E120" i="59"/>
  <c r="D73" i="76" s="1"/>
  <c r="E119" i="59"/>
  <c r="D73" i="63" s="1"/>
  <c r="E117" i="59"/>
  <c r="E116" i="59"/>
  <c r="D68" i="75"/>
  <c r="E114" i="59"/>
  <c r="D68" i="63" s="1"/>
  <c r="E113" i="59"/>
  <c r="D66" i="75" s="1"/>
  <c r="E112" i="59"/>
  <c r="D66" i="63" s="1"/>
  <c r="E64" i="77"/>
  <c r="E111" i="59"/>
  <c r="D64" i="77" s="1"/>
  <c r="D67" i="77"/>
  <c r="D67" i="76"/>
  <c r="E71" i="63"/>
  <c r="E70" i="77"/>
  <c r="E70" i="75"/>
  <c r="E72" i="63"/>
  <c r="E71" i="77"/>
  <c r="E71" i="76"/>
  <c r="E71" i="75"/>
  <c r="F74" i="63"/>
  <c r="F73" i="77"/>
  <c r="F73" i="76"/>
  <c r="F73" i="75"/>
  <c r="D70" i="76"/>
  <c r="E73" i="63"/>
  <c r="E72" i="77"/>
  <c r="E72" i="76"/>
  <c r="F75" i="77"/>
  <c r="F75" i="75"/>
  <c r="E65" i="63"/>
  <c r="E64" i="75"/>
  <c r="E64" i="76"/>
  <c r="D72" i="63"/>
  <c r="D71" i="76"/>
  <c r="D71" i="75"/>
  <c r="E66" i="63"/>
  <c r="E65" i="77"/>
  <c r="E65" i="76"/>
  <c r="E65" i="75"/>
  <c r="E74" i="63"/>
  <c r="E73" i="77"/>
  <c r="E73" i="76"/>
  <c r="E73" i="75"/>
  <c r="F68" i="63"/>
  <c r="F67" i="77"/>
  <c r="F67" i="76"/>
  <c r="F67" i="75"/>
  <c r="F77" i="63"/>
  <c r="F76" i="77"/>
  <c r="F76" i="76"/>
  <c r="F76" i="75"/>
  <c r="D70" i="63"/>
  <c r="D69" i="75"/>
  <c r="D69" i="76"/>
  <c r="D79" i="63"/>
  <c r="D78" i="75"/>
  <c r="D78" i="76"/>
  <c r="F66" i="63"/>
  <c r="F65" i="77"/>
  <c r="F65" i="76"/>
  <c r="F65" i="75"/>
  <c r="D64" i="75"/>
  <c r="D64" i="76"/>
  <c r="D80" i="63"/>
  <c r="D79" i="76"/>
  <c r="F67" i="63"/>
  <c r="F66" i="76"/>
  <c r="F66" i="75"/>
  <c r="D72" i="76"/>
  <c r="D72" i="75"/>
  <c r="F78" i="63"/>
  <c r="F77" i="77"/>
  <c r="D76" i="75"/>
  <c r="D78" i="63"/>
  <c r="D77" i="76"/>
  <c r="D77" i="75"/>
  <c r="D65" i="77"/>
  <c r="D74" i="63"/>
  <c r="D73" i="75"/>
  <c r="E67" i="77"/>
  <c r="E67" i="75"/>
  <c r="E77" i="63"/>
  <c r="E76" i="77"/>
  <c r="E76" i="75"/>
  <c r="F69" i="77"/>
  <c r="F69" i="75"/>
  <c r="F79" i="63"/>
  <c r="F78" i="77"/>
  <c r="F78" i="76"/>
  <c r="F78" i="75"/>
  <c r="E77" i="77"/>
  <c r="F70" i="77"/>
  <c r="F79" i="77"/>
  <c r="F79" i="75"/>
  <c r="E69" i="75"/>
  <c r="E78" i="77"/>
  <c r="F71" i="75"/>
  <c r="B5" i="76"/>
  <c r="D69" i="63"/>
  <c r="D68" i="76"/>
  <c r="E80" i="63"/>
  <c r="E79" i="77"/>
  <c r="E79" i="76"/>
  <c r="E79" i="75"/>
  <c r="F73" i="63"/>
  <c r="F72" i="77"/>
  <c r="F72" i="76"/>
  <c r="F72" i="75"/>
  <c r="BA18" i="50"/>
  <c r="B37" i="62"/>
  <c r="AV171" i="60"/>
  <c r="AV172" i="60"/>
  <c r="AV173" i="60"/>
  <c r="AO172" i="60"/>
  <c r="AP172" i="60"/>
  <c r="AO173" i="60"/>
  <c r="AP173" i="60"/>
  <c r="AP171" i="60"/>
  <c r="AO171" i="60"/>
  <c r="C172" i="60"/>
  <c r="C173" i="60"/>
  <c r="C171" i="60"/>
  <c r="AV163" i="60"/>
  <c r="AV164" i="60"/>
  <c r="AV165" i="60"/>
  <c r="AO164" i="60"/>
  <c r="AP164" i="60"/>
  <c r="AO165" i="60"/>
  <c r="AP165" i="60"/>
  <c r="AP163" i="60"/>
  <c r="AO163" i="60"/>
  <c r="C164" i="60"/>
  <c r="C165" i="60"/>
  <c r="C163" i="60"/>
  <c r="AV153" i="60"/>
  <c r="AV154" i="60"/>
  <c r="AV155" i="60"/>
  <c r="AV157" i="60"/>
  <c r="AO154" i="60"/>
  <c r="AP154" i="60"/>
  <c r="AO155" i="60"/>
  <c r="AP155" i="60"/>
  <c r="AO157" i="60"/>
  <c r="AP157" i="60"/>
  <c r="AP153" i="60"/>
  <c r="AO153" i="60"/>
  <c r="C154" i="60"/>
  <c r="C155" i="60"/>
  <c r="C157" i="60"/>
  <c r="C153" i="60"/>
  <c r="AV144" i="60"/>
  <c r="AV145" i="60"/>
  <c r="AV146" i="60"/>
  <c r="AV147" i="60"/>
  <c r="AO145" i="60"/>
  <c r="AP145" i="60"/>
  <c r="AO146" i="60"/>
  <c r="AP146" i="60"/>
  <c r="AO147" i="60"/>
  <c r="AP147" i="60"/>
  <c r="AP144" i="60"/>
  <c r="AO144" i="60"/>
  <c r="C145" i="60"/>
  <c r="C146" i="60"/>
  <c r="C147" i="60"/>
  <c r="C144" i="60"/>
  <c r="AV135" i="60"/>
  <c r="AP135" i="60"/>
  <c r="AO135" i="60"/>
  <c r="C135" i="60"/>
  <c r="AV127" i="60"/>
  <c r="AV128" i="60"/>
  <c r="AV129" i="60"/>
  <c r="AO128" i="60"/>
  <c r="AP128" i="60"/>
  <c r="AO129" i="60"/>
  <c r="AP129" i="60"/>
  <c r="AP127" i="60"/>
  <c r="AO127" i="60"/>
  <c r="C128" i="60"/>
  <c r="C129" i="60"/>
  <c r="C127" i="60"/>
  <c r="AV120" i="60"/>
  <c r="AV121" i="60"/>
  <c r="AO121" i="60"/>
  <c r="AP121" i="60"/>
  <c r="AP120" i="60"/>
  <c r="AO120" i="60"/>
  <c r="C121" i="60"/>
  <c r="C120" i="60"/>
  <c r="AV107" i="60"/>
  <c r="AV108" i="60"/>
  <c r="AV109" i="60"/>
  <c r="AV110" i="60"/>
  <c r="AV111" i="60"/>
  <c r="AV112" i="60"/>
  <c r="AV113" i="60"/>
  <c r="AV114" i="60"/>
  <c r="AO108" i="60"/>
  <c r="AP108" i="60"/>
  <c r="AO109" i="60"/>
  <c r="AP109" i="60"/>
  <c r="AO110" i="60"/>
  <c r="AP110" i="60"/>
  <c r="AO111" i="60"/>
  <c r="AP111" i="60"/>
  <c r="AO112" i="60"/>
  <c r="AP112" i="60"/>
  <c r="AO113" i="60"/>
  <c r="AP113" i="60"/>
  <c r="AO114" i="60"/>
  <c r="AP114" i="60"/>
  <c r="AP107" i="60"/>
  <c r="AO107" i="60"/>
  <c r="C108" i="60"/>
  <c r="C109" i="60"/>
  <c r="C110" i="60"/>
  <c r="C111" i="60"/>
  <c r="C112" i="60"/>
  <c r="C113" i="60"/>
  <c r="C114" i="60"/>
  <c r="C107" i="60"/>
  <c r="AV94" i="60"/>
  <c r="AV95" i="60"/>
  <c r="AV96" i="60"/>
  <c r="AV97" i="60"/>
  <c r="AV98" i="60"/>
  <c r="AV99" i="60"/>
  <c r="AV100" i="60"/>
  <c r="AV101" i="60"/>
  <c r="AO100" i="60"/>
  <c r="AP100" i="60"/>
  <c r="AO101" i="60"/>
  <c r="AP101" i="60"/>
  <c r="AO95" i="60"/>
  <c r="AP95" i="60"/>
  <c r="AO96" i="60"/>
  <c r="AP96" i="60"/>
  <c r="AO97" i="60"/>
  <c r="AP97" i="60"/>
  <c r="AO98" i="60"/>
  <c r="AP98" i="60"/>
  <c r="AO99" i="60"/>
  <c r="AP99" i="60"/>
  <c r="AP94" i="60"/>
  <c r="AO94" i="60"/>
  <c r="C95" i="60"/>
  <c r="C96" i="60"/>
  <c r="C97" i="60"/>
  <c r="C98" i="60"/>
  <c r="C99" i="60"/>
  <c r="C100" i="60"/>
  <c r="C101" i="60"/>
  <c r="C94" i="60"/>
  <c r="AV82" i="60"/>
  <c r="AV83" i="60"/>
  <c r="AV84" i="60"/>
  <c r="AV85" i="60"/>
  <c r="AV86" i="60"/>
  <c r="AV87" i="60"/>
  <c r="AV88" i="60"/>
  <c r="AP83" i="60"/>
  <c r="AP84" i="60"/>
  <c r="AP85" i="60"/>
  <c r="AP86" i="60"/>
  <c r="AP87" i="60"/>
  <c r="AP88" i="60"/>
  <c r="AO83" i="60"/>
  <c r="AO84" i="60"/>
  <c r="AO85" i="60"/>
  <c r="AO86" i="60"/>
  <c r="AO87" i="60"/>
  <c r="AO88" i="60"/>
  <c r="AP82" i="60"/>
  <c r="AO82" i="60"/>
  <c r="C83" i="60"/>
  <c r="C84" i="60"/>
  <c r="C85" i="60"/>
  <c r="C86" i="60"/>
  <c r="C87" i="60"/>
  <c r="C88" i="60"/>
  <c r="C82" i="60"/>
  <c r="AV60" i="60"/>
  <c r="AV61" i="60"/>
  <c r="AV62" i="60"/>
  <c r="AV63" i="60"/>
  <c r="AV64" i="60"/>
  <c r="AV65" i="60"/>
  <c r="AV66" i="60"/>
  <c r="AV67" i="60"/>
  <c r="AV68" i="60"/>
  <c r="AV69" i="60"/>
  <c r="AV70" i="60"/>
  <c r="AV71" i="60"/>
  <c r="AV72" i="60"/>
  <c r="AV73" i="60"/>
  <c r="AV74" i="60"/>
  <c r="AV75" i="60"/>
  <c r="AV76" i="60"/>
  <c r="AO60" i="60"/>
  <c r="AP60" i="60"/>
  <c r="AO61" i="60"/>
  <c r="AP61" i="60"/>
  <c r="AO62" i="60"/>
  <c r="AP62" i="60"/>
  <c r="AO63" i="60"/>
  <c r="AP63" i="60"/>
  <c r="AO64" i="60"/>
  <c r="AP64" i="60"/>
  <c r="AO65" i="60"/>
  <c r="AP65" i="60"/>
  <c r="AO66" i="60"/>
  <c r="AP66" i="60"/>
  <c r="AO67" i="60"/>
  <c r="AP67" i="60"/>
  <c r="AO68" i="60"/>
  <c r="AP68" i="60"/>
  <c r="AO69" i="60"/>
  <c r="AP69" i="60"/>
  <c r="AO70" i="60"/>
  <c r="AP70" i="60"/>
  <c r="AO71" i="60"/>
  <c r="AP71" i="60"/>
  <c r="AO72" i="60"/>
  <c r="AP72" i="60"/>
  <c r="AO73" i="60"/>
  <c r="AP73" i="60"/>
  <c r="AO74" i="60"/>
  <c r="AP74" i="60"/>
  <c r="AO75" i="60"/>
  <c r="AP75" i="60"/>
  <c r="AO76" i="60"/>
  <c r="AP76" i="60"/>
  <c r="C74" i="60"/>
  <c r="C75" i="60"/>
  <c r="C76" i="60"/>
  <c r="C58" i="60"/>
  <c r="C59" i="60"/>
  <c r="C60" i="60"/>
  <c r="C61" i="60"/>
  <c r="C62" i="60"/>
  <c r="C63" i="60"/>
  <c r="C64" i="60"/>
  <c r="C65" i="60"/>
  <c r="C66" i="60"/>
  <c r="C67" i="60"/>
  <c r="C68" i="60"/>
  <c r="C69" i="60"/>
  <c r="C70" i="60"/>
  <c r="C71" i="60"/>
  <c r="C72" i="60"/>
  <c r="C73" i="60"/>
  <c r="C57" i="60"/>
  <c r="AV49" i="60"/>
  <c r="AV50" i="60"/>
  <c r="AV51" i="60"/>
  <c r="AO50" i="60"/>
  <c r="AP50" i="60"/>
  <c r="AO51" i="60"/>
  <c r="AP51" i="60"/>
  <c r="AP49" i="60"/>
  <c r="AO49" i="60"/>
  <c r="C50" i="60"/>
  <c r="C51" i="60"/>
  <c r="C49" i="60"/>
  <c r="AV42" i="60"/>
  <c r="AV43" i="60"/>
  <c r="AP43" i="60"/>
  <c r="AO43" i="60"/>
  <c r="AP42" i="60"/>
  <c r="AO42" i="60"/>
  <c r="C43" i="60"/>
  <c r="C42" i="60"/>
  <c r="AO31" i="60"/>
  <c r="AP31" i="60"/>
  <c r="AV31" i="60"/>
  <c r="AO32" i="60"/>
  <c r="AP32" i="60"/>
  <c r="AV32" i="60"/>
  <c r="AO33" i="60"/>
  <c r="AP33" i="60"/>
  <c r="AV33" i="60"/>
  <c r="AO34" i="60"/>
  <c r="AP34" i="60"/>
  <c r="AV34" i="60"/>
  <c r="AO35" i="60"/>
  <c r="AP35" i="60"/>
  <c r="AV35" i="60"/>
  <c r="AO36" i="60"/>
  <c r="AP36" i="60"/>
  <c r="AV36" i="60"/>
  <c r="AV30" i="60"/>
  <c r="AP30" i="60"/>
  <c r="AO30" i="60"/>
  <c r="AP21" i="60"/>
  <c r="AV21" i="60"/>
  <c r="AP23" i="60"/>
  <c r="AV23" i="60"/>
  <c r="AP24" i="60"/>
  <c r="AV24" i="60"/>
  <c r="AO23" i="60"/>
  <c r="AO24" i="60"/>
  <c r="AO21" i="60"/>
  <c r="C36" i="60"/>
  <c r="C34" i="60"/>
  <c r="C35" i="60"/>
  <c r="C31" i="60"/>
  <c r="C32" i="60"/>
  <c r="C33" i="60"/>
  <c r="C30" i="60"/>
  <c r="C23" i="60"/>
  <c r="C24" i="60"/>
  <c r="C21" i="60"/>
  <c r="AP13" i="60"/>
  <c r="AV13" i="60"/>
  <c r="AP14" i="60"/>
  <c r="AV14" i="60"/>
  <c r="AP15" i="60"/>
  <c r="AV15" i="60"/>
  <c r="AV12" i="60"/>
  <c r="AP12" i="60"/>
  <c r="AO13" i="60"/>
  <c r="AO14" i="60"/>
  <c r="AO15" i="60"/>
  <c r="AO12" i="60"/>
  <c r="C169" i="60"/>
  <c r="C161" i="60"/>
  <c r="C151" i="60"/>
  <c r="C142" i="60"/>
  <c r="C133" i="60"/>
  <c r="C125" i="60"/>
  <c r="C118" i="60"/>
  <c r="C105" i="60"/>
  <c r="C92" i="60"/>
  <c r="C80" i="60"/>
  <c r="C55" i="60"/>
  <c r="C47" i="60"/>
  <c r="C40" i="60"/>
  <c r="C19" i="60"/>
  <c r="C28" i="60"/>
  <c r="C13" i="60"/>
  <c r="C14" i="60"/>
  <c r="C15" i="60"/>
  <c r="C12" i="60"/>
  <c r="B13" i="60"/>
  <c r="B14" i="60" s="1"/>
  <c r="B15" i="60" s="1"/>
  <c r="B21" i="60" s="1"/>
  <c r="B22" i="60" s="1"/>
  <c r="B23" i="60" s="1"/>
  <c r="B24" i="60" s="1"/>
  <c r="B30" i="60" s="1"/>
  <c r="B31" i="60" s="1"/>
  <c r="B32" i="60" s="1"/>
  <c r="B33" i="60" s="1"/>
  <c r="B34" i="60" s="1"/>
  <c r="B35" i="60" s="1"/>
  <c r="B36" i="60" s="1"/>
  <c r="B42" i="60" s="1"/>
  <c r="B43" i="60" s="1"/>
  <c r="B49" i="60" s="1"/>
  <c r="B50" i="60" s="1"/>
  <c r="B51"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82" i="60" s="1"/>
  <c r="B83" i="60" s="1"/>
  <c r="B84" i="60" s="1"/>
  <c r="B85" i="60" s="1"/>
  <c r="B86" i="60" s="1"/>
  <c r="B87" i="60" s="1"/>
  <c r="B88" i="60" s="1"/>
  <c r="B94" i="60" s="1"/>
  <c r="B95" i="60" s="1"/>
  <c r="B96" i="60" s="1"/>
  <c r="B97" i="60" s="1"/>
  <c r="B98" i="60" s="1"/>
  <c r="B99" i="60" s="1"/>
  <c r="B100" i="60" s="1"/>
  <c r="B101" i="60" s="1"/>
  <c r="B107" i="60" s="1"/>
  <c r="B108" i="60" s="1"/>
  <c r="B109" i="60" s="1"/>
  <c r="B110" i="60" s="1"/>
  <c r="B111" i="60" s="1"/>
  <c r="B112" i="60" s="1"/>
  <c r="B113" i="60" s="1"/>
  <c r="B114" i="60" s="1"/>
  <c r="B120" i="60" s="1"/>
  <c r="B121" i="60" s="1"/>
  <c r="B127" i="60" s="1"/>
  <c r="B128" i="60" s="1"/>
  <c r="B129" i="60" s="1"/>
  <c r="B135" i="60" s="1"/>
  <c r="B136" i="60" s="1"/>
  <c r="B137" i="60" s="1"/>
  <c r="B138" i="60" s="1"/>
  <c r="B144" i="60" s="1"/>
  <c r="B145" i="60" s="1"/>
  <c r="B146" i="60" s="1"/>
  <c r="B147" i="60" s="1"/>
  <c r="B153" i="60" s="1"/>
  <c r="B154" i="60" s="1"/>
  <c r="B155" i="60" s="1"/>
  <c r="B156" i="60" s="1"/>
  <c r="B157" i="60" s="1"/>
  <c r="B163" i="60" s="1"/>
  <c r="B164" i="60" s="1"/>
  <c r="B165" i="60" s="1"/>
  <c r="B171" i="60" s="1"/>
  <c r="B172" i="60" s="1"/>
  <c r="B173" i="60" s="1"/>
  <c r="Q90" i="59"/>
  <c r="E172" i="60" s="1"/>
  <c r="N172" i="60" s="1"/>
  <c r="Q91" i="59"/>
  <c r="E173" i="60" s="1"/>
  <c r="N173" i="60" s="1"/>
  <c r="Q89" i="59"/>
  <c r="E171" i="60" s="1"/>
  <c r="N171" i="60" s="1"/>
  <c r="F90" i="59"/>
  <c r="F91" i="59"/>
  <c r="F89" i="59"/>
  <c r="F87" i="59"/>
  <c r="F88" i="59"/>
  <c r="F86" i="59"/>
  <c r="F83" i="59"/>
  <c r="F84" i="59"/>
  <c r="F85" i="59"/>
  <c r="F79" i="59"/>
  <c r="F80" i="59"/>
  <c r="F81" i="59"/>
  <c r="F82" i="59"/>
  <c r="F78" i="59"/>
  <c r="F75" i="59"/>
  <c r="F76" i="59"/>
  <c r="F77" i="59"/>
  <c r="F74" i="59"/>
  <c r="F70" i="59"/>
  <c r="F68" i="59"/>
  <c r="F69" i="59"/>
  <c r="F67" i="59"/>
  <c r="F66" i="59"/>
  <c r="F65" i="59"/>
  <c r="O17" i="56"/>
  <c r="R21" i="59" s="1"/>
  <c r="O16" i="56"/>
  <c r="R20" i="59" s="1"/>
  <c r="O20" i="44"/>
  <c r="R17" i="59" s="1"/>
  <c r="O21" i="44"/>
  <c r="R18" i="59" s="1"/>
  <c r="O22" i="44"/>
  <c r="R19" i="59" s="1"/>
  <c r="O17" i="44"/>
  <c r="R14" i="59" s="1"/>
  <c r="O18" i="44"/>
  <c r="R15" i="59" s="1"/>
  <c r="O19" i="44"/>
  <c r="R16" i="59" s="1"/>
  <c r="O16" i="44"/>
  <c r="R13" i="59" s="1"/>
  <c r="O18" i="45"/>
  <c r="R11" i="59" s="1"/>
  <c r="O19" i="45"/>
  <c r="R12" i="59" s="1"/>
  <c r="O16" i="45"/>
  <c r="R9" i="59" s="1"/>
  <c r="O20" i="47"/>
  <c r="R61" i="59" s="1"/>
  <c r="O21" i="47"/>
  <c r="R62" i="59" s="1"/>
  <c r="O22" i="47"/>
  <c r="R63" i="59" s="1"/>
  <c r="O23" i="47"/>
  <c r="R64" i="59" s="1"/>
  <c r="O18" i="47"/>
  <c r="R59" i="59" s="1"/>
  <c r="O19" i="47"/>
  <c r="R60" i="59" s="1"/>
  <c r="O17" i="47"/>
  <c r="R58" i="59" s="1"/>
  <c r="O16" i="47"/>
  <c r="R57" i="59" s="1"/>
  <c r="F58" i="59"/>
  <c r="F59" i="59"/>
  <c r="F60" i="59"/>
  <c r="F61" i="59"/>
  <c r="F62" i="59"/>
  <c r="F63" i="59"/>
  <c r="F64" i="59"/>
  <c r="F57" i="59"/>
  <c r="F56" i="59"/>
  <c r="F55" i="59"/>
  <c r="F50" i="59"/>
  <c r="F51" i="59"/>
  <c r="F52" i="59"/>
  <c r="F53" i="59"/>
  <c r="F54" i="59"/>
  <c r="F49" i="59"/>
  <c r="F48" i="59"/>
  <c r="F43" i="59"/>
  <c r="F44" i="59"/>
  <c r="F45" i="59"/>
  <c r="F46" i="59"/>
  <c r="F47" i="59"/>
  <c r="F42" i="59"/>
  <c r="M23" i="59"/>
  <c r="O22" i="42"/>
  <c r="R48" i="59" s="1"/>
  <c r="O21" i="42"/>
  <c r="R47" i="59" s="1"/>
  <c r="O19" i="42"/>
  <c r="R45" i="59" s="1"/>
  <c r="O20" i="42"/>
  <c r="R46" i="59" s="1"/>
  <c r="O17" i="42"/>
  <c r="R43" i="59" s="1"/>
  <c r="O18" i="42"/>
  <c r="R44" i="59" s="1"/>
  <c r="O16" i="42"/>
  <c r="R42" i="59" s="1"/>
  <c r="O35" i="41"/>
  <c r="R41" i="59" s="1"/>
  <c r="O32" i="41"/>
  <c r="R38" i="59" s="1"/>
  <c r="O33" i="41"/>
  <c r="O34" i="41"/>
  <c r="R40" i="59" s="1"/>
  <c r="O30" i="41"/>
  <c r="R36" i="59" s="1"/>
  <c r="O31" i="41"/>
  <c r="O29" i="41"/>
  <c r="O28" i="41"/>
  <c r="R34" i="59" s="1"/>
  <c r="O27" i="41"/>
  <c r="R33" i="59" s="1"/>
  <c r="O26" i="41"/>
  <c r="R32" i="59" s="1"/>
  <c r="O25" i="41"/>
  <c r="R31" i="59" s="1"/>
  <c r="O24" i="41"/>
  <c r="R30" i="59" s="1"/>
  <c r="O22" i="41"/>
  <c r="R28" i="59" s="1"/>
  <c r="O23" i="41"/>
  <c r="R29" i="59" s="1"/>
  <c r="O21" i="41"/>
  <c r="R27" i="59" s="1"/>
  <c r="O20" i="41"/>
  <c r="R26" i="59" s="1"/>
  <c r="O19" i="41"/>
  <c r="O17" i="41"/>
  <c r="O18" i="41"/>
  <c r="R24" i="59" s="1"/>
  <c r="O16" i="41"/>
  <c r="R22" i="59" s="1"/>
  <c r="F22" i="59"/>
  <c r="F23" i="59"/>
  <c r="F24" i="59"/>
  <c r="F25" i="59"/>
  <c r="F26" i="59"/>
  <c r="F27" i="59"/>
  <c r="F28" i="59"/>
  <c r="F29" i="59"/>
  <c r="F30" i="59"/>
  <c r="F31" i="59"/>
  <c r="F32" i="59"/>
  <c r="F33" i="59"/>
  <c r="F34" i="59"/>
  <c r="F35" i="59"/>
  <c r="F36" i="59"/>
  <c r="F37" i="59"/>
  <c r="F38" i="59"/>
  <c r="F39" i="59"/>
  <c r="F40" i="59"/>
  <c r="F41" i="59"/>
  <c r="F20" i="59"/>
  <c r="F21" i="59"/>
  <c r="F13" i="59"/>
  <c r="F14" i="59"/>
  <c r="F15" i="59"/>
  <c r="F16" i="59"/>
  <c r="F17" i="59"/>
  <c r="F18" i="59"/>
  <c r="F19" i="59"/>
  <c r="F9" i="59"/>
  <c r="F11" i="59"/>
  <c r="F12" i="59"/>
  <c r="F6" i="59"/>
  <c r="F7" i="59"/>
  <c r="F8" i="59"/>
  <c r="F5" i="59"/>
  <c r="N106" i="59"/>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AU173" i="60" s="1"/>
  <c r="M91" i="59"/>
  <c r="AT173" i="60" s="1"/>
  <c r="L91" i="59"/>
  <c r="AS173" i="60" s="1"/>
  <c r="K91" i="59"/>
  <c r="AR173" i="60" s="1"/>
  <c r="J91" i="59"/>
  <c r="AQ173" i="60" s="1"/>
  <c r="N90" i="59"/>
  <c r="AU172" i="60" s="1"/>
  <c r="M90" i="59"/>
  <c r="AT172" i="60" s="1"/>
  <c r="L90" i="59"/>
  <c r="AS172" i="60" s="1"/>
  <c r="K90" i="59"/>
  <c r="AR172" i="60" s="1"/>
  <c r="J90" i="59"/>
  <c r="AQ172" i="60" s="1"/>
  <c r="N89" i="59"/>
  <c r="AU171" i="60" s="1"/>
  <c r="M89" i="59"/>
  <c r="AT171" i="60" s="1"/>
  <c r="L89" i="59"/>
  <c r="AS171" i="60" s="1"/>
  <c r="K89" i="59"/>
  <c r="AR171" i="60"/>
  <c r="J89" i="59"/>
  <c r="AQ171" i="60" s="1"/>
  <c r="N88" i="59"/>
  <c r="AU165" i="60" s="1"/>
  <c r="M88" i="59"/>
  <c r="AT165" i="60"/>
  <c r="L88" i="59"/>
  <c r="AS165" i="60"/>
  <c r="K88" i="59"/>
  <c r="AR165" i="60" s="1"/>
  <c r="J88" i="59"/>
  <c r="AQ165" i="60" s="1"/>
  <c r="N87" i="59"/>
  <c r="AU164" i="60" s="1"/>
  <c r="M87" i="59"/>
  <c r="AT164" i="60"/>
  <c r="L87" i="59"/>
  <c r="AS164" i="60" s="1"/>
  <c r="K87" i="59"/>
  <c r="AR164" i="60" s="1"/>
  <c r="J87" i="59"/>
  <c r="AQ164" i="60"/>
  <c r="N86" i="59"/>
  <c r="AU163" i="60" s="1"/>
  <c r="M86" i="59"/>
  <c r="AT163" i="60" s="1"/>
  <c r="L86" i="59"/>
  <c r="AS163" i="60" s="1"/>
  <c r="K86" i="59"/>
  <c r="AR163" i="60" s="1"/>
  <c r="J86" i="59"/>
  <c r="AQ163" i="60" s="1"/>
  <c r="N85" i="59"/>
  <c r="AU51" i="60" s="1"/>
  <c r="M85" i="59"/>
  <c r="AT51" i="60" s="1"/>
  <c r="L85" i="59"/>
  <c r="AS51" i="60" s="1"/>
  <c r="K85" i="59"/>
  <c r="AR51" i="60" s="1"/>
  <c r="J85" i="59"/>
  <c r="AQ51" i="60" s="1"/>
  <c r="N84" i="59"/>
  <c r="AU50" i="60" s="1"/>
  <c r="M84" i="59"/>
  <c r="AT50" i="60" s="1"/>
  <c r="L84" i="59"/>
  <c r="AS50" i="60" s="1"/>
  <c r="K84" i="59"/>
  <c r="AR50" i="60" s="1"/>
  <c r="J84" i="59"/>
  <c r="AQ50" i="60" s="1"/>
  <c r="N83" i="59"/>
  <c r="AU49" i="60" s="1"/>
  <c r="M83" i="59"/>
  <c r="AT49" i="60" s="1"/>
  <c r="L83" i="59"/>
  <c r="AS49" i="60" s="1"/>
  <c r="K83" i="59"/>
  <c r="AR49" i="60" s="1"/>
  <c r="J83" i="59"/>
  <c r="AQ49" i="60" s="1"/>
  <c r="N82" i="59"/>
  <c r="AU157" i="60"/>
  <c r="M82" i="59"/>
  <c r="AT157" i="60" s="1"/>
  <c r="L82" i="59"/>
  <c r="AS157" i="60" s="1"/>
  <c r="K82" i="59"/>
  <c r="AR157" i="60" s="1"/>
  <c r="J82" i="59"/>
  <c r="AQ157" i="60"/>
  <c r="N81" i="59"/>
  <c r="AU156" i="60" s="1"/>
  <c r="M81" i="59"/>
  <c r="AT156" i="60" s="1"/>
  <c r="L81" i="59"/>
  <c r="AS156" i="60"/>
  <c r="K81" i="59"/>
  <c r="AR156" i="60" s="1"/>
  <c r="J81" i="59"/>
  <c r="AQ156" i="60" s="1"/>
  <c r="N80" i="59"/>
  <c r="AU155" i="60" s="1"/>
  <c r="M80" i="59"/>
  <c r="AT155" i="60"/>
  <c r="L80" i="59"/>
  <c r="AS155" i="60"/>
  <c r="K80" i="59"/>
  <c r="AR155" i="60" s="1"/>
  <c r="J80" i="59"/>
  <c r="AQ155" i="60" s="1"/>
  <c r="N79" i="59"/>
  <c r="AU154" i="60" s="1"/>
  <c r="M79" i="59"/>
  <c r="AT154" i="60" s="1"/>
  <c r="L79" i="59"/>
  <c r="AS154" i="60" s="1"/>
  <c r="K79" i="59"/>
  <c r="AR154" i="60" s="1"/>
  <c r="J79" i="59"/>
  <c r="AQ154" i="60" s="1"/>
  <c r="N78" i="59"/>
  <c r="AU153" i="60" s="1"/>
  <c r="M78" i="59"/>
  <c r="AT153" i="60" s="1"/>
  <c r="L78" i="59"/>
  <c r="AS153" i="60" s="1"/>
  <c r="K78" i="59"/>
  <c r="AR153" i="60" s="1"/>
  <c r="J78" i="59"/>
  <c r="AQ153" i="60" s="1"/>
  <c r="N77" i="59"/>
  <c r="AU147" i="60" s="1"/>
  <c r="M77" i="59"/>
  <c r="AT147" i="60" s="1"/>
  <c r="L77" i="59"/>
  <c r="AS147" i="60" s="1"/>
  <c r="K77" i="59"/>
  <c r="AR147" i="60" s="1"/>
  <c r="J77" i="59"/>
  <c r="AQ147" i="60" s="1"/>
  <c r="N76" i="59"/>
  <c r="AU146" i="60" s="1"/>
  <c r="M76" i="59"/>
  <c r="AT146" i="60" s="1"/>
  <c r="L76" i="59"/>
  <c r="AS146" i="60"/>
  <c r="K76" i="59"/>
  <c r="AR146" i="60" s="1"/>
  <c r="J76" i="59"/>
  <c r="AQ146" i="60" s="1"/>
  <c r="N75" i="59"/>
  <c r="AU145" i="60"/>
  <c r="M75" i="59"/>
  <c r="AT145" i="60" s="1"/>
  <c r="L75" i="59"/>
  <c r="AS145" i="60" s="1"/>
  <c r="K75" i="59"/>
  <c r="AR145" i="60" s="1"/>
  <c r="J75" i="59"/>
  <c r="AQ145" i="60"/>
  <c r="N74" i="59"/>
  <c r="M74" i="59"/>
  <c r="L74" i="59"/>
  <c r="K74" i="59"/>
  <c r="J74" i="59"/>
  <c r="N70" i="59"/>
  <c r="AU135" i="60" s="1"/>
  <c r="M70" i="59"/>
  <c r="AT135" i="60" s="1"/>
  <c r="L70" i="59"/>
  <c r="AS135" i="60" s="1"/>
  <c r="K70" i="59"/>
  <c r="AR135" i="60" s="1"/>
  <c r="J70" i="59"/>
  <c r="AQ135" i="60"/>
  <c r="N69" i="59"/>
  <c r="M69" i="59"/>
  <c r="L69" i="59"/>
  <c r="K69" i="59"/>
  <c r="J69" i="59"/>
  <c r="AQ121" i="60" s="1"/>
  <c r="N68" i="59"/>
  <c r="M68" i="59"/>
  <c r="L68" i="59"/>
  <c r="K68" i="59"/>
  <c r="J68" i="59"/>
  <c r="N67" i="59"/>
  <c r="AU127" i="60" s="1"/>
  <c r="M67" i="59"/>
  <c r="AT127" i="60"/>
  <c r="L67" i="59"/>
  <c r="AS127" i="60" s="1"/>
  <c r="K67" i="59"/>
  <c r="AR127" i="60" s="1"/>
  <c r="J67" i="59"/>
  <c r="AQ127" i="60" s="1"/>
  <c r="N66" i="59"/>
  <c r="M66" i="59"/>
  <c r="L66" i="59"/>
  <c r="K66" i="59"/>
  <c r="J66" i="59"/>
  <c r="N65" i="59"/>
  <c r="M65" i="59"/>
  <c r="L65" i="59"/>
  <c r="K65" i="59"/>
  <c r="J65" i="59"/>
  <c r="N64" i="59"/>
  <c r="AU114" i="60"/>
  <c r="M64" i="59"/>
  <c r="AT114" i="60" s="1"/>
  <c r="L64" i="59"/>
  <c r="AS114" i="60" s="1"/>
  <c r="K64" i="59"/>
  <c r="AR114" i="60"/>
  <c r="J64" i="59"/>
  <c r="AQ114" i="60"/>
  <c r="N63" i="59"/>
  <c r="AU113" i="60" s="1"/>
  <c r="M63" i="59"/>
  <c r="AT113" i="60" s="1"/>
  <c r="L63" i="59"/>
  <c r="AS113" i="60" s="1"/>
  <c r="K63" i="59"/>
  <c r="AR113" i="60"/>
  <c r="J63" i="59"/>
  <c r="AQ113" i="60" s="1"/>
  <c r="N62" i="59"/>
  <c r="AU112" i="60" s="1"/>
  <c r="M62" i="59"/>
  <c r="AT112" i="60"/>
  <c r="L62" i="59"/>
  <c r="AS112" i="60" s="1"/>
  <c r="K62" i="59"/>
  <c r="AR112" i="60" s="1"/>
  <c r="J62" i="59"/>
  <c r="AQ112" i="60" s="1"/>
  <c r="N61" i="59"/>
  <c r="AU111" i="60"/>
  <c r="M61" i="59"/>
  <c r="AT111" i="60"/>
  <c r="L61" i="59"/>
  <c r="AS111" i="60" s="1"/>
  <c r="K61" i="59"/>
  <c r="AR111" i="60" s="1"/>
  <c r="J61" i="59"/>
  <c r="AQ111" i="60"/>
  <c r="N60" i="59"/>
  <c r="AU110" i="60"/>
  <c r="M60" i="59"/>
  <c r="AT110" i="60" s="1"/>
  <c r="L60" i="59"/>
  <c r="AS110" i="60" s="1"/>
  <c r="K60" i="59"/>
  <c r="AR110" i="60" s="1"/>
  <c r="J60" i="59"/>
  <c r="AQ110" i="60"/>
  <c r="N59" i="59"/>
  <c r="AU109" i="60" s="1"/>
  <c r="M59" i="59"/>
  <c r="AT109" i="60" s="1"/>
  <c r="L59" i="59"/>
  <c r="AS109" i="60"/>
  <c r="K59" i="59"/>
  <c r="AR109" i="60" s="1"/>
  <c r="J59" i="59"/>
  <c r="AQ109" i="60" s="1"/>
  <c r="N58" i="59"/>
  <c r="AU108" i="60" s="1"/>
  <c r="M58" i="59"/>
  <c r="AT108" i="60"/>
  <c r="L58" i="59"/>
  <c r="AS108" i="60"/>
  <c r="K58" i="59"/>
  <c r="AR108" i="60" s="1"/>
  <c r="J58" i="59"/>
  <c r="AQ108" i="60" s="1"/>
  <c r="N57" i="59"/>
  <c r="AU107" i="60"/>
  <c r="M57" i="59"/>
  <c r="AT107" i="60"/>
  <c r="L57" i="59"/>
  <c r="AS107" i="60" s="1"/>
  <c r="K57" i="59"/>
  <c r="AR107" i="60" s="1"/>
  <c r="J57" i="59"/>
  <c r="AQ107" i="60" s="1"/>
  <c r="N56" i="59"/>
  <c r="AU101" i="60"/>
  <c r="M56" i="59"/>
  <c r="AT101" i="60" s="1"/>
  <c r="L56" i="59"/>
  <c r="AS101" i="60" s="1"/>
  <c r="K56" i="59"/>
  <c r="AR101" i="60"/>
  <c r="J56" i="59"/>
  <c r="AQ101" i="60" s="1"/>
  <c r="N55" i="59"/>
  <c r="AU100" i="60" s="1"/>
  <c r="M55" i="59"/>
  <c r="AT100" i="60" s="1"/>
  <c r="L55" i="59"/>
  <c r="AS100" i="60"/>
  <c r="K55" i="59"/>
  <c r="AR100" i="60"/>
  <c r="J55" i="59"/>
  <c r="AQ100" i="60" s="1"/>
  <c r="N54" i="59"/>
  <c r="AU99" i="60" s="1"/>
  <c r="M54" i="59"/>
  <c r="AT99" i="60"/>
  <c r="L54" i="59"/>
  <c r="AS99" i="60"/>
  <c r="K54" i="59"/>
  <c r="AR99" i="60" s="1"/>
  <c r="J54" i="59"/>
  <c r="AQ99" i="60" s="1"/>
  <c r="N53" i="59"/>
  <c r="AU98" i="60" s="1"/>
  <c r="M53" i="59"/>
  <c r="AT98" i="60"/>
  <c r="L53" i="59"/>
  <c r="AS98" i="60" s="1"/>
  <c r="K53" i="59"/>
  <c r="AR98" i="60" s="1"/>
  <c r="J53" i="59"/>
  <c r="AQ98" i="60"/>
  <c r="N52" i="59"/>
  <c r="AU97" i="60" s="1"/>
  <c r="M52" i="59"/>
  <c r="AT97" i="60" s="1"/>
  <c r="L52" i="59"/>
  <c r="AS97" i="60" s="1"/>
  <c r="K52" i="59"/>
  <c r="AR97" i="60"/>
  <c r="J52" i="59"/>
  <c r="AQ97" i="60"/>
  <c r="N51" i="59"/>
  <c r="AU96" i="60" s="1"/>
  <c r="M51" i="59"/>
  <c r="AT96" i="60" s="1"/>
  <c r="L51" i="59"/>
  <c r="AS96" i="60"/>
  <c r="K51" i="59"/>
  <c r="AR96" i="60"/>
  <c r="J51" i="59"/>
  <c r="AQ96" i="60" s="1"/>
  <c r="N50" i="59"/>
  <c r="AU95" i="60" s="1"/>
  <c r="M50" i="59"/>
  <c r="AT95" i="60" s="1"/>
  <c r="L50" i="59"/>
  <c r="AS95" i="60"/>
  <c r="K50" i="59"/>
  <c r="AR95" i="60" s="1"/>
  <c r="J50" i="59"/>
  <c r="AQ95" i="60" s="1"/>
  <c r="N49" i="59"/>
  <c r="AU94" i="60"/>
  <c r="M49" i="59"/>
  <c r="AT94" i="60" s="1"/>
  <c r="L49" i="59"/>
  <c r="AS94" i="60"/>
  <c r="K49" i="59"/>
  <c r="AR94" i="60" s="1"/>
  <c r="J49" i="59"/>
  <c r="AQ94" i="60" s="1"/>
  <c r="N48" i="59"/>
  <c r="AU88" i="60" s="1"/>
  <c r="M48" i="59"/>
  <c r="AT88" i="60"/>
  <c r="L48" i="59"/>
  <c r="AS88" i="60" s="1"/>
  <c r="K48" i="59"/>
  <c r="AR88" i="60"/>
  <c r="J48" i="59"/>
  <c r="AQ88" i="60"/>
  <c r="N47" i="59"/>
  <c r="AU87" i="60" s="1"/>
  <c r="M47" i="59"/>
  <c r="AT87" i="60" s="1"/>
  <c r="L47" i="59"/>
  <c r="AS87" i="60"/>
  <c r="K47" i="59"/>
  <c r="AR87" i="60"/>
  <c r="J47" i="59"/>
  <c r="AQ87" i="60" s="1"/>
  <c r="N46" i="59"/>
  <c r="AU86" i="60" s="1"/>
  <c r="M46" i="59"/>
  <c r="AT86" i="60" s="1"/>
  <c r="L46" i="59"/>
  <c r="AS86" i="60"/>
  <c r="K46" i="59"/>
  <c r="AR86" i="60"/>
  <c r="J46" i="59"/>
  <c r="AQ86" i="60" s="1"/>
  <c r="N45" i="59"/>
  <c r="AU85" i="60" s="1"/>
  <c r="M45" i="59"/>
  <c r="AT85" i="60"/>
  <c r="L45" i="59"/>
  <c r="AS85" i="60" s="1"/>
  <c r="K45" i="59"/>
  <c r="AR85" i="60" s="1"/>
  <c r="J45" i="59"/>
  <c r="AQ85" i="60" s="1"/>
  <c r="N44" i="59"/>
  <c r="AU84" i="60" s="1"/>
  <c r="M44" i="59"/>
  <c r="AT84" i="60"/>
  <c r="L44" i="59"/>
  <c r="AS84" i="60" s="1"/>
  <c r="K44" i="59"/>
  <c r="AR84" i="60"/>
  <c r="J44" i="59"/>
  <c r="AQ84" i="60"/>
  <c r="N43" i="59"/>
  <c r="AU83" i="60" s="1"/>
  <c r="M43" i="59"/>
  <c r="AT83" i="60" s="1"/>
  <c r="L43" i="59"/>
  <c r="AS83" i="60"/>
  <c r="K43" i="59"/>
  <c r="AR83" i="60"/>
  <c r="J43" i="59"/>
  <c r="AQ83" i="60"/>
  <c r="N42" i="59"/>
  <c r="AU82" i="60" s="1"/>
  <c r="M42" i="59"/>
  <c r="AT82" i="60"/>
  <c r="L42" i="59"/>
  <c r="AS82" i="60" s="1"/>
  <c r="K42" i="59"/>
  <c r="AR82" i="60" s="1"/>
  <c r="J42" i="59"/>
  <c r="AQ82" i="60" s="1"/>
  <c r="N41" i="59"/>
  <c r="AU76" i="60" s="1"/>
  <c r="M41" i="59"/>
  <c r="AT76" i="60"/>
  <c r="L41" i="59"/>
  <c r="AS76" i="60" s="1"/>
  <c r="K41" i="59"/>
  <c r="AR76" i="60" s="1"/>
  <c r="J41" i="59"/>
  <c r="AQ76" i="60"/>
  <c r="N40" i="59"/>
  <c r="AU75" i="60" s="1"/>
  <c r="M40" i="59"/>
  <c r="AT75" i="60" s="1"/>
  <c r="L40" i="59"/>
  <c r="AS75" i="60" s="1"/>
  <c r="K40" i="59"/>
  <c r="AR75" i="60"/>
  <c r="J40" i="59"/>
  <c r="AQ75" i="60"/>
  <c r="N39" i="59"/>
  <c r="AU74" i="60" s="1"/>
  <c r="M39" i="59"/>
  <c r="AT74" i="60" s="1"/>
  <c r="L39" i="59"/>
  <c r="AS74" i="60" s="1"/>
  <c r="K39" i="59"/>
  <c r="AR74" i="60" s="1"/>
  <c r="J39" i="59"/>
  <c r="AQ74" i="60" s="1"/>
  <c r="N38" i="59"/>
  <c r="AU73" i="60" s="1"/>
  <c r="M38" i="59"/>
  <c r="AT73" i="60"/>
  <c r="L38" i="59"/>
  <c r="AS73" i="60" s="1"/>
  <c r="K38" i="59"/>
  <c r="AR73" i="60" s="1"/>
  <c r="J38" i="59"/>
  <c r="AQ73" i="60" s="1"/>
  <c r="N37" i="59"/>
  <c r="AU72" i="60" s="1"/>
  <c r="M37" i="59"/>
  <c r="AT72" i="60"/>
  <c r="L37" i="59"/>
  <c r="AS72" i="60" s="1"/>
  <c r="K37" i="59"/>
  <c r="AR72" i="60" s="1"/>
  <c r="J37" i="59"/>
  <c r="AQ72" i="60"/>
  <c r="N36" i="59"/>
  <c r="AU71" i="60" s="1"/>
  <c r="M36" i="59"/>
  <c r="AT71" i="60"/>
  <c r="L36" i="59"/>
  <c r="AS71" i="60" s="1"/>
  <c r="K36" i="59"/>
  <c r="AR71" i="60"/>
  <c r="J36" i="59"/>
  <c r="AQ71" i="60" s="1"/>
  <c r="N35" i="59"/>
  <c r="AU70" i="60" s="1"/>
  <c r="M35" i="59"/>
  <c r="AT70" i="60" s="1"/>
  <c r="L35" i="59"/>
  <c r="AS70" i="60"/>
  <c r="K35" i="59"/>
  <c r="AR70" i="60"/>
  <c r="J35" i="59"/>
  <c r="AQ70" i="60" s="1"/>
  <c r="N34" i="59"/>
  <c r="AU69" i="60" s="1"/>
  <c r="M34" i="59"/>
  <c r="AT69" i="60" s="1"/>
  <c r="L34" i="59"/>
  <c r="AS69" i="60" s="1"/>
  <c r="K34" i="59"/>
  <c r="AR69" i="60" s="1"/>
  <c r="J34" i="59"/>
  <c r="AQ69" i="60" s="1"/>
  <c r="N33" i="59"/>
  <c r="AU68" i="60" s="1"/>
  <c r="M33" i="59"/>
  <c r="AT68" i="60" s="1"/>
  <c r="L33" i="59"/>
  <c r="AS68" i="60"/>
  <c r="K33" i="59"/>
  <c r="AR68" i="60" s="1"/>
  <c r="J33" i="59"/>
  <c r="AQ68" i="60"/>
  <c r="N32" i="59"/>
  <c r="AU67" i="60" s="1"/>
  <c r="M32" i="59"/>
  <c r="AT67" i="60" s="1"/>
  <c r="L32" i="59"/>
  <c r="AS67" i="60" s="1"/>
  <c r="K32" i="59"/>
  <c r="AR67" i="60"/>
  <c r="J32" i="59"/>
  <c r="AQ67" i="60" s="1"/>
  <c r="N31" i="59"/>
  <c r="AU66" i="60" s="1"/>
  <c r="M31" i="59"/>
  <c r="AT66" i="60" s="1"/>
  <c r="L31" i="59"/>
  <c r="AS66" i="60" s="1"/>
  <c r="K31" i="59"/>
  <c r="AR66" i="60"/>
  <c r="J31" i="59"/>
  <c r="AQ66" i="60" s="1"/>
  <c r="N30" i="59"/>
  <c r="AU65" i="60" s="1"/>
  <c r="M30" i="59"/>
  <c r="AT65" i="60"/>
  <c r="L30" i="59"/>
  <c r="AS65" i="60" s="1"/>
  <c r="K30" i="59"/>
  <c r="AR65" i="60"/>
  <c r="J30" i="59"/>
  <c r="AQ65" i="60" s="1"/>
  <c r="N29" i="59"/>
  <c r="AU64" i="60"/>
  <c r="M29" i="59"/>
  <c r="AT64" i="60" s="1"/>
  <c r="L29" i="59"/>
  <c r="AS64" i="60" s="1"/>
  <c r="K29" i="59"/>
  <c r="AR64" i="60" s="1"/>
  <c r="J29" i="59"/>
  <c r="AQ64" i="60"/>
  <c r="N28" i="59"/>
  <c r="AU63" i="60"/>
  <c r="M28" i="59"/>
  <c r="AT63" i="60" s="1"/>
  <c r="L28" i="59"/>
  <c r="AS63" i="60" s="1"/>
  <c r="K28" i="59"/>
  <c r="AR63" i="60" s="1"/>
  <c r="J28" i="59"/>
  <c r="AQ63" i="60" s="1"/>
  <c r="N27" i="59"/>
  <c r="AU62" i="60" s="1"/>
  <c r="M27" i="59"/>
  <c r="AT62" i="60" s="1"/>
  <c r="L27" i="59"/>
  <c r="AS62" i="60" s="1"/>
  <c r="K27" i="59"/>
  <c r="AR62" i="60" s="1"/>
  <c r="J27" i="59"/>
  <c r="AQ62" i="60"/>
  <c r="N26" i="59"/>
  <c r="AU61" i="60" s="1"/>
  <c r="M26" i="59"/>
  <c r="AT61" i="60"/>
  <c r="L26" i="59"/>
  <c r="AS61" i="60" s="1"/>
  <c r="K26" i="59"/>
  <c r="AR61" i="60" s="1"/>
  <c r="J26" i="59"/>
  <c r="AQ61" i="60" s="1"/>
  <c r="N25" i="59"/>
  <c r="AU60" i="60"/>
  <c r="M25" i="59"/>
  <c r="AT60" i="60" s="1"/>
  <c r="L25" i="59"/>
  <c r="AS60" i="60" s="1"/>
  <c r="K25" i="59"/>
  <c r="AR60" i="60" s="1"/>
  <c r="J25" i="59"/>
  <c r="AQ60" i="60" s="1"/>
  <c r="N24" i="59"/>
  <c r="M24" i="59"/>
  <c r="L24" i="59"/>
  <c r="K24" i="59"/>
  <c r="J24" i="59"/>
  <c r="N23" i="59"/>
  <c r="L23" i="59"/>
  <c r="K23" i="59"/>
  <c r="J23" i="59"/>
  <c r="N22" i="59"/>
  <c r="M22" i="59"/>
  <c r="L22" i="59"/>
  <c r="K22" i="59"/>
  <c r="J22" i="59"/>
  <c r="N21" i="59"/>
  <c r="AU43" i="60" s="1"/>
  <c r="M21" i="59"/>
  <c r="AT43" i="60" s="1"/>
  <c r="L21" i="59"/>
  <c r="AS43" i="60" s="1"/>
  <c r="K21" i="59"/>
  <c r="AR43" i="60" s="1"/>
  <c r="J21" i="59"/>
  <c r="AQ43" i="60" s="1"/>
  <c r="N20" i="59"/>
  <c r="AU42" i="60" s="1"/>
  <c r="M20" i="59"/>
  <c r="AT42" i="60" s="1"/>
  <c r="L20" i="59"/>
  <c r="AS42" i="60"/>
  <c r="K20" i="59"/>
  <c r="AR42" i="60" s="1"/>
  <c r="J20" i="59"/>
  <c r="AQ42" i="60"/>
  <c r="N19" i="59"/>
  <c r="AU36" i="60" s="1"/>
  <c r="M19" i="59"/>
  <c r="AT36" i="60" s="1"/>
  <c r="L19" i="59"/>
  <c r="AS36" i="60" s="1"/>
  <c r="K19" i="59"/>
  <c r="AR36" i="60"/>
  <c r="J19" i="59"/>
  <c r="AQ36" i="60" s="1"/>
  <c r="N18" i="59"/>
  <c r="AU35" i="60" s="1"/>
  <c r="M18" i="59"/>
  <c r="AT35" i="60" s="1"/>
  <c r="L18" i="59"/>
  <c r="AS35" i="60"/>
  <c r="K18" i="59"/>
  <c r="AR35" i="60" s="1"/>
  <c r="J18" i="59"/>
  <c r="AQ35" i="60" s="1"/>
  <c r="N17" i="59"/>
  <c r="AU34" i="60" s="1"/>
  <c r="M17" i="59"/>
  <c r="AT34" i="60"/>
  <c r="L17" i="59"/>
  <c r="AS34" i="60" s="1"/>
  <c r="K17" i="59"/>
  <c r="AR34" i="60" s="1"/>
  <c r="J17" i="59"/>
  <c r="AQ34" i="60" s="1"/>
  <c r="N16" i="59"/>
  <c r="AU33" i="60"/>
  <c r="M16" i="59"/>
  <c r="AT33" i="60" s="1"/>
  <c r="L16" i="59"/>
  <c r="AS33" i="60" s="1"/>
  <c r="K16" i="59"/>
  <c r="AR33" i="60" s="1"/>
  <c r="J16" i="59"/>
  <c r="AQ33" i="60" s="1"/>
  <c r="N15" i="59"/>
  <c r="AU32" i="60"/>
  <c r="M15" i="59"/>
  <c r="AT32" i="60"/>
  <c r="L15" i="59"/>
  <c r="AS32" i="60" s="1"/>
  <c r="K15" i="59"/>
  <c r="AR32" i="60" s="1"/>
  <c r="J15" i="59"/>
  <c r="AQ32" i="60"/>
  <c r="N14" i="59"/>
  <c r="AU31" i="60" s="1"/>
  <c r="M14" i="59"/>
  <c r="AT31" i="60" s="1"/>
  <c r="L14" i="59"/>
  <c r="AS31" i="60"/>
  <c r="K14" i="59"/>
  <c r="AR31" i="60" s="1"/>
  <c r="J14" i="59"/>
  <c r="AQ31" i="60"/>
  <c r="N13" i="59"/>
  <c r="AU30" i="60" s="1"/>
  <c r="M13" i="59"/>
  <c r="AT30" i="60" s="1"/>
  <c r="L13" i="59"/>
  <c r="AS30" i="60" s="1"/>
  <c r="K13" i="59"/>
  <c r="AR30" i="60"/>
  <c r="J13" i="59"/>
  <c r="AQ30" i="60" s="1"/>
  <c r="N12" i="59"/>
  <c r="AU24" i="60"/>
  <c r="M12" i="59"/>
  <c r="AT24" i="60"/>
  <c r="L12" i="59"/>
  <c r="AS24" i="60" s="1"/>
  <c r="K12" i="59"/>
  <c r="AR24" i="60" s="1"/>
  <c r="J12" i="59"/>
  <c r="AQ24" i="60" s="1"/>
  <c r="N11" i="59"/>
  <c r="AU23" i="60"/>
  <c r="M11" i="59"/>
  <c r="AT23" i="60"/>
  <c r="L11" i="59"/>
  <c r="AS23" i="60" s="1"/>
  <c r="K11" i="59"/>
  <c r="AR23" i="60" s="1"/>
  <c r="J11" i="59"/>
  <c r="AQ23" i="60" s="1"/>
  <c r="N9" i="59"/>
  <c r="AU21" i="60" s="1"/>
  <c r="M9" i="59"/>
  <c r="AT21" i="60" s="1"/>
  <c r="L9" i="59"/>
  <c r="AS21" i="60" s="1"/>
  <c r="K9" i="59"/>
  <c r="AR21" i="60"/>
  <c r="J9" i="59"/>
  <c r="AQ21" i="60" s="1"/>
  <c r="N8" i="59"/>
  <c r="AU15" i="60" s="1"/>
  <c r="M8" i="59"/>
  <c r="AT15" i="60" s="1"/>
  <c r="L8" i="59"/>
  <c r="AS15" i="60" s="1"/>
  <c r="K8" i="59"/>
  <c r="AR15" i="60"/>
  <c r="J8" i="59"/>
  <c r="AQ15" i="60" s="1"/>
  <c r="N7" i="59"/>
  <c r="AU14" i="60" s="1"/>
  <c r="M7" i="59"/>
  <c r="AT14" i="60"/>
  <c r="L7" i="59"/>
  <c r="AS14" i="60" s="1"/>
  <c r="K7" i="59"/>
  <c r="AR14" i="60"/>
  <c r="J7" i="59"/>
  <c r="AQ14" i="60" s="1"/>
  <c r="N6" i="59"/>
  <c r="AU13" i="60" s="1"/>
  <c r="M6" i="59"/>
  <c r="AT13" i="60" s="1"/>
  <c r="L6" i="59"/>
  <c r="AS13" i="60" s="1"/>
  <c r="K6" i="59"/>
  <c r="AR13" i="60" s="1"/>
  <c r="J6" i="59"/>
  <c r="AQ13" i="60" s="1"/>
  <c r="B6" i="59"/>
  <c r="N5" i="59"/>
  <c r="AU12" i="60" s="1"/>
  <c r="M5" i="59"/>
  <c r="AT12" i="60" s="1"/>
  <c r="L5" i="59"/>
  <c r="AS12" i="60" s="1"/>
  <c r="K5" i="59"/>
  <c r="AR12" i="60" s="1"/>
  <c r="J5" i="59"/>
  <c r="AQ12" i="60" s="1"/>
  <c r="AS144" i="60"/>
  <c r="AT144" i="60"/>
  <c r="AU144" i="60"/>
  <c r="AQ144" i="60"/>
  <c r="AR144" i="60"/>
  <c r="AR121" i="60"/>
  <c r="AR129" i="60"/>
  <c r="AU128" i="60"/>
  <c r="AU120" i="60"/>
  <c r="AQ120" i="60"/>
  <c r="AQ128" i="60"/>
  <c r="AT129" i="60"/>
  <c r="AT121" i="60"/>
  <c r="AR128" i="60"/>
  <c r="AR120" i="60"/>
  <c r="AU129" i="60"/>
  <c r="AU121" i="60"/>
  <c r="AS128" i="60"/>
  <c r="AS120" i="60"/>
  <c r="AT128" i="60"/>
  <c r="AT120" i="60"/>
  <c r="U47" i="58"/>
  <c r="AH43" i="64"/>
  <c r="R37" i="58"/>
  <c r="R38" i="58"/>
  <c r="F18" i="55"/>
  <c r="P91" i="59" s="1"/>
  <c r="F17" i="55"/>
  <c r="P90" i="59" s="1"/>
  <c r="F16" i="55"/>
  <c r="P89" i="59" s="1"/>
  <c r="F17" i="54"/>
  <c r="P87" i="59" s="1"/>
  <c r="F18" i="54"/>
  <c r="P88" i="59" s="1"/>
  <c r="F17" i="53"/>
  <c r="P79" i="59"/>
  <c r="F18" i="53"/>
  <c r="P80" i="59" s="1"/>
  <c r="F19" i="53"/>
  <c r="P81" i="59" s="1"/>
  <c r="F20" i="53"/>
  <c r="P82" i="59" s="1"/>
  <c r="F16" i="53"/>
  <c r="P78" i="59" s="1"/>
  <c r="F19" i="52"/>
  <c r="P77" i="59" s="1"/>
  <c r="F17" i="52"/>
  <c r="P75" i="59" s="1"/>
  <c r="F18" i="52"/>
  <c r="P76" i="59" s="1"/>
  <c r="F16" i="52"/>
  <c r="P74" i="59" s="1"/>
  <c r="F16" i="50"/>
  <c r="P70" i="59" s="1"/>
  <c r="F18" i="51"/>
  <c r="P69" i="59"/>
  <c r="F17" i="51"/>
  <c r="P68" i="59" s="1"/>
  <c r="F16" i="51"/>
  <c r="P67" i="59"/>
  <c r="F17" i="48"/>
  <c r="F16" i="48"/>
  <c r="F22" i="47"/>
  <c r="P63" i="59" s="1"/>
  <c r="F23" i="47"/>
  <c r="P64" i="59" s="1"/>
  <c r="F20" i="47"/>
  <c r="P61" i="59" s="1"/>
  <c r="F21" i="47"/>
  <c r="P62" i="59" s="1"/>
  <c r="F18" i="47"/>
  <c r="P59" i="59" s="1"/>
  <c r="F19" i="47"/>
  <c r="P60" i="59" s="1"/>
  <c r="F17" i="47"/>
  <c r="P58" i="59" s="1"/>
  <c r="F16" i="47"/>
  <c r="P57" i="59" s="1"/>
  <c r="AD17" i="43"/>
  <c r="Q41" i="58"/>
  <c r="O95" i="60" s="1"/>
  <c r="F17" i="43"/>
  <c r="P50" i="59" s="1"/>
  <c r="F18" i="43"/>
  <c r="P51" i="59" s="1"/>
  <c r="F19" i="43"/>
  <c r="P52" i="59" s="1"/>
  <c r="F20" i="43"/>
  <c r="P53" i="59" s="1"/>
  <c r="F21" i="43"/>
  <c r="P54" i="59" s="1"/>
  <c r="F22" i="43"/>
  <c r="P55" i="59" s="1"/>
  <c r="F23" i="43"/>
  <c r="P56" i="59" s="1"/>
  <c r="F16" i="43"/>
  <c r="P49" i="59"/>
  <c r="F22" i="42"/>
  <c r="P48" i="59" s="1"/>
  <c r="F20" i="42"/>
  <c r="P46" i="59"/>
  <c r="F21" i="42"/>
  <c r="P47" i="59" s="1"/>
  <c r="F19" i="42"/>
  <c r="P45" i="59" s="1"/>
  <c r="F17" i="42"/>
  <c r="P43" i="59" s="1"/>
  <c r="F18" i="42"/>
  <c r="P44" i="59" s="1"/>
  <c r="F16" i="42"/>
  <c r="P42" i="59" s="1"/>
  <c r="F33" i="41"/>
  <c r="F34" i="41"/>
  <c r="P40" i="59" s="1"/>
  <c r="F35" i="41"/>
  <c r="P41" i="59" s="1"/>
  <c r="F29" i="41"/>
  <c r="P35" i="59" s="1"/>
  <c r="F30" i="41"/>
  <c r="P36" i="59" s="1"/>
  <c r="F31" i="41"/>
  <c r="P37" i="59" s="1"/>
  <c r="F32" i="41"/>
  <c r="P38" i="59" s="1"/>
  <c r="F26" i="41"/>
  <c r="P32" i="59" s="1"/>
  <c r="F27" i="41"/>
  <c r="P33" i="59" s="1"/>
  <c r="F28" i="41"/>
  <c r="P34" i="59" s="1"/>
  <c r="F24" i="41"/>
  <c r="P30" i="59" s="1"/>
  <c r="F25" i="41"/>
  <c r="P31" i="59" s="1"/>
  <c r="F22" i="41"/>
  <c r="P28" i="59" s="1"/>
  <c r="F21" i="41"/>
  <c r="P27" i="59"/>
  <c r="F23" i="41"/>
  <c r="P29" i="59" s="1"/>
  <c r="F17" i="41"/>
  <c r="P23" i="59" s="1"/>
  <c r="F18" i="41"/>
  <c r="P24" i="59" s="1"/>
  <c r="F19" i="41"/>
  <c r="BE19" i="41" s="1"/>
  <c r="F20" i="41"/>
  <c r="P26" i="59" s="1"/>
  <c r="F16" i="41"/>
  <c r="P22" i="59" s="1"/>
  <c r="P39" i="59"/>
  <c r="F17" i="56"/>
  <c r="P21" i="59" s="1"/>
  <c r="F16" i="56"/>
  <c r="P20" i="59" s="1"/>
  <c r="F7" i="39"/>
  <c r="AU23" i="47"/>
  <c r="V68" i="58" s="1"/>
  <c r="AT23" i="47"/>
  <c r="U68" i="58" s="1"/>
  <c r="AM23" i="47"/>
  <c r="T68" i="58" s="1"/>
  <c r="AL23" i="47"/>
  <c r="S68" i="58"/>
  <c r="AF64" i="64" s="1"/>
  <c r="AE23" i="47"/>
  <c r="R68" i="58"/>
  <c r="AD23" i="47"/>
  <c r="Q68" i="58"/>
  <c r="V23" i="47"/>
  <c r="O68" i="58" s="1"/>
  <c r="W23" i="47"/>
  <c r="P68" i="58" s="1"/>
  <c r="W19" i="43"/>
  <c r="P43" i="58" s="1"/>
  <c r="W17" i="43"/>
  <c r="P41" i="58" s="1"/>
  <c r="H95" i="60" s="1"/>
  <c r="AE16" i="46"/>
  <c r="R59" i="58" s="1"/>
  <c r="AD16" i="46"/>
  <c r="Q59" i="58" s="1"/>
  <c r="AU16" i="46"/>
  <c r="V59" i="58" s="1"/>
  <c r="AT16" i="46"/>
  <c r="U59" i="58"/>
  <c r="AH55" i="64" s="1"/>
  <c r="V16" i="46"/>
  <c r="O59" i="58"/>
  <c r="AB55" i="64" s="1"/>
  <c r="AL16" i="46"/>
  <c r="S59" i="58" s="1"/>
  <c r="AM16" i="46"/>
  <c r="T59" i="58" s="1"/>
  <c r="W16" i="46"/>
  <c r="P59" i="58" s="1"/>
  <c r="F18" i="46"/>
  <c r="P85" i="59" s="1"/>
  <c r="F17" i="46"/>
  <c r="P84" i="59" s="1"/>
  <c r="F16" i="46"/>
  <c r="P83" i="59" s="1"/>
  <c r="F19" i="45"/>
  <c r="P12" i="59" s="1"/>
  <c r="F16" i="45"/>
  <c r="P9" i="59" s="1"/>
  <c r="AL49" i="60"/>
  <c r="F17" i="37"/>
  <c r="P6" i="59" s="1"/>
  <c r="F18" i="37"/>
  <c r="P7" i="59" s="1"/>
  <c r="F19" i="37"/>
  <c r="P8" i="59" s="1"/>
  <c r="F16" i="37"/>
  <c r="P5" i="59"/>
  <c r="F17" i="44"/>
  <c r="P14" i="59"/>
  <c r="F18" i="44"/>
  <c r="P15" i="59" s="1"/>
  <c r="F19" i="44"/>
  <c r="P16" i="59" s="1"/>
  <c r="F20" i="44"/>
  <c r="P17" i="59" s="1"/>
  <c r="F21" i="44"/>
  <c r="P18" i="59" s="1"/>
  <c r="F22" i="44"/>
  <c r="P19" i="59"/>
  <c r="F16" i="44"/>
  <c r="P13" i="59" s="1"/>
  <c r="W21" i="42"/>
  <c r="P38" i="58"/>
  <c r="AC34" i="64"/>
  <c r="H87" i="60"/>
  <c r="I87" i="60"/>
  <c r="J87" i="60" s="1"/>
  <c r="W20" i="42"/>
  <c r="P37" i="58"/>
  <c r="V19" i="37"/>
  <c r="O58" i="58" s="1"/>
  <c r="AB54" i="64"/>
  <c r="O18" i="46"/>
  <c r="R85" i="59" s="1"/>
  <c r="O17" i="46"/>
  <c r="R84" i="59" s="1"/>
  <c r="O16" i="46"/>
  <c r="R83" i="59" s="1"/>
  <c r="AU17" i="46"/>
  <c r="V60" i="58" s="1"/>
  <c r="AT17" i="46"/>
  <c r="U60" i="58" s="1"/>
  <c r="AM17" i="46"/>
  <c r="T60" i="58" s="1"/>
  <c r="Z50" i="60" s="1"/>
  <c r="AL17" i="46"/>
  <c r="S60" i="58"/>
  <c r="AE17" i="46"/>
  <c r="R60" i="58" s="1"/>
  <c r="AD17" i="46"/>
  <c r="Q60" i="58"/>
  <c r="W17" i="46"/>
  <c r="P60" i="58" s="1"/>
  <c r="I50" i="60" s="1"/>
  <c r="J50" i="60" s="1"/>
  <c r="V17" i="46"/>
  <c r="O60" i="58" s="1"/>
  <c r="F50" i="60" s="1"/>
  <c r="I17" i="46"/>
  <c r="E84" i="59" s="1"/>
  <c r="D50" i="60" s="1"/>
  <c r="I16" i="46"/>
  <c r="E83" i="59" s="1"/>
  <c r="D49" i="60" s="1"/>
  <c r="H17" i="46"/>
  <c r="H16" i="46"/>
  <c r="E17" i="46"/>
  <c r="E16" i="46"/>
  <c r="D17" i="46"/>
  <c r="D16" i="46"/>
  <c r="B16" i="46"/>
  <c r="C16" i="46"/>
  <c r="AB56" i="64"/>
  <c r="AW17" i="46"/>
  <c r="D22" i="47"/>
  <c r="D23" i="47"/>
  <c r="D20" i="47"/>
  <c r="D21" i="47"/>
  <c r="D19" i="47"/>
  <c r="D18" i="47"/>
  <c r="D17" i="47"/>
  <c r="I18" i="45"/>
  <c r="E11" i="59" s="1"/>
  <c r="D23" i="60"/>
  <c r="I19" i="45"/>
  <c r="E12" i="59" s="1"/>
  <c r="D24" i="60" s="1"/>
  <c r="I16" i="45"/>
  <c r="E9" i="59" s="1"/>
  <c r="D21" i="60" s="1"/>
  <c r="H18" i="45"/>
  <c r="H19" i="45"/>
  <c r="H16" i="45"/>
  <c r="Q11" i="59"/>
  <c r="E23" i="60" s="1"/>
  <c r="Q12" i="59"/>
  <c r="E24" i="60" s="1"/>
  <c r="E21" i="60"/>
  <c r="N21" i="60" s="1"/>
  <c r="E18" i="45"/>
  <c r="E19" i="45"/>
  <c r="E16" i="45"/>
  <c r="D18" i="45"/>
  <c r="D19" i="45"/>
  <c r="D16" i="45"/>
  <c r="C18" i="45"/>
  <c r="C19" i="45"/>
  <c r="C16" i="45"/>
  <c r="B16" i="45"/>
  <c r="AU19" i="45"/>
  <c r="V99" i="58" s="1"/>
  <c r="AI95" i="64" s="1"/>
  <c r="AT19" i="45"/>
  <c r="U99" i="58" s="1"/>
  <c r="AH95" i="64" s="1"/>
  <c r="AM19" i="45"/>
  <c r="T99" i="58" s="1"/>
  <c r="AG95" i="64" s="1"/>
  <c r="AL19" i="45"/>
  <c r="S99" i="58"/>
  <c r="AE19" i="45"/>
  <c r="AD19" i="45"/>
  <c r="Q99" i="58" s="1"/>
  <c r="W19" i="45"/>
  <c r="P99" i="58" s="1"/>
  <c r="V19" i="45"/>
  <c r="O99" i="58"/>
  <c r="G24" i="60" s="1"/>
  <c r="AU18" i="45"/>
  <c r="V98" i="58"/>
  <c r="AI23" i="60" s="1"/>
  <c r="AT18" i="45"/>
  <c r="U98" i="58"/>
  <c r="AM18" i="45"/>
  <c r="T98" i="58"/>
  <c r="Z23" i="60" s="1"/>
  <c r="AL18" i="45"/>
  <c r="S98" i="58" s="1"/>
  <c r="AE18" i="45"/>
  <c r="AD18" i="45"/>
  <c r="Q98" i="58" s="1"/>
  <c r="W18" i="45"/>
  <c r="AW18" i="45" s="1"/>
  <c r="V18" i="45"/>
  <c r="AU16" i="45"/>
  <c r="V96" i="58" s="1"/>
  <c r="AT16" i="45"/>
  <c r="U96" i="58"/>
  <c r="AM16" i="45"/>
  <c r="T96" i="58" s="1"/>
  <c r="AG92" i="64" s="1"/>
  <c r="AL16" i="45"/>
  <c r="S96" i="58" s="1"/>
  <c r="AF92" i="64" s="1"/>
  <c r="AE16" i="45"/>
  <c r="R96" i="58"/>
  <c r="AD16" i="45"/>
  <c r="Q96" i="58"/>
  <c r="O21" i="60" s="1"/>
  <c r="T21" i="60" s="1"/>
  <c r="W16" i="45"/>
  <c r="P96" i="58" s="1"/>
  <c r="AC92" i="64" s="1"/>
  <c r="V16" i="45"/>
  <c r="O96" i="58" s="1"/>
  <c r="AG94" i="64"/>
  <c r="AD92" i="64"/>
  <c r="N24" i="60"/>
  <c r="AH94" i="64"/>
  <c r="AH92" i="64"/>
  <c r="AW16" i="45"/>
  <c r="AV17" i="56"/>
  <c r="AU17" i="56"/>
  <c r="V94" i="58" s="1"/>
  <c r="AI90" i="64" s="1"/>
  <c r="AT17" i="56"/>
  <c r="U94" i="58" s="1"/>
  <c r="AG43" i="60" s="1"/>
  <c r="AM17" i="56"/>
  <c r="T94" i="58" s="1"/>
  <c r="Z43" i="60" s="1"/>
  <c r="AL17" i="56"/>
  <c r="S94" i="58" s="1"/>
  <c r="AE17" i="56"/>
  <c r="R94" i="58" s="1"/>
  <c r="AD17" i="56"/>
  <c r="Q94" i="58" s="1"/>
  <c r="W17" i="56"/>
  <c r="P94" i="58"/>
  <c r="I43" i="60" s="1"/>
  <c r="J43" i="60" s="1"/>
  <c r="V17" i="56"/>
  <c r="O94" i="58" s="1"/>
  <c r="AV16" i="56"/>
  <c r="AU16" i="56"/>
  <c r="V93" i="58" s="1"/>
  <c r="AI42" i="60" s="1"/>
  <c r="AT16" i="56"/>
  <c r="U93" i="58" s="1"/>
  <c r="AM16" i="56"/>
  <c r="T93" i="58" s="1"/>
  <c r="AL16" i="56"/>
  <c r="S93" i="58" s="1"/>
  <c r="AE16" i="56"/>
  <c r="R93" i="58" s="1"/>
  <c r="Q42" i="60" s="1"/>
  <c r="AD16" i="56"/>
  <c r="Q93" i="58" s="1"/>
  <c r="W16" i="56"/>
  <c r="P93" i="58"/>
  <c r="AC89" i="64" s="1"/>
  <c r="V16" i="56"/>
  <c r="O93" i="58"/>
  <c r="I17" i="56"/>
  <c r="E21" i="59" s="1"/>
  <c r="D43" i="60" s="1"/>
  <c r="I16" i="56"/>
  <c r="E20" i="59"/>
  <c r="D42" i="60" s="1"/>
  <c r="H17" i="56"/>
  <c r="H16" i="56"/>
  <c r="E17" i="56"/>
  <c r="E16" i="56"/>
  <c r="D17" i="56"/>
  <c r="D16" i="56"/>
  <c r="C16" i="56"/>
  <c r="B16" i="56"/>
  <c r="O94" i="38"/>
  <c r="O93" i="38"/>
  <c r="H43" i="60"/>
  <c r="I42" i="60"/>
  <c r="J42" i="60" s="1"/>
  <c r="AI43" i="60"/>
  <c r="AZ16" i="56"/>
  <c r="X94" i="58"/>
  <c r="AX16" i="56"/>
  <c r="AZ17" i="56"/>
  <c r="BH17" i="56" s="1"/>
  <c r="AH94" i="58" s="1"/>
  <c r="AX17" i="56"/>
  <c r="AY17" i="56"/>
  <c r="BC17" i="56" s="1"/>
  <c r="AW17" i="56"/>
  <c r="I17" i="55"/>
  <c r="E90" i="59" s="1"/>
  <c r="D172" i="60" s="1"/>
  <c r="I18" i="55"/>
  <c r="E91" i="59" s="1"/>
  <c r="D173" i="60" s="1"/>
  <c r="I16" i="55"/>
  <c r="E89" i="59" s="1"/>
  <c r="D171" i="60" s="1"/>
  <c r="E17" i="55"/>
  <c r="E18" i="55"/>
  <c r="E16" i="55"/>
  <c r="D17" i="55"/>
  <c r="D18" i="55"/>
  <c r="D16" i="55"/>
  <c r="C16" i="55"/>
  <c r="B16" i="55"/>
  <c r="AU18" i="55"/>
  <c r="V92" i="58" s="1"/>
  <c r="AI88" i="64" s="1"/>
  <c r="AT18" i="55"/>
  <c r="U92" i="58"/>
  <c r="AL173" i="60" s="1"/>
  <c r="AM18" i="55"/>
  <c r="T92" i="58" s="1"/>
  <c r="AG88" i="64" s="1"/>
  <c r="AL18" i="55"/>
  <c r="S92" i="58" s="1"/>
  <c r="AE18" i="55"/>
  <c r="AD18" i="55"/>
  <c r="Q92" i="58" s="1"/>
  <c r="W18" i="55"/>
  <c r="AW18" i="55" s="1"/>
  <c r="P92" i="58"/>
  <c r="V18" i="55"/>
  <c r="O92" i="58"/>
  <c r="P173" i="60" s="1"/>
  <c r="O18" i="55"/>
  <c r="R91" i="59" s="1"/>
  <c r="AU17" i="55"/>
  <c r="V91" i="58"/>
  <c r="AT17" i="55"/>
  <c r="U91" i="58"/>
  <c r="AM17" i="55"/>
  <c r="AL17" i="55"/>
  <c r="S91" i="58" s="1"/>
  <c r="AF87" i="64" s="1"/>
  <c r="AE17" i="55"/>
  <c r="AD17" i="55"/>
  <c r="Q91" i="58" s="1"/>
  <c r="AD87" i="64" s="1"/>
  <c r="W17" i="55"/>
  <c r="V17" i="55"/>
  <c r="O91" i="58"/>
  <c r="AB87" i="64" s="1"/>
  <c r="O17" i="55"/>
  <c r="R90" i="59" s="1"/>
  <c r="AU16" i="55"/>
  <c r="V90" i="58" s="1"/>
  <c r="AT16" i="55"/>
  <c r="U90" i="58"/>
  <c r="AM16" i="55"/>
  <c r="T90" i="58"/>
  <c r="Z171" i="60" s="1"/>
  <c r="AL16" i="55"/>
  <c r="AE16" i="55"/>
  <c r="R90" i="58"/>
  <c r="Q171" i="60" s="1"/>
  <c r="AD16" i="55"/>
  <c r="Q90" i="58"/>
  <c r="O171" i="60" s="1"/>
  <c r="W16" i="55"/>
  <c r="AW16" i="55" s="1"/>
  <c r="V16" i="55"/>
  <c r="O90" i="58"/>
  <c r="AB86" i="64" s="1"/>
  <c r="O16" i="55"/>
  <c r="R89" i="59" s="1"/>
  <c r="O90" i="38"/>
  <c r="O91" i="38"/>
  <c r="O92" i="38"/>
  <c r="O172" i="60"/>
  <c r="T172" i="60" s="1"/>
  <c r="P90" i="58"/>
  <c r="AC86" i="64" s="1"/>
  <c r="O17" i="54"/>
  <c r="R87" i="59" s="1"/>
  <c r="O18" i="54"/>
  <c r="R88" i="59" s="1"/>
  <c r="O16" i="54"/>
  <c r="R86" i="59" s="1"/>
  <c r="I17" i="54"/>
  <c r="E87" i="59" s="1"/>
  <c r="D164" i="60" s="1"/>
  <c r="I18" i="54"/>
  <c r="E88" i="59" s="1"/>
  <c r="D165" i="60" s="1"/>
  <c r="I16" i="54"/>
  <c r="E86" i="59" s="1"/>
  <c r="D163" i="60" s="1"/>
  <c r="H17" i="54"/>
  <c r="H18" i="54"/>
  <c r="H16" i="54"/>
  <c r="Q88" i="59"/>
  <c r="E165" i="60" s="1"/>
  <c r="N165" i="60" s="1"/>
  <c r="E17" i="54"/>
  <c r="E18" i="54"/>
  <c r="E16" i="54"/>
  <c r="D17" i="54"/>
  <c r="D18" i="54"/>
  <c r="D16" i="54"/>
  <c r="C16" i="54"/>
  <c r="B16" i="54"/>
  <c r="AU18" i="54"/>
  <c r="V89" i="58" s="1"/>
  <c r="AI85" i="64" s="1"/>
  <c r="AT18" i="54"/>
  <c r="U89" i="58" s="1"/>
  <c r="AM18" i="54"/>
  <c r="T89" i="58" s="1"/>
  <c r="AG85" i="64" s="1"/>
  <c r="AL18" i="54"/>
  <c r="S89" i="58"/>
  <c r="X165" i="60" s="1"/>
  <c r="AE18" i="54"/>
  <c r="AX18" i="54" s="1"/>
  <c r="AD18" i="54"/>
  <c r="Q89" i="58"/>
  <c r="W18" i="54"/>
  <c r="V18" i="54"/>
  <c r="O89" i="58" s="1"/>
  <c r="AU17" i="54"/>
  <c r="V88" i="58" s="1"/>
  <c r="AT17" i="54"/>
  <c r="U88" i="58" s="1"/>
  <c r="AM17" i="54"/>
  <c r="T88" i="58" s="1"/>
  <c r="AG84" i="64" s="1"/>
  <c r="AL17" i="54"/>
  <c r="S88" i="58" s="1"/>
  <c r="X164" i="60" s="1"/>
  <c r="AE17" i="54"/>
  <c r="R88" i="58" s="1"/>
  <c r="AD17" i="54"/>
  <c r="Q88" i="58"/>
  <c r="W17" i="54"/>
  <c r="AW17" i="54" s="1"/>
  <c r="V17" i="54"/>
  <c r="O88" i="58" s="1"/>
  <c r="AU16" i="54"/>
  <c r="V87" i="58" s="1"/>
  <c r="AI163" i="60" s="1"/>
  <c r="AT16" i="54"/>
  <c r="U87" i="58"/>
  <c r="AH83" i="64" s="1"/>
  <c r="AM16" i="54"/>
  <c r="T87" i="58" s="1"/>
  <c r="AL16" i="54"/>
  <c r="S87" i="58" s="1"/>
  <c r="AE16" i="54"/>
  <c r="R87" i="58" s="1"/>
  <c r="AD16" i="54"/>
  <c r="Q87" i="58"/>
  <c r="W16" i="54"/>
  <c r="V16" i="54"/>
  <c r="O87" i="58" s="1"/>
  <c r="AB83" i="64" s="1"/>
  <c r="O89" i="38"/>
  <c r="F89" i="38" s="1"/>
  <c r="F89" i="58" s="1"/>
  <c r="J85" i="64" s="1"/>
  <c r="O88" i="38"/>
  <c r="F88" i="38" s="1"/>
  <c r="F88" i="58" s="1"/>
  <c r="J84" i="64" s="1"/>
  <c r="O87" i="38"/>
  <c r="O83" i="38"/>
  <c r="O82" i="38"/>
  <c r="O81" i="38"/>
  <c r="O80" i="38"/>
  <c r="O79" i="38"/>
  <c r="AF84" i="64"/>
  <c r="AV20" i="53"/>
  <c r="X83" i="58" s="1"/>
  <c r="AJ79" i="64" s="1"/>
  <c r="AU20" i="53"/>
  <c r="V83" i="58" s="1"/>
  <c r="AI79" i="64" s="1"/>
  <c r="AT20" i="53"/>
  <c r="U83" i="58" s="1"/>
  <c r="AM20" i="53"/>
  <c r="T83" i="58" s="1"/>
  <c r="AL20" i="53"/>
  <c r="S83" i="58"/>
  <c r="AF79" i="64" s="1"/>
  <c r="AE20" i="53"/>
  <c r="R83" i="58"/>
  <c r="AE79" i="64" s="1"/>
  <c r="AD20" i="53"/>
  <c r="Q83" i="58" s="1"/>
  <c r="P83" i="58"/>
  <c r="H157" i="60" s="1"/>
  <c r="V20" i="53"/>
  <c r="O83" i="58"/>
  <c r="O17" i="53"/>
  <c r="R79" i="59" s="1"/>
  <c r="O18" i="53"/>
  <c r="R80" i="59" s="1"/>
  <c r="O19" i="53"/>
  <c r="R81" i="59" s="1"/>
  <c r="O20" i="53"/>
  <c r="R82" i="59" s="1"/>
  <c r="O16" i="53"/>
  <c r="R78" i="59" s="1"/>
  <c r="I17" i="53"/>
  <c r="E79" i="59" s="1"/>
  <c r="D154" i="60" s="1"/>
  <c r="I18" i="53"/>
  <c r="E80" i="59" s="1"/>
  <c r="D155" i="60" s="1"/>
  <c r="I19" i="53"/>
  <c r="E81" i="59" s="1"/>
  <c r="D156" i="60" s="1"/>
  <c r="I20" i="53"/>
  <c r="E82" i="59" s="1"/>
  <c r="D157" i="60" s="1"/>
  <c r="I16" i="53"/>
  <c r="E78" i="59" s="1"/>
  <c r="D153" i="60" s="1"/>
  <c r="H17" i="53"/>
  <c r="H18" i="53"/>
  <c r="H19" i="53"/>
  <c r="H20" i="53"/>
  <c r="H16" i="53"/>
  <c r="Q79" i="59"/>
  <c r="E154" i="60" s="1"/>
  <c r="N154" i="60" s="1"/>
  <c r="Q80" i="59"/>
  <c r="E155" i="60" s="1"/>
  <c r="Q78" i="59"/>
  <c r="E153" i="60" s="1"/>
  <c r="N153" i="60" s="1"/>
  <c r="E17" i="53"/>
  <c r="E18" i="53"/>
  <c r="E19" i="53"/>
  <c r="E16" i="53"/>
  <c r="D18" i="53"/>
  <c r="D19" i="53"/>
  <c r="D17" i="53"/>
  <c r="D16" i="53"/>
  <c r="C16" i="53"/>
  <c r="B16" i="53"/>
  <c r="AV19" i="53"/>
  <c r="X82" i="58"/>
  <c r="AJ78" i="64" s="1"/>
  <c r="AU19" i="53"/>
  <c r="V82" i="58" s="1"/>
  <c r="AI78" i="64" s="1"/>
  <c r="AT19" i="53"/>
  <c r="U82" i="58"/>
  <c r="AM19" i="53"/>
  <c r="T82" i="58" s="1"/>
  <c r="Z156" i="60" s="1"/>
  <c r="AL19" i="53"/>
  <c r="S82" i="58" s="1"/>
  <c r="AE19" i="53"/>
  <c r="R82" i="58" s="1"/>
  <c r="AD19" i="53"/>
  <c r="Q82" i="58"/>
  <c r="P82" i="58"/>
  <c r="AC78" i="64" s="1"/>
  <c r="V19" i="53"/>
  <c r="O82" i="58"/>
  <c r="AV18" i="53"/>
  <c r="X81" i="58" s="1"/>
  <c r="AJ77" i="64" s="1"/>
  <c r="AU18" i="53"/>
  <c r="V81" i="58" s="1"/>
  <c r="AT18" i="53"/>
  <c r="U81" i="58" s="1"/>
  <c r="AH77" i="64" s="1"/>
  <c r="AM18" i="53"/>
  <c r="T81" i="58" s="1"/>
  <c r="AL18" i="53"/>
  <c r="S81" i="58"/>
  <c r="X155" i="60" s="1"/>
  <c r="AE18" i="53"/>
  <c r="R81" i="58" s="1"/>
  <c r="AD18" i="53"/>
  <c r="Q81" i="58" s="1"/>
  <c r="W18" i="53"/>
  <c r="P81" i="58" s="1"/>
  <c r="V18" i="53"/>
  <c r="O81" i="58"/>
  <c r="AV17" i="53"/>
  <c r="AU17" i="53"/>
  <c r="V80" i="58" s="1"/>
  <c r="AT17" i="53"/>
  <c r="U80" i="58"/>
  <c r="AM17" i="53"/>
  <c r="T80" i="58" s="1"/>
  <c r="AL17" i="53"/>
  <c r="S80" i="58" s="1"/>
  <c r="AF76" i="64" s="1"/>
  <c r="AE17" i="53"/>
  <c r="R80" i="58" s="1"/>
  <c r="AD17" i="53"/>
  <c r="Q80" i="58"/>
  <c r="W17" i="53"/>
  <c r="P80" i="58"/>
  <c r="V17" i="53"/>
  <c r="O80" i="58" s="1"/>
  <c r="AV16" i="53"/>
  <c r="AU16" i="53"/>
  <c r="V79" i="58" s="1"/>
  <c r="AT16" i="53"/>
  <c r="U79" i="58" s="1"/>
  <c r="AM16" i="53"/>
  <c r="T79" i="58" s="1"/>
  <c r="AG75" i="64" s="1"/>
  <c r="AL16" i="53"/>
  <c r="S79" i="58" s="1"/>
  <c r="AF75" i="64" s="1"/>
  <c r="AE16" i="53"/>
  <c r="R79" i="58" s="1"/>
  <c r="R153" i="60" s="1"/>
  <c r="AD16" i="53"/>
  <c r="Q79" i="58" s="1"/>
  <c r="W16" i="53"/>
  <c r="P79" i="58"/>
  <c r="AC75" i="64" s="1"/>
  <c r="V16" i="53"/>
  <c r="O79" i="58"/>
  <c r="G153" i="60" s="1"/>
  <c r="X157" i="60"/>
  <c r="F153" i="60"/>
  <c r="G155" i="60"/>
  <c r="X156" i="60"/>
  <c r="AB75" i="64"/>
  <c r="AH79" i="64"/>
  <c r="AB79" i="64"/>
  <c r="AY19" i="53"/>
  <c r="BC19" i="53" s="1"/>
  <c r="AW17" i="53"/>
  <c r="AW16" i="53"/>
  <c r="AZ19" i="53"/>
  <c r="X80" i="58"/>
  <c r="AJ76" i="64" s="1"/>
  <c r="AX19" i="53"/>
  <c r="AX17" i="53"/>
  <c r="BB17" i="53" s="1"/>
  <c r="AX20" i="53"/>
  <c r="AX18" i="53"/>
  <c r="AX16" i="53"/>
  <c r="BA16" i="53"/>
  <c r="AV17" i="52"/>
  <c r="AU17" i="52"/>
  <c r="V76" i="58" s="1"/>
  <c r="AT17" i="52"/>
  <c r="U76" i="58"/>
  <c r="AU16" i="52"/>
  <c r="V75" i="58" s="1"/>
  <c r="AI144" i="60" s="1"/>
  <c r="AT16" i="52"/>
  <c r="U75" i="58" s="1"/>
  <c r="AH71" i="64" s="1"/>
  <c r="AM17" i="52"/>
  <c r="T76" i="58" s="1"/>
  <c r="AL17" i="52"/>
  <c r="S76" i="58" s="1"/>
  <c r="AM16" i="52"/>
  <c r="T75" i="58" s="1"/>
  <c r="AL16" i="52"/>
  <c r="S75" i="58" s="1"/>
  <c r="AD17" i="52"/>
  <c r="Q76" i="58" s="1"/>
  <c r="AE16" i="52"/>
  <c r="R75" i="58" s="1"/>
  <c r="AD16" i="52"/>
  <c r="Q75" i="58"/>
  <c r="O144" i="60" s="1"/>
  <c r="W17" i="52"/>
  <c r="P76" i="58" s="1"/>
  <c r="V17" i="52"/>
  <c r="O76" i="58"/>
  <c r="W16" i="52"/>
  <c r="P75" i="58" s="1"/>
  <c r="AC71" i="64" s="1"/>
  <c r="V16" i="52"/>
  <c r="O75" i="58" s="1"/>
  <c r="F144" i="60" s="1"/>
  <c r="AB72" i="64"/>
  <c r="AY17" i="52"/>
  <c r="Q77" i="59"/>
  <c r="E147" i="60" s="1"/>
  <c r="N147" i="60" s="1"/>
  <c r="W147" i="60" s="1"/>
  <c r="AF147" i="60" s="1"/>
  <c r="Q76" i="59"/>
  <c r="E146" i="60" s="1"/>
  <c r="O19" i="52"/>
  <c r="R77" i="59" s="1"/>
  <c r="O17" i="52"/>
  <c r="R75" i="59"/>
  <c r="O18" i="52"/>
  <c r="R76" i="59" s="1"/>
  <c r="O16" i="52"/>
  <c r="R74" i="59" s="1"/>
  <c r="I17" i="52"/>
  <c r="E75" i="59" s="1"/>
  <c r="D145" i="60" s="1"/>
  <c r="I18" i="52"/>
  <c r="E76" i="59" s="1"/>
  <c r="D146" i="60" s="1"/>
  <c r="I19" i="52"/>
  <c r="E77" i="59"/>
  <c r="D147" i="60"/>
  <c r="I16" i="52"/>
  <c r="E74" i="59"/>
  <c r="D144" i="60" s="1"/>
  <c r="H17" i="52"/>
  <c r="H18" i="52"/>
  <c r="H19" i="52"/>
  <c r="H16" i="52"/>
  <c r="E17" i="52"/>
  <c r="E18" i="52"/>
  <c r="E19" i="52"/>
  <c r="E16" i="52"/>
  <c r="D18" i="52"/>
  <c r="D19" i="52"/>
  <c r="D17" i="52"/>
  <c r="D16" i="52"/>
  <c r="C16" i="52"/>
  <c r="B16" i="52"/>
  <c r="AU19" i="52"/>
  <c r="V78" i="58" s="1"/>
  <c r="AI147" i="60" s="1"/>
  <c r="AT19" i="52"/>
  <c r="U78" i="58" s="1"/>
  <c r="AM19" i="52"/>
  <c r="T78" i="58" s="1"/>
  <c r="AG74" i="64" s="1"/>
  <c r="AL19" i="52"/>
  <c r="S78" i="58" s="1"/>
  <c r="AE19" i="52"/>
  <c r="R78" i="58"/>
  <c r="Q147" i="60" s="1"/>
  <c r="AD19" i="52"/>
  <c r="Q78" i="58" s="1"/>
  <c r="W19" i="52"/>
  <c r="P78" i="58" s="1"/>
  <c r="H147" i="60" s="1"/>
  <c r="V19" i="52"/>
  <c r="AU18" i="52"/>
  <c r="V77" i="58" s="1"/>
  <c r="AT18" i="52"/>
  <c r="U77" i="58" s="1"/>
  <c r="AM18" i="52"/>
  <c r="T77" i="58" s="1"/>
  <c r="AG73" i="64" s="1"/>
  <c r="AL18" i="52"/>
  <c r="S77" i="58"/>
  <c r="AF73" i="64" s="1"/>
  <c r="AE18" i="52"/>
  <c r="R77" i="58" s="1"/>
  <c r="AD18" i="52"/>
  <c r="Q77" i="58"/>
  <c r="AD73" i="64" s="1"/>
  <c r="W18" i="52"/>
  <c r="P77" i="58"/>
  <c r="V18" i="52"/>
  <c r="AV16" i="52"/>
  <c r="X75" i="58" s="1"/>
  <c r="AJ71" i="64" s="1"/>
  <c r="F38" i="69" s="1"/>
  <c r="O78" i="38"/>
  <c r="O77" i="38"/>
  <c r="O75" i="38"/>
  <c r="O76" i="38"/>
  <c r="AD74" i="64"/>
  <c r="O147" i="60"/>
  <c r="AW18" i="52"/>
  <c r="O17" i="51"/>
  <c r="R68" i="59" s="1"/>
  <c r="O18" i="51"/>
  <c r="R69" i="59"/>
  <c r="O16" i="51"/>
  <c r="R67" i="59" s="1"/>
  <c r="I17" i="51"/>
  <c r="E68" i="59" s="1"/>
  <c r="D128" i="60" s="1"/>
  <c r="I18" i="51"/>
  <c r="E69" i="59" s="1"/>
  <c r="D129" i="60" s="1"/>
  <c r="I16" i="51"/>
  <c r="E67" i="59" s="1"/>
  <c r="D127" i="60" s="1"/>
  <c r="H18" i="51"/>
  <c r="H17" i="51"/>
  <c r="H16" i="51"/>
  <c r="Q68" i="59"/>
  <c r="E128" i="60" s="1"/>
  <c r="N128" i="60" s="1"/>
  <c r="W128" i="60" s="1"/>
  <c r="AF128" i="60" s="1"/>
  <c r="Q69" i="59"/>
  <c r="E129" i="60" s="1"/>
  <c r="N129" i="60" s="1"/>
  <c r="Q67" i="59"/>
  <c r="E127" i="60" s="1"/>
  <c r="E17" i="51"/>
  <c r="E18" i="51"/>
  <c r="E16" i="51"/>
  <c r="D17" i="51"/>
  <c r="D18" i="51"/>
  <c r="D16" i="51"/>
  <c r="C16" i="51"/>
  <c r="B16" i="51"/>
  <c r="AU18" i="51"/>
  <c r="V73" i="58" s="1"/>
  <c r="AI69" i="64" s="1"/>
  <c r="AT18" i="51"/>
  <c r="U73" i="58" s="1"/>
  <c r="AM18" i="51"/>
  <c r="T73" i="58" s="1"/>
  <c r="Z129" i="60" s="1"/>
  <c r="AL18" i="51"/>
  <c r="S73" i="58" s="1"/>
  <c r="AF69" i="64" s="1"/>
  <c r="AE18" i="51"/>
  <c r="AD18" i="51"/>
  <c r="Q73" i="58"/>
  <c r="W18" i="51"/>
  <c r="AW18" i="51" s="1"/>
  <c r="V18" i="51"/>
  <c r="AV18" i="51" s="1"/>
  <c r="X73" i="58" s="1"/>
  <c r="AJ69" i="64" s="1"/>
  <c r="O73" i="58"/>
  <c r="AU17" i="51"/>
  <c r="V72" i="58" s="1"/>
  <c r="AI68" i="64" s="1"/>
  <c r="AT17" i="51"/>
  <c r="U72" i="58"/>
  <c r="AH68" i="64" s="1"/>
  <c r="AM17" i="51"/>
  <c r="T72" i="58" s="1"/>
  <c r="AL17" i="51"/>
  <c r="S72" i="58" s="1"/>
  <c r="AF68" i="64" s="1"/>
  <c r="AE17" i="51"/>
  <c r="AD17" i="51"/>
  <c r="Q72" i="58" s="1"/>
  <c r="O128" i="60" s="1"/>
  <c r="W17" i="51"/>
  <c r="P72" i="58" s="1"/>
  <c r="V17" i="51"/>
  <c r="AU16" i="51"/>
  <c r="V71" i="58" s="1"/>
  <c r="AT16" i="51"/>
  <c r="U71" i="58" s="1"/>
  <c r="AM16" i="51"/>
  <c r="T71" i="58" s="1"/>
  <c r="AL16" i="51"/>
  <c r="S71" i="58" s="1"/>
  <c r="AF67" i="64" s="1"/>
  <c r="AE16" i="51"/>
  <c r="AD16" i="51"/>
  <c r="Q71" i="58"/>
  <c r="O127" i="60" s="1"/>
  <c r="W16" i="51"/>
  <c r="AW16" i="51" s="1"/>
  <c r="V16" i="51"/>
  <c r="O71" i="58"/>
  <c r="G127" i="60" s="1"/>
  <c r="O72" i="38"/>
  <c r="O73" i="38"/>
  <c r="X128" i="60"/>
  <c r="X127" i="60"/>
  <c r="P71" i="58"/>
  <c r="P73" i="58"/>
  <c r="AV16" i="51"/>
  <c r="AC69" i="64"/>
  <c r="O16" i="50"/>
  <c r="R70" i="59"/>
  <c r="I16" i="50"/>
  <c r="E70" i="59" s="1"/>
  <c r="D135" i="60" s="1"/>
  <c r="H16" i="50"/>
  <c r="Q70" i="59"/>
  <c r="E135" i="60" s="1"/>
  <c r="D16" i="50"/>
  <c r="O74" i="38"/>
  <c r="AU17" i="37"/>
  <c r="V56" i="58" s="1"/>
  <c r="AT17" i="37"/>
  <c r="U56" i="58" s="1"/>
  <c r="AM17" i="37"/>
  <c r="T56" i="58" s="1"/>
  <c r="AL17" i="37"/>
  <c r="S56" i="58"/>
  <c r="AE17" i="37"/>
  <c r="R56" i="58" s="1"/>
  <c r="AD17" i="37"/>
  <c r="Q56" i="58" s="1"/>
  <c r="W17" i="37"/>
  <c r="V17" i="37"/>
  <c r="O56" i="58" s="1"/>
  <c r="G13" i="60" s="1"/>
  <c r="C16" i="50"/>
  <c r="B16" i="50"/>
  <c r="AU16" i="50"/>
  <c r="V74" i="58"/>
  <c r="AT16" i="50"/>
  <c r="U74" i="58"/>
  <c r="AM16" i="50"/>
  <c r="T74" i="58" s="1"/>
  <c r="AL16" i="50"/>
  <c r="S74" i="58"/>
  <c r="AF70" i="64" s="1"/>
  <c r="AE16" i="50"/>
  <c r="AD16" i="50"/>
  <c r="W16" i="50"/>
  <c r="AW16" i="50" s="1"/>
  <c r="BE16" i="50" s="1"/>
  <c r="V16" i="50"/>
  <c r="O74" i="58" s="1"/>
  <c r="AB70" i="64" s="1"/>
  <c r="O71" i="38"/>
  <c r="P74" i="58"/>
  <c r="H135" i="60" s="1"/>
  <c r="G135" i="60"/>
  <c r="BD17" i="50"/>
  <c r="AE84" i="58" s="1"/>
  <c r="O17" i="48"/>
  <c r="R66" i="59" s="1"/>
  <c r="O16" i="48"/>
  <c r="R65" i="59" s="1"/>
  <c r="H17" i="48"/>
  <c r="H16" i="48"/>
  <c r="E17" i="48"/>
  <c r="E16" i="48"/>
  <c r="D17" i="48"/>
  <c r="D16" i="48"/>
  <c r="C16" i="48"/>
  <c r="B16" i="48"/>
  <c r="AV17" i="48"/>
  <c r="AY17" i="48" s="1"/>
  <c r="AU17" i="48"/>
  <c r="V70" i="58" s="1"/>
  <c r="AI121" i="60" s="1"/>
  <c r="AT17" i="48"/>
  <c r="U70" i="58" s="1"/>
  <c r="AM17" i="48"/>
  <c r="T70" i="58"/>
  <c r="Z121" i="60" s="1"/>
  <c r="AL17" i="48"/>
  <c r="S70" i="58" s="1"/>
  <c r="AF66" i="64" s="1"/>
  <c r="AE17" i="48"/>
  <c r="R70" i="58" s="1"/>
  <c r="AD17" i="48"/>
  <c r="Q70" i="58" s="1"/>
  <c r="O121" i="60" s="1"/>
  <c r="W17" i="48"/>
  <c r="P70" i="58" s="1"/>
  <c r="V17" i="48"/>
  <c r="O70" i="58" s="1"/>
  <c r="I17" i="48"/>
  <c r="E66" i="59" s="1"/>
  <c r="D121" i="60" s="1"/>
  <c r="AV16" i="48"/>
  <c r="AW16" i="48" s="1"/>
  <c r="AU16" i="48"/>
  <c r="V69" i="58" s="1"/>
  <c r="AT16" i="48"/>
  <c r="U69" i="58"/>
  <c r="AM16" i="48"/>
  <c r="T69" i="58" s="1"/>
  <c r="AL16" i="48"/>
  <c r="S69" i="58" s="1"/>
  <c r="AE16" i="48"/>
  <c r="R69" i="58" s="1"/>
  <c r="AD16" i="48"/>
  <c r="Q69" i="58" s="1"/>
  <c r="W16" i="48"/>
  <c r="P69" i="58" s="1"/>
  <c r="V16" i="48"/>
  <c r="O69" i="58" s="1"/>
  <c r="I16" i="48"/>
  <c r="E65" i="59" s="1"/>
  <c r="D120" i="60" s="1"/>
  <c r="O70" i="38"/>
  <c r="O69" i="38"/>
  <c r="I121" i="60"/>
  <c r="J121" i="60" s="1"/>
  <c r="AX17" i="48"/>
  <c r="AT18" i="47"/>
  <c r="U63" i="58" s="1"/>
  <c r="AH59" i="64" s="1"/>
  <c r="AL18" i="47"/>
  <c r="S63" i="58"/>
  <c r="AF59" i="64" s="1"/>
  <c r="AD18" i="47"/>
  <c r="Q63" i="58" s="1"/>
  <c r="X63" i="58"/>
  <c r="AV17" i="47"/>
  <c r="AU17" i="47"/>
  <c r="V62" i="58" s="1"/>
  <c r="AT17" i="47"/>
  <c r="U62" i="58"/>
  <c r="AH58" i="64" s="1"/>
  <c r="AM17" i="47"/>
  <c r="T62" i="58" s="1"/>
  <c r="AL17" i="47"/>
  <c r="S62" i="58" s="1"/>
  <c r="AE17" i="47"/>
  <c r="R62" i="58" s="1"/>
  <c r="AD17" i="47"/>
  <c r="Q62" i="58" s="1"/>
  <c r="AU22" i="47"/>
  <c r="V67" i="58" s="1"/>
  <c r="AU21" i="47"/>
  <c r="V66" i="58" s="1"/>
  <c r="AI112" i="60" s="1"/>
  <c r="AU20" i="47"/>
  <c r="V65" i="58" s="1"/>
  <c r="AI61" i="64" s="1"/>
  <c r="AU19" i="47"/>
  <c r="V64" i="58"/>
  <c r="AI60" i="64" s="1"/>
  <c r="AT19" i="47"/>
  <c r="U64" i="58" s="1"/>
  <c r="AM22" i="47"/>
  <c r="T67" i="58" s="1"/>
  <c r="AG63" i="64" s="1"/>
  <c r="AL22" i="47"/>
  <c r="S67" i="58" s="1"/>
  <c r="AM21" i="47"/>
  <c r="T66" i="58" s="1"/>
  <c r="AL21" i="47"/>
  <c r="S66" i="58" s="1"/>
  <c r="X112" i="60" s="1"/>
  <c r="AM20" i="47"/>
  <c r="AL20" i="47"/>
  <c r="S65" i="58" s="1"/>
  <c r="AM19" i="47"/>
  <c r="T64" i="58" s="1"/>
  <c r="AL19" i="47"/>
  <c r="S64" i="58" s="1"/>
  <c r="AE22" i="47"/>
  <c r="AD22" i="47"/>
  <c r="AE21" i="47"/>
  <c r="R66" i="58" s="1"/>
  <c r="AD21" i="47"/>
  <c r="Q66" i="58" s="1"/>
  <c r="O112" i="60" s="1"/>
  <c r="AE20" i="47"/>
  <c r="R65" i="58" s="1"/>
  <c r="AD20" i="47"/>
  <c r="Q65" i="58" s="1"/>
  <c r="AE19" i="47"/>
  <c r="AD19" i="47"/>
  <c r="V21" i="47"/>
  <c r="O66" i="58" s="1"/>
  <c r="G112" i="60" s="1"/>
  <c r="W21" i="47"/>
  <c r="AW21" i="47" s="1"/>
  <c r="BE21" i="47" s="1"/>
  <c r="W19" i="47"/>
  <c r="V19" i="47"/>
  <c r="O64" i="58" s="1"/>
  <c r="V18" i="47"/>
  <c r="O63" i="58" s="1"/>
  <c r="G109" i="60" s="1"/>
  <c r="P63" i="58"/>
  <c r="H109" i="60" s="1"/>
  <c r="W17" i="47"/>
  <c r="P62" i="58" s="1"/>
  <c r="V17" i="47"/>
  <c r="O62" i="58" s="1"/>
  <c r="AB58" i="64" s="1"/>
  <c r="AV16" i="47"/>
  <c r="AY18" i="47" s="1"/>
  <c r="AU16" i="47"/>
  <c r="V61" i="58" s="1"/>
  <c r="AT16" i="47"/>
  <c r="U61" i="58" s="1"/>
  <c r="AM16" i="47"/>
  <c r="T61" i="58" s="1"/>
  <c r="AL16" i="47"/>
  <c r="S61" i="58"/>
  <c r="AE16" i="47"/>
  <c r="R61" i="58" s="1"/>
  <c r="AE57" i="64" s="1"/>
  <c r="AD16" i="47"/>
  <c r="Q61" i="58"/>
  <c r="AD57" i="64" s="1"/>
  <c r="W16" i="47"/>
  <c r="P61" i="58" s="1"/>
  <c r="I107" i="60" s="1"/>
  <c r="J107" i="60" s="1"/>
  <c r="V16" i="47"/>
  <c r="O61" i="58"/>
  <c r="F107" i="60" s="1"/>
  <c r="I17" i="47"/>
  <c r="E58" i="59" s="1"/>
  <c r="D108" i="60" s="1"/>
  <c r="I18" i="47"/>
  <c r="E59" i="59" s="1"/>
  <c r="D109" i="60" s="1"/>
  <c r="I19" i="47"/>
  <c r="E60" i="59" s="1"/>
  <c r="D110" i="60" s="1"/>
  <c r="I20" i="47"/>
  <c r="E61" i="59" s="1"/>
  <c r="D111" i="60" s="1"/>
  <c r="I21" i="47"/>
  <c r="E62" i="59"/>
  <c r="D112" i="60" s="1"/>
  <c r="I22" i="47"/>
  <c r="E63" i="59" s="1"/>
  <c r="D113" i="60" s="1"/>
  <c r="I23" i="47"/>
  <c r="E64" i="59" s="1"/>
  <c r="D114" i="60" s="1"/>
  <c r="I16" i="47"/>
  <c r="E57" i="59" s="1"/>
  <c r="D107" i="60" s="1"/>
  <c r="H23" i="47"/>
  <c r="H22" i="47"/>
  <c r="H17" i="47"/>
  <c r="H18" i="47"/>
  <c r="H19" i="47"/>
  <c r="H20" i="47"/>
  <c r="H21" i="47"/>
  <c r="H16" i="47"/>
  <c r="E17" i="47"/>
  <c r="E18" i="47"/>
  <c r="E19" i="47"/>
  <c r="E20" i="47"/>
  <c r="E21" i="47"/>
  <c r="E22" i="47"/>
  <c r="E23" i="47"/>
  <c r="E16" i="47"/>
  <c r="D16" i="47"/>
  <c r="C16" i="47"/>
  <c r="B16" i="47"/>
  <c r="O66" i="38"/>
  <c r="O67" i="38"/>
  <c r="O64" i="38"/>
  <c r="O65" i="38"/>
  <c r="O62" i="38"/>
  <c r="O63" i="38"/>
  <c r="O61" i="38"/>
  <c r="AZ18" i="47"/>
  <c r="AW18" i="47"/>
  <c r="AZ16" i="47"/>
  <c r="P66" i="58"/>
  <c r="AC62" i="64" s="1"/>
  <c r="AX17" i="47"/>
  <c r="O68" i="38"/>
  <c r="I18" i="46"/>
  <c r="E85" i="59" s="1"/>
  <c r="D51" i="60"/>
  <c r="H18" i="46"/>
  <c r="E18" i="46"/>
  <c r="D18" i="46"/>
  <c r="C18" i="46"/>
  <c r="AU18" i="46"/>
  <c r="V95" i="58" s="1"/>
  <c r="AI51" i="60" s="1"/>
  <c r="AT18" i="46"/>
  <c r="U95" i="58" s="1"/>
  <c r="AH91" i="64" s="1"/>
  <c r="AM18" i="46"/>
  <c r="T95" i="58" s="1"/>
  <c r="Z51" i="60" s="1"/>
  <c r="AL18" i="46"/>
  <c r="S95" i="58" s="1"/>
  <c r="AE18" i="46"/>
  <c r="R95" i="58" s="1"/>
  <c r="AD18" i="46"/>
  <c r="Q95" i="58" s="1"/>
  <c r="W18" i="46"/>
  <c r="AW18" i="46" s="1"/>
  <c r="P95" i="58"/>
  <c r="AC91" i="64" s="1"/>
  <c r="V18" i="46"/>
  <c r="O95" i="58" s="1"/>
  <c r="O95" i="38"/>
  <c r="Q5" i="59"/>
  <c r="E12" i="60"/>
  <c r="O59" i="38"/>
  <c r="AU19" i="37"/>
  <c r="V58" i="58" s="1"/>
  <c r="AI54" i="64" s="1"/>
  <c r="AT19" i="37"/>
  <c r="U58" i="58" s="1"/>
  <c r="AL15" i="60" s="1"/>
  <c r="AM19" i="37"/>
  <c r="T58" i="58" s="1"/>
  <c r="AG54" i="64" s="1"/>
  <c r="AL19" i="37"/>
  <c r="S58" i="58" s="1"/>
  <c r="AF54" i="64" s="1"/>
  <c r="AE19" i="37"/>
  <c r="AD19" i="37"/>
  <c r="Q58" i="58" s="1"/>
  <c r="W19" i="37"/>
  <c r="O19" i="37"/>
  <c r="R8" i="59" s="1"/>
  <c r="AW19" i="37"/>
  <c r="P58" i="58"/>
  <c r="W18" i="37"/>
  <c r="P57" i="58"/>
  <c r="AC53" i="64" s="1"/>
  <c r="V18" i="37"/>
  <c r="O57" i="58" s="1"/>
  <c r="F14" i="60" s="1"/>
  <c r="AE18" i="37"/>
  <c r="AD18" i="37"/>
  <c r="Q57" i="58" s="1"/>
  <c r="AM18" i="37"/>
  <c r="T57" i="58" s="1"/>
  <c r="AG53" i="64" s="1"/>
  <c r="AL18" i="37"/>
  <c r="S57" i="58" s="1"/>
  <c r="X14" i="60" s="1"/>
  <c r="AV17" i="37"/>
  <c r="X56" i="58" s="1"/>
  <c r="AJ52" i="64" s="1"/>
  <c r="F25" i="69" s="1"/>
  <c r="AT18" i="37"/>
  <c r="U57" i="58" s="1"/>
  <c r="AU18" i="37"/>
  <c r="V57" i="58"/>
  <c r="AI53" i="64" s="1"/>
  <c r="O18" i="37"/>
  <c r="R7" i="59" s="1"/>
  <c r="AW18" i="37"/>
  <c r="O17" i="37"/>
  <c r="R6" i="59" s="1"/>
  <c r="C16" i="37"/>
  <c r="B16" i="37"/>
  <c r="I22" i="44"/>
  <c r="E19" i="59" s="1"/>
  <c r="D36" i="60" s="1"/>
  <c r="I17" i="44"/>
  <c r="E14" i="59" s="1"/>
  <c r="D31" i="60" s="1"/>
  <c r="I18" i="44"/>
  <c r="E15" i="59"/>
  <c r="D32" i="60" s="1"/>
  <c r="I19" i="44"/>
  <c r="E16" i="59" s="1"/>
  <c r="D33" i="60" s="1"/>
  <c r="I20" i="44"/>
  <c r="E17" i="59" s="1"/>
  <c r="D34" i="60" s="1"/>
  <c r="I21" i="44"/>
  <c r="E18" i="59" s="1"/>
  <c r="D35" i="60" s="1"/>
  <c r="I16" i="44"/>
  <c r="E13" i="59" s="1"/>
  <c r="D30" i="60" s="1"/>
  <c r="H17" i="44"/>
  <c r="H18" i="44"/>
  <c r="H19" i="44"/>
  <c r="H20" i="44"/>
  <c r="H21" i="44"/>
  <c r="H22" i="44"/>
  <c r="H16" i="44"/>
  <c r="Q14" i="59"/>
  <c r="E31" i="60" s="1"/>
  <c r="W31" i="60" s="1"/>
  <c r="AF31" i="60" s="1"/>
  <c r="Q15" i="59"/>
  <c r="E32" i="60" s="1"/>
  <c r="Q16" i="59"/>
  <c r="E33" i="60"/>
  <c r="Q17" i="59"/>
  <c r="E34" i="60" s="1"/>
  <c r="N34" i="60" s="1"/>
  <c r="Q18" i="59"/>
  <c r="E35" i="60" s="1"/>
  <c r="W35" i="60" s="1"/>
  <c r="AF35" i="60" s="1"/>
  <c r="E17" i="44"/>
  <c r="E18" i="44"/>
  <c r="E19" i="44"/>
  <c r="E20" i="44"/>
  <c r="E21" i="44"/>
  <c r="E22" i="44"/>
  <c r="E16" i="44"/>
  <c r="D22" i="44"/>
  <c r="D17" i="44"/>
  <c r="D18" i="44"/>
  <c r="D19" i="44"/>
  <c r="D20" i="44"/>
  <c r="D21" i="44"/>
  <c r="D16" i="44"/>
  <c r="C16" i="44"/>
  <c r="B16" i="44"/>
  <c r="AU22" i="44"/>
  <c r="V54" i="58" s="1"/>
  <c r="AT22" i="44"/>
  <c r="U54" i="58" s="1"/>
  <c r="AM22" i="44"/>
  <c r="T54" i="58" s="1"/>
  <c r="AG50" i="64" s="1"/>
  <c r="AL22" i="44"/>
  <c r="S54" i="58" s="1"/>
  <c r="AE22" i="44"/>
  <c r="R54" i="58" s="1"/>
  <c r="AE50" i="64" s="1"/>
  <c r="AD22" i="44"/>
  <c r="Q54" i="58"/>
  <c r="AD50" i="64" s="1"/>
  <c r="W22" i="44"/>
  <c r="P54" i="58" s="1"/>
  <c r="V22" i="44"/>
  <c r="O54" i="58" s="1"/>
  <c r="P36" i="60" s="1"/>
  <c r="AU21" i="44"/>
  <c r="V53" i="58" s="1"/>
  <c r="AI49" i="64" s="1"/>
  <c r="AT21" i="44"/>
  <c r="U53" i="58"/>
  <c r="AM21" i="44"/>
  <c r="T53" i="58" s="1"/>
  <c r="AG49" i="64" s="1"/>
  <c r="AL21" i="44"/>
  <c r="S53" i="58" s="1"/>
  <c r="AF49" i="64" s="1"/>
  <c r="AE21" i="44"/>
  <c r="R53" i="58" s="1"/>
  <c r="AD21" i="44"/>
  <c r="Q53" i="58" s="1"/>
  <c r="AD49" i="64" s="1"/>
  <c r="W21" i="44"/>
  <c r="V21" i="44"/>
  <c r="AU20" i="44"/>
  <c r="V52" i="58" s="1"/>
  <c r="AT20" i="44"/>
  <c r="U52" i="58" s="1"/>
  <c r="AM20" i="44"/>
  <c r="AL20" i="44"/>
  <c r="S52" i="58"/>
  <c r="AE20" i="44"/>
  <c r="R52" i="58" s="1"/>
  <c r="AD20" i="44"/>
  <c r="Q52" i="58" s="1"/>
  <c r="O34" i="60" s="1"/>
  <c r="W20" i="44"/>
  <c r="P52" i="58" s="1"/>
  <c r="V20" i="44"/>
  <c r="O52" i="58" s="1"/>
  <c r="Y34" i="60" s="1"/>
  <c r="AU19" i="44"/>
  <c r="V51" i="58" s="1"/>
  <c r="AI33" i="60" s="1"/>
  <c r="AT19" i="44"/>
  <c r="U51" i="58" s="1"/>
  <c r="AH47" i="64" s="1"/>
  <c r="AM19" i="44"/>
  <c r="T51" i="58" s="1"/>
  <c r="AL19" i="44"/>
  <c r="S51" i="58" s="1"/>
  <c r="AE19" i="44"/>
  <c r="AX19" i="44" s="1"/>
  <c r="R51" i="58"/>
  <c r="AE47" i="64" s="1"/>
  <c r="AD19" i="44"/>
  <c r="Q51" i="58" s="1"/>
  <c r="O33" i="60" s="1"/>
  <c r="W19" i="44"/>
  <c r="P51" i="58"/>
  <c r="I33" i="60" s="1"/>
  <c r="J33" i="60" s="1"/>
  <c r="V19" i="44"/>
  <c r="AU18" i="44"/>
  <c r="V50" i="58" s="1"/>
  <c r="AT18" i="44"/>
  <c r="U50" i="58" s="1"/>
  <c r="AM18" i="44"/>
  <c r="T50" i="58" s="1"/>
  <c r="AG46" i="64" s="1"/>
  <c r="AL18" i="44"/>
  <c r="S50" i="58" s="1"/>
  <c r="AE18" i="44"/>
  <c r="R50" i="58" s="1"/>
  <c r="AD18" i="44"/>
  <c r="Q50" i="58" s="1"/>
  <c r="W18" i="44"/>
  <c r="V18" i="44"/>
  <c r="AU17" i="44"/>
  <c r="V49" i="58" s="1"/>
  <c r="AT17" i="44"/>
  <c r="AM17" i="44"/>
  <c r="AL17" i="44"/>
  <c r="S49" i="58"/>
  <c r="AF45" i="64" s="1"/>
  <c r="AE17" i="44"/>
  <c r="R49" i="58" s="1"/>
  <c r="AD17" i="44"/>
  <c r="Q49" i="58" s="1"/>
  <c r="W17" i="44"/>
  <c r="V17" i="44"/>
  <c r="O49" i="58" s="1"/>
  <c r="AB45" i="64" s="1"/>
  <c r="AU16" i="44"/>
  <c r="V48" i="58" s="1"/>
  <c r="AT16" i="44"/>
  <c r="U48" i="58" s="1"/>
  <c r="AM16" i="44"/>
  <c r="T48" i="58" s="1"/>
  <c r="AL16" i="44"/>
  <c r="S48" i="58" s="1"/>
  <c r="X30" i="60" s="1"/>
  <c r="AE16" i="44"/>
  <c r="R48" i="58"/>
  <c r="Q30" i="60" s="1"/>
  <c r="AD16" i="44"/>
  <c r="Q48" i="58" s="1"/>
  <c r="W16" i="44"/>
  <c r="P48" i="58" s="1"/>
  <c r="V16" i="44"/>
  <c r="AH49" i="64"/>
  <c r="AW18" i="44"/>
  <c r="P50" i="58"/>
  <c r="H32" i="60" s="1"/>
  <c r="AW22" i="44"/>
  <c r="AW20" i="44"/>
  <c r="AW19" i="44"/>
  <c r="AU19" i="43"/>
  <c r="V43" i="58" s="1"/>
  <c r="AT19" i="43"/>
  <c r="U43" i="58"/>
  <c r="AM19" i="43"/>
  <c r="T43" i="58" s="1"/>
  <c r="AL19" i="43"/>
  <c r="S43" i="58" s="1"/>
  <c r="AF39" i="64" s="1"/>
  <c r="AD19" i="43"/>
  <c r="Q43" i="58" s="1"/>
  <c r="V19" i="43"/>
  <c r="O43" i="58"/>
  <c r="AV19" i="43"/>
  <c r="AV17" i="43"/>
  <c r="X41" i="58" s="1"/>
  <c r="AU17" i="43"/>
  <c r="V41" i="58" s="1"/>
  <c r="AI37" i="64" s="1"/>
  <c r="AT17" i="43"/>
  <c r="U41" i="58" s="1"/>
  <c r="AM17" i="43"/>
  <c r="T41" i="58" s="1"/>
  <c r="AG37" i="64" s="1"/>
  <c r="AL17" i="43"/>
  <c r="S41" i="58"/>
  <c r="V17" i="43"/>
  <c r="O41" i="58"/>
  <c r="F95" i="60" s="1"/>
  <c r="K95" i="60" s="1"/>
  <c r="O17" i="43"/>
  <c r="R50" i="59" s="1"/>
  <c r="O18" i="43"/>
  <c r="R51" i="59" s="1"/>
  <c r="O19" i="43"/>
  <c r="R52" i="59" s="1"/>
  <c r="O20" i="43"/>
  <c r="R53" i="59"/>
  <c r="O21" i="43"/>
  <c r="R54" i="59" s="1"/>
  <c r="O22" i="43"/>
  <c r="R55" i="59" s="1"/>
  <c r="O23" i="43"/>
  <c r="R56" i="59" s="1"/>
  <c r="O16" i="43"/>
  <c r="R49" i="59" s="1"/>
  <c r="I21" i="43"/>
  <c r="E54" i="59" s="1"/>
  <c r="D99" i="60" s="1"/>
  <c r="I22" i="43"/>
  <c r="E55" i="59" s="1"/>
  <c r="D100" i="60" s="1"/>
  <c r="I23" i="43"/>
  <c r="E56" i="59" s="1"/>
  <c r="D101" i="60" s="1"/>
  <c r="I20" i="43"/>
  <c r="E53" i="59" s="1"/>
  <c r="D98" i="60" s="1"/>
  <c r="I17" i="43"/>
  <c r="E50" i="59" s="1"/>
  <c r="D95" i="60" s="1"/>
  <c r="I18" i="43"/>
  <c r="E51" i="59"/>
  <c r="D96" i="60" s="1"/>
  <c r="I19" i="43"/>
  <c r="E52" i="59" s="1"/>
  <c r="D97" i="60" s="1"/>
  <c r="I16" i="43"/>
  <c r="E49" i="59" s="1"/>
  <c r="D94" i="60" s="1"/>
  <c r="H21" i="43"/>
  <c r="H22" i="43"/>
  <c r="H23" i="43"/>
  <c r="H17" i="43"/>
  <c r="H18" i="43"/>
  <c r="H19" i="43"/>
  <c r="H20" i="43"/>
  <c r="H16" i="43"/>
  <c r="Q56" i="59"/>
  <c r="E101" i="60" s="1"/>
  <c r="Q55" i="59"/>
  <c r="E100" i="60" s="1"/>
  <c r="N100" i="60" s="1"/>
  <c r="W100" i="60" s="1"/>
  <c r="AF100" i="60" s="1"/>
  <c r="Q54" i="59"/>
  <c r="E99" i="60" s="1"/>
  <c r="N99" i="60" s="1"/>
  <c r="Q53" i="59"/>
  <c r="E98" i="60" s="1"/>
  <c r="N98" i="60" s="1"/>
  <c r="W98" i="60" s="1"/>
  <c r="AF98" i="60" s="1"/>
  <c r="AN98" i="60" s="1"/>
  <c r="E17" i="43"/>
  <c r="E18" i="43"/>
  <c r="E19" i="43"/>
  <c r="E20" i="43"/>
  <c r="E21" i="43"/>
  <c r="E22" i="43"/>
  <c r="E23" i="43"/>
  <c r="E16" i="43"/>
  <c r="D21" i="43"/>
  <c r="D22" i="43"/>
  <c r="D23" i="43"/>
  <c r="D17" i="43"/>
  <c r="D18" i="43"/>
  <c r="D19" i="43"/>
  <c r="D20" i="43"/>
  <c r="D16" i="43"/>
  <c r="C21" i="43"/>
  <c r="C20" i="43"/>
  <c r="C18" i="43"/>
  <c r="C16" i="43"/>
  <c r="B16" i="43"/>
  <c r="AU23" i="43"/>
  <c r="V47" i="58" s="1"/>
  <c r="AI101" i="60" s="1"/>
  <c r="AL101" i="60" s="1"/>
  <c r="AM23" i="43"/>
  <c r="T47" i="58" s="1"/>
  <c r="AL23" i="43"/>
  <c r="S47" i="58" s="1"/>
  <c r="X101" i="60" s="1"/>
  <c r="AD23" i="43"/>
  <c r="W23" i="43"/>
  <c r="AW23" i="43" s="1"/>
  <c r="V23" i="43"/>
  <c r="O47" i="58" s="1"/>
  <c r="AU22" i="43"/>
  <c r="V46" i="58" s="1"/>
  <c r="AI42" i="64" s="1"/>
  <c r="AT22" i="43"/>
  <c r="U46" i="58" s="1"/>
  <c r="AH42" i="64" s="1"/>
  <c r="AM22" i="43"/>
  <c r="T46" i="58" s="1"/>
  <c r="AG42" i="64" s="1"/>
  <c r="AL22" i="43"/>
  <c r="S46" i="58"/>
  <c r="X100" i="60" s="1"/>
  <c r="AD22" i="43"/>
  <c r="Q46" i="58" s="1"/>
  <c r="W22" i="43"/>
  <c r="P46" i="58" s="1"/>
  <c r="V22" i="43"/>
  <c r="O46" i="58"/>
  <c r="AU21" i="43"/>
  <c r="V45" i="58" s="1"/>
  <c r="AI99" i="60" s="1"/>
  <c r="AT21" i="43"/>
  <c r="U45" i="58" s="1"/>
  <c r="AM21" i="43"/>
  <c r="T45" i="58" s="1"/>
  <c r="AL21" i="43"/>
  <c r="S45" i="58" s="1"/>
  <c r="X99" i="60" s="1"/>
  <c r="AD21" i="43"/>
  <c r="Q45" i="58" s="1"/>
  <c r="W21" i="43"/>
  <c r="P45" i="58" s="1"/>
  <c r="V21" i="43"/>
  <c r="O45" i="58"/>
  <c r="AU20" i="43"/>
  <c r="V44" i="58" s="1"/>
  <c r="AT20" i="43"/>
  <c r="U44" i="58" s="1"/>
  <c r="AM20" i="43"/>
  <c r="T44" i="58" s="1"/>
  <c r="Z98" i="60" s="1"/>
  <c r="AL20" i="43"/>
  <c r="S44" i="58"/>
  <c r="AD20" i="43"/>
  <c r="Q44" i="58" s="1"/>
  <c r="AD40" i="64" s="1"/>
  <c r="W20" i="43"/>
  <c r="P44" i="58" s="1"/>
  <c r="H98" i="60" s="1"/>
  <c r="V20" i="43"/>
  <c r="AU18" i="43"/>
  <c r="V42" i="58" s="1"/>
  <c r="AT18" i="43"/>
  <c r="U42" i="58"/>
  <c r="AL96" i="60" s="1"/>
  <c r="AM18" i="43"/>
  <c r="T42" i="58" s="1"/>
  <c r="Z96" i="60" s="1"/>
  <c r="AL18" i="43"/>
  <c r="S42" i="58" s="1"/>
  <c r="X96" i="60" s="1"/>
  <c r="AY96" i="60" s="1"/>
  <c r="AD18" i="43"/>
  <c r="Q42" i="58" s="1"/>
  <c r="AD38" i="64" s="1"/>
  <c r="W18" i="43"/>
  <c r="V18" i="43"/>
  <c r="O42" i="58" s="1"/>
  <c r="AU16" i="43"/>
  <c r="V40" i="58" s="1"/>
  <c r="AI94" i="60" s="1"/>
  <c r="AT16" i="43"/>
  <c r="U40" i="58" s="1"/>
  <c r="AM16" i="43"/>
  <c r="T40" i="58" s="1"/>
  <c r="AL16" i="43"/>
  <c r="S40" i="58" s="1"/>
  <c r="X94" i="60" s="1"/>
  <c r="AD16" i="43"/>
  <c r="Q40" i="58"/>
  <c r="W16" i="43"/>
  <c r="P40" i="58" s="1"/>
  <c r="AC36" i="64" s="1"/>
  <c r="V16" i="43"/>
  <c r="O40" i="58"/>
  <c r="F94" i="60" s="1"/>
  <c r="O43" i="38"/>
  <c r="O41" i="38"/>
  <c r="O42" i="38"/>
  <c r="O44" i="38"/>
  <c r="O45" i="38"/>
  <c r="O46" i="38"/>
  <c r="O47" i="38"/>
  <c r="AF36" i="64"/>
  <c r="AF43" i="64"/>
  <c r="X97" i="60"/>
  <c r="AW22" i="43"/>
  <c r="AX17" i="43"/>
  <c r="BB17" i="43" s="1"/>
  <c r="AW17" i="43"/>
  <c r="AV21" i="43"/>
  <c r="X45" i="58" s="1"/>
  <c r="AJ41" i="64" s="1"/>
  <c r="AX16" i="43"/>
  <c r="AW21" i="43"/>
  <c r="F96" i="60"/>
  <c r="G96" i="60"/>
  <c r="L96" i="60"/>
  <c r="AB38" i="64"/>
  <c r="I21" i="42"/>
  <c r="E47" i="59" s="1"/>
  <c r="D87" i="60" s="1"/>
  <c r="I22" i="42"/>
  <c r="E48" i="59" s="1"/>
  <c r="D88" i="60" s="1"/>
  <c r="I20" i="42"/>
  <c r="E46" i="59" s="1"/>
  <c r="D86" i="60" s="1"/>
  <c r="I17" i="42"/>
  <c r="E43" i="59" s="1"/>
  <c r="D83" i="60" s="1"/>
  <c r="I18" i="42"/>
  <c r="E44" i="59" s="1"/>
  <c r="D84" i="60" s="1"/>
  <c r="I19" i="42"/>
  <c r="E45" i="59" s="1"/>
  <c r="D85" i="60" s="1"/>
  <c r="I16" i="42"/>
  <c r="E42" i="59"/>
  <c r="D82" i="60" s="1"/>
  <c r="H17" i="42"/>
  <c r="H18" i="42"/>
  <c r="H19" i="42"/>
  <c r="H20" i="42"/>
  <c r="H21" i="42"/>
  <c r="H22" i="42"/>
  <c r="H16" i="42"/>
  <c r="Q44" i="59"/>
  <c r="E84" i="60" s="1"/>
  <c r="Q45" i="59"/>
  <c r="E85" i="60" s="1"/>
  <c r="N85" i="60" s="1"/>
  <c r="Q46" i="59"/>
  <c r="E86" i="60" s="1"/>
  <c r="Q47" i="59"/>
  <c r="E87" i="60" s="1"/>
  <c r="D22" i="42"/>
  <c r="D21" i="42"/>
  <c r="D20" i="42"/>
  <c r="D17" i="42"/>
  <c r="D18" i="42"/>
  <c r="D19" i="42"/>
  <c r="D16" i="42"/>
  <c r="C20" i="42"/>
  <c r="C18" i="42"/>
  <c r="C16" i="42"/>
  <c r="B16" i="42"/>
  <c r="AU22" i="42"/>
  <c r="V39" i="58" s="1"/>
  <c r="AT22" i="42"/>
  <c r="U39" i="58" s="1"/>
  <c r="AM22" i="42"/>
  <c r="T39" i="58" s="1"/>
  <c r="AL22" i="42"/>
  <c r="S39" i="58" s="1"/>
  <c r="AF35" i="64" s="1"/>
  <c r="AE22" i="42"/>
  <c r="AX22" i="42" s="1"/>
  <c r="R39" i="58"/>
  <c r="AE35" i="64" s="1"/>
  <c r="AD22" i="42"/>
  <c r="W22" i="42"/>
  <c r="AW22" i="42" s="1"/>
  <c r="V22" i="42"/>
  <c r="O39" i="58" s="1"/>
  <c r="AW21" i="42"/>
  <c r="AU21" i="42"/>
  <c r="V38" i="58" s="1"/>
  <c r="AT21" i="42"/>
  <c r="U38" i="58"/>
  <c r="AL21" i="42"/>
  <c r="S38" i="58" s="1"/>
  <c r="AD21" i="42"/>
  <c r="Q38" i="58" s="1"/>
  <c r="O87" i="60" s="1"/>
  <c r="V21" i="42"/>
  <c r="O38" i="58" s="1"/>
  <c r="AX20" i="42"/>
  <c r="AW20" i="42"/>
  <c r="AU20" i="42"/>
  <c r="V37" i="58" s="1"/>
  <c r="AI33" i="64" s="1"/>
  <c r="AT20" i="42"/>
  <c r="U37" i="58" s="1"/>
  <c r="AL20" i="42"/>
  <c r="AV20" i="42" s="1"/>
  <c r="S37" i="58"/>
  <c r="X86" i="60" s="1"/>
  <c r="AD20" i="42"/>
  <c r="Q37" i="58" s="1"/>
  <c r="AD33" i="64" s="1"/>
  <c r="V20" i="42"/>
  <c r="O37" i="58"/>
  <c r="F86" i="60" s="1"/>
  <c r="AU19" i="42"/>
  <c r="V36" i="58" s="1"/>
  <c r="AI32" i="64" s="1"/>
  <c r="AM19" i="42"/>
  <c r="AE19" i="42"/>
  <c r="R36" i="58" s="1"/>
  <c r="W19" i="42"/>
  <c r="P36" i="58" s="1"/>
  <c r="AC32" i="64" s="1"/>
  <c r="V19" i="42"/>
  <c r="O36" i="58"/>
  <c r="AB32" i="64" s="1"/>
  <c r="AU18" i="42"/>
  <c r="V35" i="58" s="1"/>
  <c r="AM18" i="42"/>
  <c r="AE18" i="42"/>
  <c r="W18" i="42"/>
  <c r="P35" i="58" s="1"/>
  <c r="AU17" i="42"/>
  <c r="V34" i="58" s="1"/>
  <c r="AT17" i="42"/>
  <c r="U34" i="58" s="1"/>
  <c r="AM17" i="42"/>
  <c r="T34" i="58" s="1"/>
  <c r="AL17" i="42"/>
  <c r="S34" i="58" s="1"/>
  <c r="AF30" i="64" s="1"/>
  <c r="AE17" i="42"/>
  <c r="AD17" i="42"/>
  <c r="Q34" i="58"/>
  <c r="W17" i="42"/>
  <c r="P34" i="58" s="1"/>
  <c r="AC30" i="64" s="1"/>
  <c r="V17" i="42"/>
  <c r="O34" i="58"/>
  <c r="AU16" i="42"/>
  <c r="V33" i="58" s="1"/>
  <c r="AI82" i="60" s="1"/>
  <c r="AT16" i="42"/>
  <c r="U33" i="58" s="1"/>
  <c r="AM16" i="42"/>
  <c r="T33" i="58" s="1"/>
  <c r="AL16" i="42"/>
  <c r="AE16" i="42"/>
  <c r="R33" i="58"/>
  <c r="AE29" i="64" s="1"/>
  <c r="AD16" i="42"/>
  <c r="Q33" i="58" s="1"/>
  <c r="O82" i="60" s="1"/>
  <c r="W16" i="42"/>
  <c r="P33" i="58" s="1"/>
  <c r="V16" i="42"/>
  <c r="O33" i="58"/>
  <c r="AB29" i="64" s="1"/>
  <c r="E39" i="38"/>
  <c r="E38" i="38"/>
  <c r="E21" i="42" s="1"/>
  <c r="E37" i="38"/>
  <c r="E37" i="58" s="1"/>
  <c r="I33" i="64" s="1"/>
  <c r="E36" i="38"/>
  <c r="E36" i="58" s="1"/>
  <c r="I32" i="64" s="1"/>
  <c r="E35" i="38"/>
  <c r="E18" i="42" s="1"/>
  <c r="E34" i="38"/>
  <c r="E33" i="38"/>
  <c r="AC31" i="64"/>
  <c r="AH33" i="64"/>
  <c r="E38" i="58"/>
  <c r="I34" i="64" s="1"/>
  <c r="E16" i="42"/>
  <c r="E33" i="58"/>
  <c r="I29" i="64" s="1"/>
  <c r="E35" i="58"/>
  <c r="I31" i="64" s="1"/>
  <c r="P39" i="58"/>
  <c r="I88" i="60" s="1"/>
  <c r="J88" i="60" s="1"/>
  <c r="AW19" i="42"/>
  <c r="V18" i="42"/>
  <c r="O35" i="58" s="1"/>
  <c r="AT19" i="42"/>
  <c r="U36" i="58" s="1"/>
  <c r="AH32" i="64" s="1"/>
  <c r="AL18" i="42"/>
  <c r="AD18" i="42"/>
  <c r="Q35" i="58" s="1"/>
  <c r="AL19" i="42"/>
  <c r="S36" i="58" s="1"/>
  <c r="AD19" i="42"/>
  <c r="Q36" i="58" s="1"/>
  <c r="AT18" i="42"/>
  <c r="U35" i="58" s="1"/>
  <c r="AW17" i="42"/>
  <c r="AW18" i="42"/>
  <c r="AW16" i="42"/>
  <c r="AV22" i="41"/>
  <c r="AT22" i="41"/>
  <c r="AH19" i="64" s="1"/>
  <c r="AU22" i="41"/>
  <c r="V19" i="58" s="1"/>
  <c r="AM22" i="41"/>
  <c r="T19" i="58" s="1"/>
  <c r="AL22" i="41"/>
  <c r="S19" i="58" s="1"/>
  <c r="AF19" i="64" s="1"/>
  <c r="AE22" i="41"/>
  <c r="R19" i="58" s="1"/>
  <c r="AD22" i="41"/>
  <c r="Q19" i="58"/>
  <c r="AD19" i="64" s="1"/>
  <c r="W22" i="41"/>
  <c r="P19" i="58" s="1"/>
  <c r="V22" i="41"/>
  <c r="O19" i="58"/>
  <c r="F63" i="60" s="1"/>
  <c r="AW22" i="41"/>
  <c r="BE22" i="41" s="1"/>
  <c r="AX22" i="41"/>
  <c r="BF22" i="41" s="1"/>
  <c r="I17" i="41"/>
  <c r="E23" i="59" s="1"/>
  <c r="D58" i="60" s="1"/>
  <c r="I18" i="41"/>
  <c r="E24" i="59" s="1"/>
  <c r="D59" i="60" s="1"/>
  <c r="I19" i="41"/>
  <c r="E25" i="59" s="1"/>
  <c r="D60" i="60" s="1"/>
  <c r="I20" i="41"/>
  <c r="E26" i="59" s="1"/>
  <c r="D61" i="60" s="1"/>
  <c r="I21" i="41"/>
  <c r="E27" i="59" s="1"/>
  <c r="D62" i="60" s="1"/>
  <c r="I22" i="41"/>
  <c r="E28" i="59" s="1"/>
  <c r="D63" i="60" s="1"/>
  <c r="I23" i="41"/>
  <c r="E29" i="59" s="1"/>
  <c r="D64" i="60" s="1"/>
  <c r="I24" i="41"/>
  <c r="E30" i="59" s="1"/>
  <c r="D65" i="60" s="1"/>
  <c r="I25" i="41"/>
  <c r="E31" i="59" s="1"/>
  <c r="D66" i="60" s="1"/>
  <c r="I26" i="41"/>
  <c r="E32" i="59" s="1"/>
  <c r="D67" i="60" s="1"/>
  <c r="I27" i="41"/>
  <c r="E33" i="59" s="1"/>
  <c r="D68" i="60" s="1"/>
  <c r="I28" i="41"/>
  <c r="E34" i="59"/>
  <c r="D69" i="60" s="1"/>
  <c r="I29" i="41"/>
  <c r="E35" i="59" s="1"/>
  <c r="D70" i="60" s="1"/>
  <c r="I30" i="41"/>
  <c r="E36" i="59" s="1"/>
  <c r="D71" i="60" s="1"/>
  <c r="I31" i="41"/>
  <c r="E37" i="59" s="1"/>
  <c r="D72" i="60" s="1"/>
  <c r="I32" i="41"/>
  <c r="E38" i="59"/>
  <c r="D73" i="60" s="1"/>
  <c r="I33" i="41"/>
  <c r="E39" i="59" s="1"/>
  <c r="D74" i="60" s="1"/>
  <c r="I34" i="41"/>
  <c r="E40" i="59" s="1"/>
  <c r="D75" i="60" s="1"/>
  <c r="I35" i="41"/>
  <c r="E41" i="59" s="1"/>
  <c r="D76" i="60" s="1"/>
  <c r="I16" i="41"/>
  <c r="E22" i="59" s="1"/>
  <c r="D57" i="60" s="1"/>
  <c r="H17" i="41"/>
  <c r="H18" i="41"/>
  <c r="H19" i="41"/>
  <c r="H20" i="41"/>
  <c r="H21" i="41"/>
  <c r="H22" i="41"/>
  <c r="H23" i="41"/>
  <c r="H24" i="41"/>
  <c r="H25" i="41"/>
  <c r="H26" i="41"/>
  <c r="H27" i="41"/>
  <c r="H28" i="41"/>
  <c r="H29" i="41"/>
  <c r="H30" i="41"/>
  <c r="H31" i="41"/>
  <c r="H32" i="41"/>
  <c r="H33" i="41"/>
  <c r="H34" i="41"/>
  <c r="H35" i="41"/>
  <c r="H16" i="41"/>
  <c r="Q27" i="59"/>
  <c r="E62" i="60" s="1"/>
  <c r="N62" i="60" s="1"/>
  <c r="Q28" i="59"/>
  <c r="E63" i="60" s="1"/>
  <c r="N63" i="60" s="1"/>
  <c r="Q29" i="59"/>
  <c r="E64" i="60" s="1"/>
  <c r="N64" i="60" s="1"/>
  <c r="Q30" i="59"/>
  <c r="E65" i="60" s="1"/>
  <c r="N65" i="60" s="1"/>
  <c r="Q35" i="59"/>
  <c r="E70" i="60" s="1"/>
  <c r="Q38" i="59"/>
  <c r="E73" i="60" s="1"/>
  <c r="N73" i="60" s="1"/>
  <c r="W73" i="60" s="1"/>
  <c r="AF73" i="60" s="1"/>
  <c r="Q39" i="59"/>
  <c r="E74" i="60" s="1"/>
  <c r="N74" i="60" s="1"/>
  <c r="W74" i="60" s="1"/>
  <c r="AF74" i="60" s="1"/>
  <c r="Q40" i="59"/>
  <c r="E75" i="60" s="1"/>
  <c r="N75" i="60" s="1"/>
  <c r="Q41" i="59"/>
  <c r="E76" i="60" s="1"/>
  <c r="N76" i="60" s="1"/>
  <c r="W76" i="60" s="1"/>
  <c r="AF76" i="60" s="1"/>
  <c r="E17" i="41"/>
  <c r="E18" i="41"/>
  <c r="E19" i="41"/>
  <c r="E20" i="41"/>
  <c r="E21" i="41"/>
  <c r="E22" i="41"/>
  <c r="E23" i="41"/>
  <c r="E24" i="41"/>
  <c r="E25" i="41"/>
  <c r="E26" i="41"/>
  <c r="E27" i="41"/>
  <c r="E28" i="41"/>
  <c r="E29" i="41"/>
  <c r="E30" i="41"/>
  <c r="E31" i="41"/>
  <c r="E32" i="41"/>
  <c r="E33" i="41"/>
  <c r="E34" i="41"/>
  <c r="E35" i="41"/>
  <c r="E16" i="41"/>
  <c r="D35" i="41"/>
  <c r="D34" i="41"/>
  <c r="D33" i="41"/>
  <c r="D32" i="41"/>
  <c r="D31" i="41"/>
  <c r="D30" i="41"/>
  <c r="D29" i="41"/>
  <c r="D28" i="41"/>
  <c r="D27" i="41"/>
  <c r="D26" i="41"/>
  <c r="D25" i="41"/>
  <c r="D24" i="41"/>
  <c r="D23" i="41"/>
  <c r="D22" i="41"/>
  <c r="D21" i="41"/>
  <c r="D20" i="41"/>
  <c r="D19" i="41"/>
  <c r="D18" i="41"/>
  <c r="D17" i="41"/>
  <c r="D16" i="41"/>
  <c r="AU35" i="41"/>
  <c r="V32" i="58" s="1"/>
  <c r="AT35" i="41"/>
  <c r="AM35" i="41"/>
  <c r="T32" i="58" s="1"/>
  <c r="Z76" i="60" s="1"/>
  <c r="AL35" i="41"/>
  <c r="S32" i="58" s="1"/>
  <c r="AE35" i="41"/>
  <c r="AD35" i="41"/>
  <c r="W35" i="41"/>
  <c r="AW35" i="41" s="1"/>
  <c r="V35" i="41"/>
  <c r="O32" i="58"/>
  <c r="F76" i="60" s="1"/>
  <c r="AU34" i="41"/>
  <c r="V31" i="58" s="1"/>
  <c r="AI75" i="60" s="1"/>
  <c r="AT34" i="41"/>
  <c r="AM34" i="41"/>
  <c r="T31" i="58" s="1"/>
  <c r="AG27" i="64" s="1"/>
  <c r="AL34" i="41"/>
  <c r="S31" i="58" s="1"/>
  <c r="AE34" i="41"/>
  <c r="R31" i="58" s="1"/>
  <c r="AD34" i="41"/>
  <c r="Q31" i="58"/>
  <c r="W34" i="41"/>
  <c r="P31" i="58" s="1"/>
  <c r="V34" i="41"/>
  <c r="O31" i="58" s="1"/>
  <c r="AB27" i="64" s="1"/>
  <c r="AU33" i="41"/>
  <c r="V30" i="58" s="1"/>
  <c r="AI74" i="60" s="1"/>
  <c r="AL74" i="60" s="1"/>
  <c r="AT33" i="41"/>
  <c r="AM33" i="41"/>
  <c r="AL33" i="41"/>
  <c r="S30" i="58"/>
  <c r="AE33" i="41"/>
  <c r="R30" i="58" s="1"/>
  <c r="AD33" i="41"/>
  <c r="Q30" i="58" s="1"/>
  <c r="W33" i="41"/>
  <c r="V33" i="41"/>
  <c r="O30" i="58" s="1"/>
  <c r="AB26" i="64" s="1"/>
  <c r="R39" i="59"/>
  <c r="AU32" i="41"/>
  <c r="V29" i="58" s="1"/>
  <c r="AM32" i="41"/>
  <c r="T29" i="58" s="1"/>
  <c r="AG25" i="64" s="1"/>
  <c r="AL32" i="41"/>
  <c r="S29" i="58" s="1"/>
  <c r="AE32" i="41"/>
  <c r="R29" i="58" s="1"/>
  <c r="R73" i="60" s="1"/>
  <c r="W32" i="41"/>
  <c r="AU31" i="41"/>
  <c r="V28" i="58" s="1"/>
  <c r="AM31" i="41"/>
  <c r="T28" i="58" s="1"/>
  <c r="AE31" i="41"/>
  <c r="W31" i="41"/>
  <c r="P28" i="58" s="1"/>
  <c r="R37" i="59"/>
  <c r="AU30" i="41"/>
  <c r="V27" i="58" s="1"/>
  <c r="AI71" i="60" s="1"/>
  <c r="AL71" i="60" s="1"/>
  <c r="AT30" i="41"/>
  <c r="AM30" i="41"/>
  <c r="T27" i="58" s="1"/>
  <c r="Z71" i="60" s="1"/>
  <c r="AL30" i="41"/>
  <c r="S27" i="58" s="1"/>
  <c r="AF23" i="64" s="1"/>
  <c r="AE30" i="41"/>
  <c r="R27" i="58" s="1"/>
  <c r="AD30" i="41"/>
  <c r="Q27" i="58" s="1"/>
  <c r="AD23" i="64" s="1"/>
  <c r="W30" i="41"/>
  <c r="V30" i="41"/>
  <c r="O27" i="58" s="1"/>
  <c r="AB23" i="64" s="1"/>
  <c r="AU29" i="41"/>
  <c r="V26" i="58" s="1"/>
  <c r="AM29" i="41"/>
  <c r="T26" i="58" s="1"/>
  <c r="AE29" i="41"/>
  <c r="R26" i="58" s="1"/>
  <c r="AE22" i="64" s="1"/>
  <c r="W29" i="41"/>
  <c r="AW29" i="41" s="1"/>
  <c r="R35" i="59"/>
  <c r="AU28" i="41"/>
  <c r="V25" i="58" s="1"/>
  <c r="AM28" i="41"/>
  <c r="T25" i="58" s="1"/>
  <c r="AE28" i="41"/>
  <c r="R25" i="58" s="1"/>
  <c r="W28" i="41"/>
  <c r="AU27" i="41"/>
  <c r="V24" i="58" s="1"/>
  <c r="AM27" i="41"/>
  <c r="T24" i="58" s="1"/>
  <c r="AG20" i="64" s="1"/>
  <c r="AE27" i="41"/>
  <c r="W27" i="41"/>
  <c r="P24" i="58" s="1"/>
  <c r="I68" i="60" s="1"/>
  <c r="J68" i="60" s="1"/>
  <c r="V27" i="41"/>
  <c r="O24" i="58" s="1"/>
  <c r="AU26" i="41"/>
  <c r="V23" i="58" s="1"/>
  <c r="AT26" i="41"/>
  <c r="AM26" i="41"/>
  <c r="T23" i="58" s="1"/>
  <c r="AG18" i="64" s="1"/>
  <c r="AL26" i="41"/>
  <c r="S23" i="58" s="1"/>
  <c r="X67" i="60" s="1"/>
  <c r="AE26" i="41"/>
  <c r="AD26" i="41"/>
  <c r="Q23" i="58" s="1"/>
  <c r="O67" i="60" s="1"/>
  <c r="W26" i="41"/>
  <c r="P23" i="58" s="1"/>
  <c r="V26" i="41"/>
  <c r="O23" i="58" s="1"/>
  <c r="AU25" i="41"/>
  <c r="V22" i="58" s="1"/>
  <c r="AI66" i="60" s="1"/>
  <c r="AL66" i="60" s="1"/>
  <c r="AT25" i="41"/>
  <c r="AM25" i="41"/>
  <c r="T22" i="58" s="1"/>
  <c r="AL25" i="41"/>
  <c r="S22" i="58" s="1"/>
  <c r="AF17" i="64" s="1"/>
  <c r="AE25" i="41"/>
  <c r="R22" i="58" s="1"/>
  <c r="AD25" i="41"/>
  <c r="Q22" i="58" s="1"/>
  <c r="AD17" i="64" s="1"/>
  <c r="W25" i="41"/>
  <c r="P22" i="58" s="1"/>
  <c r="H66" i="60" s="1"/>
  <c r="V25" i="41"/>
  <c r="O22" i="58" s="1"/>
  <c r="AU24" i="41"/>
  <c r="V21" i="58" s="1"/>
  <c r="AT24" i="41"/>
  <c r="AH16" i="64" s="1"/>
  <c r="AM24" i="41"/>
  <c r="T21" i="58" s="1"/>
  <c r="AL24" i="41"/>
  <c r="S21" i="58" s="1"/>
  <c r="AE24" i="41"/>
  <c r="AD24" i="41"/>
  <c r="Q21" i="58" s="1"/>
  <c r="AD16" i="64" s="1"/>
  <c r="W24" i="41"/>
  <c r="AW24" i="41" s="1"/>
  <c r="V24" i="41"/>
  <c r="O21" i="58" s="1"/>
  <c r="AU23" i="41"/>
  <c r="V20" i="58" s="1"/>
  <c r="AT23" i="41"/>
  <c r="AG64" i="60" s="1"/>
  <c r="AM23" i="41"/>
  <c r="T20" i="58" s="1"/>
  <c r="AG15" i="64" s="1"/>
  <c r="AL23" i="41"/>
  <c r="S20" i="58" s="1"/>
  <c r="AE23" i="41"/>
  <c r="R20" i="58" s="1"/>
  <c r="AD23" i="41"/>
  <c r="Q20" i="58" s="1"/>
  <c r="AD15" i="64" s="1"/>
  <c r="W23" i="41"/>
  <c r="AW23" i="41" s="1"/>
  <c r="V23" i="41"/>
  <c r="O20" i="58" s="1"/>
  <c r="AU21" i="41"/>
  <c r="V18" i="58" s="1"/>
  <c r="AI62" i="60" s="1"/>
  <c r="AL62" i="60" s="1"/>
  <c r="AT21" i="41"/>
  <c r="AM21" i="41"/>
  <c r="T18" i="58" s="1"/>
  <c r="AG14" i="64" s="1"/>
  <c r="AL21" i="41"/>
  <c r="S18" i="58" s="1"/>
  <c r="AF14" i="64" s="1"/>
  <c r="AE21" i="41"/>
  <c r="AD21" i="41"/>
  <c r="Q18" i="58" s="1"/>
  <c r="AD14" i="64" s="1"/>
  <c r="W21" i="41"/>
  <c r="V21" i="41"/>
  <c r="O18" i="58" s="1"/>
  <c r="G62" i="60" s="1"/>
  <c r="AU20" i="41"/>
  <c r="V17" i="58" s="1"/>
  <c r="AI13" i="64" s="1"/>
  <c r="AM20" i="41"/>
  <c r="T17" i="58" s="1"/>
  <c r="AE20" i="41"/>
  <c r="R17" i="58" s="1"/>
  <c r="W20" i="41"/>
  <c r="P17" i="58" s="1"/>
  <c r="AU19" i="41"/>
  <c r="V16" i="58" s="1"/>
  <c r="AT19" i="41"/>
  <c r="AH12" i="64" s="1"/>
  <c r="AM19" i="41"/>
  <c r="T16" i="58" s="1"/>
  <c r="AL19" i="41"/>
  <c r="S16" i="58" s="1"/>
  <c r="AE19" i="41"/>
  <c r="AD19" i="41"/>
  <c r="Q16" i="58" s="1"/>
  <c r="W19" i="41"/>
  <c r="P16" i="58" s="1"/>
  <c r="H60" i="60" s="1"/>
  <c r="V19" i="41"/>
  <c r="O16" i="58"/>
  <c r="F60" i="60" s="1"/>
  <c r="R25" i="59"/>
  <c r="AU18" i="41"/>
  <c r="V15" i="58" s="1"/>
  <c r="AM18" i="41"/>
  <c r="T15" i="58" s="1"/>
  <c r="AE18" i="41"/>
  <c r="R15" i="58"/>
  <c r="W18" i="41"/>
  <c r="P15" i="58" s="1"/>
  <c r="AU17" i="41"/>
  <c r="V14" i="58" s="1"/>
  <c r="AI10" i="64" s="1"/>
  <c r="AM17" i="41"/>
  <c r="T14" i="58" s="1"/>
  <c r="AE17" i="41"/>
  <c r="R14" i="58" s="1"/>
  <c r="W17" i="41"/>
  <c r="AW17" i="41" s="1"/>
  <c r="R23" i="59"/>
  <c r="AU16" i="41"/>
  <c r="V13" i="58" s="1"/>
  <c r="AI9" i="64" s="1"/>
  <c r="AM16" i="41"/>
  <c r="T13" i="58" s="1"/>
  <c r="Z57" i="60" s="1"/>
  <c r="AE16" i="41"/>
  <c r="R13" i="58" s="1"/>
  <c r="W16" i="41"/>
  <c r="B16" i="41" a="1"/>
  <c r="B16" i="41" s="1"/>
  <c r="X62" i="60"/>
  <c r="AD27" i="64"/>
  <c r="O75" i="60"/>
  <c r="O65" i="60"/>
  <c r="AF16" i="64"/>
  <c r="X65" i="60"/>
  <c r="O71" i="60"/>
  <c r="X66" i="60"/>
  <c r="F74" i="60"/>
  <c r="K74" i="60" s="1"/>
  <c r="AG22" i="64"/>
  <c r="Z70" i="60"/>
  <c r="I60" i="60"/>
  <c r="J60" i="60" s="1"/>
  <c r="AH15" i="64"/>
  <c r="AB12" i="64"/>
  <c r="AH18" i="64"/>
  <c r="AH26" i="64"/>
  <c r="AH23" i="64"/>
  <c r="AI67" i="60"/>
  <c r="AI18" i="64"/>
  <c r="AT16" i="41"/>
  <c r="AD29" i="41"/>
  <c r="Q26" i="58" s="1"/>
  <c r="AT32" i="41"/>
  <c r="AW16" i="41"/>
  <c r="P13" i="58"/>
  <c r="AC9" i="64" s="1"/>
  <c r="P25" i="58"/>
  <c r="AW30" i="41"/>
  <c r="BA30" i="41" s="1"/>
  <c r="P27" i="58"/>
  <c r="AC23" i="64" s="1"/>
  <c r="AW21" i="41"/>
  <c r="P18" i="58"/>
  <c r="I62" i="60" s="1"/>
  <c r="J62" i="60" s="1"/>
  <c r="M62" i="60" s="1"/>
  <c r="AW32" i="41"/>
  <c r="P29" i="58"/>
  <c r="I73" i="60" s="1"/>
  <c r="J73" i="60" s="1"/>
  <c r="AW33" i="41"/>
  <c r="P30" i="58"/>
  <c r="AC26" i="64" s="1"/>
  <c r="AL16" i="41"/>
  <c r="S13" i="58"/>
  <c r="AF9" i="64" s="1"/>
  <c r="AW20" i="41"/>
  <c r="AW34" i="41"/>
  <c r="P32" i="58"/>
  <c r="H76" i="60" s="1"/>
  <c r="AT17" i="41"/>
  <c r="AL27" i="41"/>
  <c r="S24" i="58" s="1"/>
  <c r="X68" i="60" s="1"/>
  <c r="V28" i="41"/>
  <c r="O25" i="58" s="1"/>
  <c r="AL28" i="41"/>
  <c r="S25" i="58" s="1"/>
  <c r="V29" i="41"/>
  <c r="O26" i="58" s="1"/>
  <c r="AD18" i="41"/>
  <c r="Q15" i="58"/>
  <c r="O59" i="60" s="1"/>
  <c r="AL29" i="41"/>
  <c r="S26" i="58" s="1"/>
  <c r="V31" i="41"/>
  <c r="O28" i="58"/>
  <c r="G72" i="60" s="1"/>
  <c r="AD27" i="41"/>
  <c r="Q24" i="58"/>
  <c r="O68" i="60" s="1"/>
  <c r="AT27" i="41"/>
  <c r="AT20" i="41"/>
  <c r="AD28" i="41"/>
  <c r="Q25" i="58" s="1"/>
  <c r="AT31" i="41"/>
  <c r="AD32" i="41"/>
  <c r="Q29" i="58"/>
  <c r="O73" i="60" s="1"/>
  <c r="AX17" i="41"/>
  <c r="AD17" i="41"/>
  <c r="Q14" i="58" s="1"/>
  <c r="AL20" i="41"/>
  <c r="S17" i="58" s="1"/>
  <c r="AL31" i="41"/>
  <c r="S28" i="58" s="1"/>
  <c r="V16" i="41"/>
  <c r="O13" i="58" s="1"/>
  <c r="V20" i="41"/>
  <c r="O17" i="58"/>
  <c r="G61" i="60" s="1"/>
  <c r="AT29" i="41"/>
  <c r="V32" i="41"/>
  <c r="AD16" i="41"/>
  <c r="Q13" i="58"/>
  <c r="AD9" i="64" s="1"/>
  <c r="V17" i="41"/>
  <c r="AV17" i="41" s="1"/>
  <c r="X14" i="58" s="1"/>
  <c r="AJ10" i="64" s="1"/>
  <c r="AD20" i="41"/>
  <c r="Q17" i="58"/>
  <c r="O61" i="60" s="1"/>
  <c r="AV25" i="41"/>
  <c r="X22" i="58" s="1"/>
  <c r="AJ17" i="64" s="1"/>
  <c r="V18" i="41"/>
  <c r="O15" i="58" s="1"/>
  <c r="AV26" i="41"/>
  <c r="X23" i="58"/>
  <c r="AJ18" i="64" s="1"/>
  <c r="AT28" i="41"/>
  <c r="AV30" i="41"/>
  <c r="X27" i="58"/>
  <c r="AJ23" i="64" s="1"/>
  <c r="AD31" i="41"/>
  <c r="AV31" i="41" s="1"/>
  <c r="X28" i="58" s="1"/>
  <c r="AJ24" i="64" s="1"/>
  <c r="AW18" i="41"/>
  <c r="AW19" i="41"/>
  <c r="AX30" i="41"/>
  <c r="BB30" i="41" s="1"/>
  <c r="AT18" i="41"/>
  <c r="AV21" i="41"/>
  <c r="X18" i="58" s="1"/>
  <c r="AJ14" i="64" s="1"/>
  <c r="AL17" i="41"/>
  <c r="S14" i="58" s="1"/>
  <c r="AL18" i="41"/>
  <c r="S15" i="58" s="1"/>
  <c r="AX20" i="41"/>
  <c r="AW26" i="41"/>
  <c r="BA26" i="41" s="1"/>
  <c r="AW25" i="41"/>
  <c r="BA25" i="41" s="1"/>
  <c r="AW28" i="41"/>
  <c r="AW31" i="41"/>
  <c r="AX28" i="41"/>
  <c r="AX31" i="41"/>
  <c r="I71" i="60"/>
  <c r="J71" i="60" s="1"/>
  <c r="AD20" i="64"/>
  <c r="AC21" i="64"/>
  <c r="I69" i="60"/>
  <c r="J69" i="60" s="1"/>
  <c r="H69" i="60"/>
  <c r="AD13" i="64"/>
  <c r="AC25" i="64"/>
  <c r="H73" i="60"/>
  <c r="I76" i="60"/>
  <c r="J76" i="60" s="1"/>
  <c r="AC14" i="64"/>
  <c r="AC20" i="64"/>
  <c r="AH13" i="64"/>
  <c r="AB24" i="64"/>
  <c r="AH9" i="64"/>
  <c r="BE33" i="41"/>
  <c r="AV29" i="41"/>
  <c r="X26" i="58" s="1"/>
  <c r="AJ22" i="64" s="1"/>
  <c r="BE25" i="41"/>
  <c r="AV32" i="41"/>
  <c r="X29" i="58" s="1"/>
  <c r="AJ25" i="64" s="1"/>
  <c r="O29" i="58"/>
  <c r="F73" i="60" s="1"/>
  <c r="G73" i="60"/>
  <c r="BA32" i="41"/>
  <c r="O39" i="38"/>
  <c r="O38" i="38"/>
  <c r="O35" i="38"/>
  <c r="O36" i="38"/>
  <c r="O37" i="38"/>
  <c r="O40" i="38"/>
  <c r="O34" i="38"/>
  <c r="O33" i="38"/>
  <c r="O32" i="38"/>
  <c r="O30" i="38"/>
  <c r="O31" i="38"/>
  <c r="O24" i="38"/>
  <c r="O25" i="38"/>
  <c r="O26" i="38"/>
  <c r="O27" i="38"/>
  <c r="O28" i="38"/>
  <c r="O29" i="38"/>
  <c r="O23" i="38"/>
  <c r="O21" i="38"/>
  <c r="O22" i="38"/>
  <c r="O20" i="38"/>
  <c r="O17" i="38"/>
  <c r="O18" i="38"/>
  <c r="O14" i="38"/>
  <c r="O15" i="38"/>
  <c r="O16" i="38"/>
  <c r="O13" i="38"/>
  <c r="O16" i="37"/>
  <c r="R5" i="59" s="1"/>
  <c r="I19" i="37"/>
  <c r="E8" i="59" s="1"/>
  <c r="D15" i="60" s="1"/>
  <c r="I17" i="37"/>
  <c r="E6" i="59" s="1"/>
  <c r="D13" i="60" s="1"/>
  <c r="I18" i="37"/>
  <c r="E7" i="59" s="1"/>
  <c r="D14" i="60" s="1"/>
  <c r="I16" i="37"/>
  <c r="E5" i="59" s="1"/>
  <c r="D12" i="60" s="1"/>
  <c r="H17" i="37"/>
  <c r="H18" i="37"/>
  <c r="H19" i="37"/>
  <c r="H16" i="37"/>
  <c r="E17" i="37"/>
  <c r="E18" i="37"/>
  <c r="E19" i="37"/>
  <c r="E16" i="37"/>
  <c r="D19" i="37"/>
  <c r="D17" i="37"/>
  <c r="D18" i="37"/>
  <c r="D16" i="37"/>
  <c r="O58" i="38"/>
  <c r="O57" i="38"/>
  <c r="O56" i="38"/>
  <c r="O55" i="38"/>
  <c r="O96" i="38"/>
  <c r="O98" i="38"/>
  <c r="O99" i="38"/>
  <c r="AU16" i="37"/>
  <c r="V55" i="58" s="1"/>
  <c r="AT16" i="37"/>
  <c r="U55" i="58" s="1"/>
  <c r="AM16" i="37"/>
  <c r="T55" i="58" s="1"/>
  <c r="AL16" i="37"/>
  <c r="S55" i="58" s="1"/>
  <c r="AE16" i="37"/>
  <c r="AD16" i="37"/>
  <c r="Q55" i="58"/>
  <c r="W16" i="37"/>
  <c r="AW16" i="37" s="1"/>
  <c r="P55" i="58"/>
  <c r="AC51" i="64" s="1"/>
  <c r="V16" i="37"/>
  <c r="O55" i="58" s="1"/>
  <c r="D19" i="69" l="1"/>
  <c r="BE22" i="44"/>
  <c r="BE22" i="42"/>
  <c r="J70" i="64"/>
  <c r="BM70" i="64" s="1"/>
  <c r="BE18" i="51"/>
  <c r="BE28" i="41"/>
  <c r="BE19" i="42"/>
  <c r="J76" i="64"/>
  <c r="BM76" i="64" s="1"/>
  <c r="BF28" i="41"/>
  <c r="BE21" i="42"/>
  <c r="J77" i="64"/>
  <c r="BM77" i="64" s="1"/>
  <c r="BE18" i="45"/>
  <c r="C22" i="67"/>
  <c r="C25" i="67"/>
  <c r="BE21" i="41"/>
  <c r="BF20" i="53"/>
  <c r="C9" i="64"/>
  <c r="BF31" i="41"/>
  <c r="BE23" i="41"/>
  <c r="BF17" i="47"/>
  <c r="BE18" i="37"/>
  <c r="BE18" i="46"/>
  <c r="Q65" i="59"/>
  <c r="E120" i="60" s="1"/>
  <c r="N120" i="60" s="1"/>
  <c r="W120" i="60" s="1"/>
  <c r="AF120" i="60" s="1"/>
  <c r="C31" i="64"/>
  <c r="C14" i="67"/>
  <c r="BE17" i="46"/>
  <c r="BE31" i="41"/>
  <c r="BE18" i="47"/>
  <c r="C15" i="67"/>
  <c r="C24" i="67"/>
  <c r="BE17" i="41"/>
  <c r="BE30" i="41"/>
  <c r="BE34" i="41"/>
  <c r="BE23" i="43"/>
  <c r="BE19" i="37"/>
  <c r="BG17" i="48"/>
  <c r="C16" i="67"/>
  <c r="C24" i="69"/>
  <c r="BE18" i="41"/>
  <c r="P25" i="59"/>
  <c r="M42" i="60"/>
  <c r="BE19" i="44"/>
  <c r="M69" i="60"/>
  <c r="J37" i="64"/>
  <c r="BM37" i="64" s="1"/>
  <c r="AA41" i="58"/>
  <c r="J89" i="64"/>
  <c r="BM89" i="64" s="1"/>
  <c r="J71" i="64"/>
  <c r="BM71" i="64" s="1"/>
  <c r="AA75" i="58"/>
  <c r="BE18" i="52"/>
  <c r="BE16" i="42"/>
  <c r="BE16" i="52"/>
  <c r="BG17" i="52"/>
  <c r="BE16" i="45"/>
  <c r="BE20" i="41"/>
  <c r="M60" i="60"/>
  <c r="BE20" i="42"/>
  <c r="BE18" i="44"/>
  <c r="BF17" i="48"/>
  <c r="J57" i="64"/>
  <c r="BM57" i="64" s="1"/>
  <c r="AA61" i="58"/>
  <c r="J62" i="64"/>
  <c r="BM62" i="64" s="1"/>
  <c r="J90" i="64"/>
  <c r="BM90" i="64" s="1"/>
  <c r="AA94" i="58"/>
  <c r="C91" i="64"/>
  <c r="C14" i="69"/>
  <c r="BE21" i="43"/>
  <c r="BE20" i="44"/>
  <c r="BE32" i="41"/>
  <c r="J55" i="64"/>
  <c r="BM55" i="64" s="1"/>
  <c r="AA59" i="58"/>
  <c r="BE16" i="41"/>
  <c r="BF20" i="42"/>
  <c r="Q66" i="59"/>
  <c r="E121" i="60" s="1"/>
  <c r="M121" i="60" s="1"/>
  <c r="J58" i="64"/>
  <c r="BM58" i="64" s="1"/>
  <c r="AA62" i="58"/>
  <c r="J59" i="64"/>
  <c r="BM59" i="64" s="1"/>
  <c r="AA63" i="58"/>
  <c r="J60" i="64"/>
  <c r="BM60" i="64" s="1"/>
  <c r="AA64" i="58"/>
  <c r="J61" i="64"/>
  <c r="BM61" i="64" s="1"/>
  <c r="AA65" i="58"/>
  <c r="J65" i="64"/>
  <c r="BM65" i="64" s="1"/>
  <c r="AA69" i="58"/>
  <c r="J75" i="64"/>
  <c r="BM75" i="64" s="1"/>
  <c r="AA79" i="58"/>
  <c r="BG16" i="52"/>
  <c r="J79" i="64"/>
  <c r="BM79" i="64" s="1"/>
  <c r="BN78" i="64" s="1"/>
  <c r="AA83" i="58"/>
  <c r="BE16" i="53"/>
  <c r="P71" i="59"/>
  <c r="J63" i="64"/>
  <c r="BM63" i="64" s="1"/>
  <c r="AA67" i="58"/>
  <c r="J66" i="64"/>
  <c r="BM66" i="64" s="1"/>
  <c r="AA70" i="58"/>
  <c r="J69" i="64"/>
  <c r="BM69" i="64" s="1"/>
  <c r="M88" i="60"/>
  <c r="J39" i="64"/>
  <c r="BM39" i="64" s="1"/>
  <c r="BN39" i="64" s="1"/>
  <c r="AA43" i="58"/>
  <c r="AB43" i="58" s="1"/>
  <c r="E16" i="66"/>
  <c r="D17" i="69" s="1"/>
  <c r="BF20" i="41"/>
  <c r="C12" i="69"/>
  <c r="M71" i="60"/>
  <c r="BF17" i="41"/>
  <c r="BE16" i="51"/>
  <c r="J67" i="64"/>
  <c r="BM67" i="64" s="1"/>
  <c r="AA71" i="58"/>
  <c r="AH137" i="60"/>
  <c r="AG137" i="60"/>
  <c r="BB19" i="50"/>
  <c r="AI61" i="60"/>
  <c r="AL61" i="60" s="1"/>
  <c r="AI35" i="60"/>
  <c r="AF42" i="64"/>
  <c r="X57" i="60"/>
  <c r="AD48" i="64"/>
  <c r="AC79" i="64"/>
  <c r="AH86" i="64"/>
  <c r="AD11" i="64"/>
  <c r="I66" i="60"/>
  <c r="J66" i="60" s="1"/>
  <c r="I94" i="60"/>
  <c r="J94" i="60" s="1"/>
  <c r="I32" i="60"/>
  <c r="J32" i="60" s="1"/>
  <c r="AJ90" i="64"/>
  <c r="R21" i="60"/>
  <c r="AC56" i="64"/>
  <c r="I137" i="60"/>
  <c r="J137" i="60" s="1"/>
  <c r="M137" i="60" s="1"/>
  <c r="BL93" i="64"/>
  <c r="L73" i="60"/>
  <c r="BJ55" i="64"/>
  <c r="I28" i="69" s="1"/>
  <c r="AB36" i="64"/>
  <c r="J82" i="64"/>
  <c r="BM82" i="64" s="1"/>
  <c r="AD37" i="64"/>
  <c r="AY94" i="60"/>
  <c r="J81" i="64"/>
  <c r="BM81" i="64" s="1"/>
  <c r="AH38" i="64"/>
  <c r="AD25" i="64"/>
  <c r="AC17" i="64"/>
  <c r="AD34" i="64"/>
  <c r="X153" i="60"/>
  <c r="G50" i="60"/>
  <c r="L50" i="60" s="1"/>
  <c r="AC81" i="64"/>
  <c r="AD81" i="64"/>
  <c r="Y137" i="60"/>
  <c r="I22" i="60"/>
  <c r="J22" i="60" s="1"/>
  <c r="AY100" i="60"/>
  <c r="AC67" i="60"/>
  <c r="AY67" i="60"/>
  <c r="AG23" i="64"/>
  <c r="P15" i="60"/>
  <c r="H50" i="60"/>
  <c r="O57" i="60"/>
  <c r="O62" i="60"/>
  <c r="AJ37" i="64"/>
  <c r="F18" i="69" s="1"/>
  <c r="F13" i="60"/>
  <c r="AD68" i="64"/>
  <c r="AD86" i="64"/>
  <c r="AI89" i="64"/>
  <c r="AC37" i="64"/>
  <c r="H138" i="60"/>
  <c r="H22" i="60"/>
  <c r="F136" i="60"/>
  <c r="P136" i="60" s="1"/>
  <c r="Y136" i="60"/>
  <c r="K73" i="60"/>
  <c r="AB80" i="64"/>
  <c r="AD18" i="64"/>
  <c r="AB37" i="64"/>
  <c r="X121" i="60"/>
  <c r="AY121" i="60" s="1"/>
  <c r="AH88" i="64"/>
  <c r="AF18" i="64"/>
  <c r="AH40" i="64"/>
  <c r="AF77" i="64"/>
  <c r="AB33" i="64"/>
  <c r="J80" i="64"/>
  <c r="BM80" i="64" s="1"/>
  <c r="AI84" i="58"/>
  <c r="X88" i="60"/>
  <c r="O96" i="60"/>
  <c r="P96" i="60" s="1"/>
  <c r="X129" i="60"/>
  <c r="AY129" i="60" s="1"/>
  <c r="I95" i="60"/>
  <c r="J95" i="60" s="1"/>
  <c r="M95" i="60" s="1"/>
  <c r="G138" i="60"/>
  <c r="AC82" i="64"/>
  <c r="AC35" i="64"/>
  <c r="AY164" i="60"/>
  <c r="AF44" i="64"/>
  <c r="X71" i="60"/>
  <c r="AY71" i="60" s="1"/>
  <c r="X63" i="60"/>
  <c r="AY63" i="60" s="1"/>
  <c r="H88" i="60"/>
  <c r="AY101" i="60"/>
  <c r="F97" i="60"/>
  <c r="Y97" i="60"/>
  <c r="P34" i="60"/>
  <c r="AI165" i="60"/>
  <c r="AA49" i="60"/>
  <c r="AH81" i="64"/>
  <c r="U66" i="58"/>
  <c r="AV21" i="47"/>
  <c r="H114" i="60"/>
  <c r="AC64" i="64"/>
  <c r="I114" i="60"/>
  <c r="J114" i="60" s="1"/>
  <c r="AW22" i="47"/>
  <c r="BE22" i="47" s="1"/>
  <c r="P67" i="58"/>
  <c r="AC63" i="64" s="1"/>
  <c r="AH57" i="64"/>
  <c r="AX16" i="47"/>
  <c r="BB16" i="47" s="1"/>
  <c r="AX18" i="47"/>
  <c r="BF18" i="47" s="1"/>
  <c r="I112" i="60"/>
  <c r="AA112" i="60"/>
  <c r="AX23" i="47"/>
  <c r="AW23" i="47"/>
  <c r="BE23" i="47" s="1"/>
  <c r="BH18" i="47"/>
  <c r="AH63" i="58" s="1"/>
  <c r="H112" i="60"/>
  <c r="I109" i="60"/>
  <c r="L109" i="60" s="1"/>
  <c r="AB59" i="64"/>
  <c r="Y112" i="60"/>
  <c r="AG60" i="64"/>
  <c r="Z110" i="60"/>
  <c r="X114" i="60"/>
  <c r="AY114" i="60" s="1"/>
  <c r="AJ59" i="64"/>
  <c r="F32" i="69" s="1"/>
  <c r="AD62" i="64"/>
  <c r="AI58" i="60"/>
  <c r="AL58" i="60" s="1"/>
  <c r="AI173" i="60"/>
  <c r="AI44" i="64"/>
  <c r="AI30" i="60"/>
  <c r="AI14" i="60"/>
  <c r="AL14" i="60" s="1"/>
  <c r="AI156" i="60"/>
  <c r="AI155" i="60"/>
  <c r="AL155" i="60" s="1"/>
  <c r="AI77" i="64"/>
  <c r="AI74" i="64"/>
  <c r="AI71" i="64"/>
  <c r="AI128" i="60"/>
  <c r="AI108" i="60"/>
  <c r="AI58" i="64"/>
  <c r="AI26" i="64"/>
  <c r="AI70" i="60"/>
  <c r="AL70" i="60" s="1"/>
  <c r="AI22" i="64"/>
  <c r="AI14" i="64"/>
  <c r="AI57" i="60"/>
  <c r="AL57" i="60" s="1"/>
  <c r="Y13" i="58"/>
  <c r="AI43" i="64"/>
  <c r="AI41" i="64"/>
  <c r="AI95" i="60"/>
  <c r="AL95" i="60" s="1"/>
  <c r="Y41" i="58"/>
  <c r="AK37" i="64" s="1"/>
  <c r="G18" i="69" s="1"/>
  <c r="AL43" i="60"/>
  <c r="AI24" i="60"/>
  <c r="W68" i="60"/>
  <c r="AF68" i="60" s="1"/>
  <c r="AH21" i="64"/>
  <c r="P59" i="60"/>
  <c r="O70" i="60"/>
  <c r="AD22" i="64"/>
  <c r="BE35" i="41"/>
  <c r="H59" i="60"/>
  <c r="I59" i="60"/>
  <c r="J59" i="60" s="1"/>
  <c r="M59" i="60" s="1"/>
  <c r="AH20" i="64"/>
  <c r="BE24" i="41"/>
  <c r="G66" i="60"/>
  <c r="L66" i="60" s="1"/>
  <c r="AB17" i="64"/>
  <c r="F84" i="60"/>
  <c r="G84" i="60"/>
  <c r="P84" i="60" s="1"/>
  <c r="AB31" i="64"/>
  <c r="AL99" i="60"/>
  <c r="AH41" i="64"/>
  <c r="I75" i="60"/>
  <c r="J75" i="60" s="1"/>
  <c r="M75" i="60" s="1"/>
  <c r="AC27" i="64"/>
  <c r="H75" i="60"/>
  <c r="G12" i="60"/>
  <c r="P12" i="60"/>
  <c r="AB51" i="64"/>
  <c r="F12" i="60"/>
  <c r="F59" i="60"/>
  <c r="G59" i="60"/>
  <c r="AB11" i="64"/>
  <c r="G67" i="60"/>
  <c r="L67" i="60" s="1"/>
  <c r="AB18" i="64"/>
  <c r="BL18" i="64" s="1"/>
  <c r="Y67" i="60"/>
  <c r="AD67" i="60" s="1"/>
  <c r="AD26" i="64"/>
  <c r="Y74" i="60"/>
  <c r="O74" i="60"/>
  <c r="BA31" i="41"/>
  <c r="AD10" i="64"/>
  <c r="O58" i="60"/>
  <c r="G69" i="60"/>
  <c r="L69" i="60" s="1"/>
  <c r="F69" i="60"/>
  <c r="AB21" i="64"/>
  <c r="AC18" i="64"/>
  <c r="I67" i="60"/>
  <c r="J67" i="60" s="1"/>
  <c r="M67" i="60" s="1"/>
  <c r="H67" i="60"/>
  <c r="X73" i="60"/>
  <c r="AF25" i="64"/>
  <c r="BA29" i="41"/>
  <c r="BE29" i="41"/>
  <c r="AB43" i="64"/>
  <c r="F101" i="60"/>
  <c r="AF10" i="64"/>
  <c r="X58" i="60"/>
  <c r="AD21" i="64"/>
  <c r="O69" i="60"/>
  <c r="X70" i="60"/>
  <c r="AY70" i="60" s="1"/>
  <c r="AF22" i="64"/>
  <c r="W72" i="60"/>
  <c r="AF72" i="60" s="1"/>
  <c r="AD31" i="64"/>
  <c r="O84" i="60"/>
  <c r="L62" i="60"/>
  <c r="BB17" i="41"/>
  <c r="BE26" i="41"/>
  <c r="AF20" i="64"/>
  <c r="AV24" i="41"/>
  <c r="X21" i="58" s="1"/>
  <c r="AJ16" i="64" s="1"/>
  <c r="AI17" i="64"/>
  <c r="AV18" i="41"/>
  <c r="X15" i="58" s="1"/>
  <c r="AJ11" i="64" s="1"/>
  <c r="AH24" i="64"/>
  <c r="H62" i="60"/>
  <c r="F61" i="60"/>
  <c r="P61" i="60" s="1"/>
  <c r="AV23" i="41"/>
  <c r="P14" i="58"/>
  <c r="G60" i="60"/>
  <c r="L60" i="60" s="1"/>
  <c r="T75" i="60"/>
  <c r="P26" i="58"/>
  <c r="I70" i="60" s="1"/>
  <c r="J70" i="60" s="1"/>
  <c r="W57" i="60"/>
  <c r="AF57" i="60" s="1"/>
  <c r="E19" i="42"/>
  <c r="E20" i="42"/>
  <c r="AD29" i="64"/>
  <c r="W88" i="60"/>
  <c r="AF88" i="60" s="1"/>
  <c r="E39" i="58"/>
  <c r="I35" i="64" s="1"/>
  <c r="E22" i="42"/>
  <c r="AV16" i="42"/>
  <c r="AD30" i="64"/>
  <c r="O83" i="60"/>
  <c r="Q39" i="58"/>
  <c r="AV22" i="42"/>
  <c r="BA21" i="43"/>
  <c r="AC40" i="64"/>
  <c r="BA17" i="43"/>
  <c r="BE17" i="43"/>
  <c r="AH37" i="64"/>
  <c r="AW18" i="43"/>
  <c r="BE18" i="43" s="1"/>
  <c r="P42" i="58"/>
  <c r="H96" i="60" s="1"/>
  <c r="W94" i="60"/>
  <c r="AF94" i="60" s="1"/>
  <c r="AI107" i="60"/>
  <c r="AL107" i="60" s="1"/>
  <c r="AI57" i="64"/>
  <c r="AH70" i="64"/>
  <c r="AH72" i="64"/>
  <c r="G43" i="60"/>
  <c r="L43" i="60" s="1"/>
  <c r="P43" i="60"/>
  <c r="R59" i="60"/>
  <c r="U59" i="60" s="1"/>
  <c r="F99" i="60"/>
  <c r="AB41" i="64"/>
  <c r="AD46" i="64"/>
  <c r="O32" i="60"/>
  <c r="AH48" i="64"/>
  <c r="W110" i="60"/>
  <c r="AF110" i="60" s="1"/>
  <c r="AC73" i="64"/>
  <c r="I146" i="60"/>
  <c r="J146" i="60" s="1"/>
  <c r="M146" i="60" s="1"/>
  <c r="H146" i="60"/>
  <c r="AH73" i="64"/>
  <c r="O145" i="60"/>
  <c r="AC76" i="64"/>
  <c r="I154" i="60"/>
  <c r="J154" i="60" s="1"/>
  <c r="H154" i="60"/>
  <c r="W153" i="60"/>
  <c r="AF153" i="60" s="1"/>
  <c r="BF17" i="56"/>
  <c r="BB17" i="56"/>
  <c r="AI25" i="64"/>
  <c r="AI73" i="60"/>
  <c r="AL73" i="60" s="1"/>
  <c r="AY17" i="42"/>
  <c r="R34" i="58"/>
  <c r="AE30" i="64" s="1"/>
  <c r="G100" i="60"/>
  <c r="AH44" i="64"/>
  <c r="G34" i="60"/>
  <c r="F34" i="60"/>
  <c r="AI34" i="60"/>
  <c r="AI48" i="64"/>
  <c r="W114" i="60"/>
  <c r="AF114" i="60" s="1"/>
  <c r="H121" i="60"/>
  <c r="AC66" i="64"/>
  <c r="AZ17" i="48"/>
  <c r="BH17" i="48" s="1"/>
  <c r="AH70" i="58" s="1"/>
  <c r="AY16" i="48"/>
  <c r="BG16" i="48" s="1"/>
  <c r="X70" i="58"/>
  <c r="AW17" i="48"/>
  <c r="BE17" i="48" s="1"/>
  <c r="AZ16" i="48"/>
  <c r="BH16" i="48" s="1"/>
  <c r="AH69" i="58" s="1"/>
  <c r="AX16" i="48"/>
  <c r="BB16" i="48" s="1"/>
  <c r="AB69" i="64"/>
  <c r="F129" i="60"/>
  <c r="G129" i="60"/>
  <c r="L129" i="60" s="1"/>
  <c r="P129" i="60"/>
  <c r="W145" i="60"/>
  <c r="AF145" i="60" s="1"/>
  <c r="H85" i="60"/>
  <c r="AI85" i="60"/>
  <c r="AV18" i="43"/>
  <c r="O98" i="60"/>
  <c r="X98" i="60"/>
  <c r="AF40" i="64"/>
  <c r="H99" i="60"/>
  <c r="AC41" i="64"/>
  <c r="I99" i="60"/>
  <c r="J99" i="60" s="1"/>
  <c r="M99" i="60" s="1"/>
  <c r="O97" i="60"/>
  <c r="AD39" i="64"/>
  <c r="O35" i="60"/>
  <c r="AV21" i="44"/>
  <c r="O53" i="58"/>
  <c r="AH53" i="64"/>
  <c r="W12" i="60"/>
  <c r="AF12" i="60" s="1"/>
  <c r="N12" i="60"/>
  <c r="M114" i="60"/>
  <c r="W113" i="60"/>
  <c r="AF113" i="60" s="1"/>
  <c r="W154" i="60"/>
  <c r="AF154" i="60" s="1"/>
  <c r="AD90" i="64"/>
  <c r="O43" i="60"/>
  <c r="BA21" i="41"/>
  <c r="H12" i="60"/>
  <c r="AC28" i="64"/>
  <c r="I57" i="60"/>
  <c r="J57" i="60" s="1"/>
  <c r="M57" i="60" s="1"/>
  <c r="AY30" i="41"/>
  <c r="BC30" i="41" s="1"/>
  <c r="AV34" i="41"/>
  <c r="P21" i="58"/>
  <c r="AJ65" i="60" s="1"/>
  <c r="AM65" i="60" s="1"/>
  <c r="O64" i="60"/>
  <c r="AV16" i="37"/>
  <c r="X55" i="58" s="1"/>
  <c r="AJ51" i="64" s="1"/>
  <c r="F24" i="69" s="1"/>
  <c r="AV27" i="41"/>
  <c r="AB13" i="64"/>
  <c r="H68" i="60"/>
  <c r="M73" i="60"/>
  <c r="H57" i="60"/>
  <c r="BF30" i="41"/>
  <c r="Q28" i="58"/>
  <c r="O14" i="58"/>
  <c r="AI23" i="64"/>
  <c r="G68" i="60"/>
  <c r="L68" i="60" s="1"/>
  <c r="AB20" i="64"/>
  <c r="AC71" i="60"/>
  <c r="AZ33" i="41"/>
  <c r="BH33" i="41" s="1"/>
  <c r="AH30" i="58" s="1"/>
  <c r="W67" i="60"/>
  <c r="AF67" i="60" s="1"/>
  <c r="AN67" i="60" s="1"/>
  <c r="W58" i="60"/>
  <c r="AF58" i="60" s="1"/>
  <c r="AZ22" i="41"/>
  <c r="BD22" i="41" s="1"/>
  <c r="AE19" i="58" s="1"/>
  <c r="AY22" i="41"/>
  <c r="BG22" i="41" s="1"/>
  <c r="AV21" i="42"/>
  <c r="BA21" i="42" s="1"/>
  <c r="AH34" i="64"/>
  <c r="O99" i="60"/>
  <c r="AD41" i="64"/>
  <c r="N95" i="60"/>
  <c r="S95" i="60" s="1"/>
  <c r="AL35" i="60"/>
  <c r="W34" i="60"/>
  <c r="AF34" i="60" s="1"/>
  <c r="AW21" i="44"/>
  <c r="BE21" i="44" s="1"/>
  <c r="AX21" i="44"/>
  <c r="BF21" i="44" s="1"/>
  <c r="P53" i="58"/>
  <c r="AC54" i="64"/>
  <c r="I15" i="60"/>
  <c r="J15" i="60" s="1"/>
  <c r="H15" i="60"/>
  <c r="AF57" i="64"/>
  <c r="X107" i="60"/>
  <c r="R74" i="58"/>
  <c r="AE70" i="64" s="1"/>
  <c r="AX16" i="50"/>
  <c r="BF16" i="50" s="1"/>
  <c r="X145" i="60"/>
  <c r="AY145" i="60" s="1"/>
  <c r="AF72" i="64"/>
  <c r="M68" i="60"/>
  <c r="W69" i="60"/>
  <c r="AF69" i="60" s="1"/>
  <c r="W65" i="60"/>
  <c r="AF65" i="60" s="1"/>
  <c r="W85" i="60"/>
  <c r="AF85" i="60" s="1"/>
  <c r="AH35" i="64"/>
  <c r="N86" i="60"/>
  <c r="W86" i="60" s="1"/>
  <c r="O100" i="60"/>
  <c r="P100" i="60" s="1"/>
  <c r="AD42" i="64"/>
  <c r="AD44" i="64"/>
  <c r="O30" i="60"/>
  <c r="AH46" i="64"/>
  <c r="H36" i="60"/>
  <c r="I36" i="60"/>
  <c r="J36" i="60" s="1"/>
  <c r="M36" i="60" s="1"/>
  <c r="AI50" i="64"/>
  <c r="AI36" i="60"/>
  <c r="AL36" i="60" s="1"/>
  <c r="N32" i="60"/>
  <c r="W32" i="60"/>
  <c r="AF32" i="60" s="1"/>
  <c r="AD91" i="64"/>
  <c r="O51" i="60"/>
  <c r="T51" i="60" s="1"/>
  <c r="W109" i="60"/>
  <c r="F112" i="60"/>
  <c r="AB62" i="64"/>
  <c r="AD59" i="64"/>
  <c r="O109" i="60"/>
  <c r="I127" i="60"/>
  <c r="J127" i="60" s="1"/>
  <c r="H127" i="60"/>
  <c r="Y129" i="60"/>
  <c r="O129" i="60"/>
  <c r="F155" i="60"/>
  <c r="AB77" i="64"/>
  <c r="AD78" i="64"/>
  <c r="O156" i="60"/>
  <c r="G157" i="60"/>
  <c r="F157" i="60"/>
  <c r="K157" i="60" s="1"/>
  <c r="BD16" i="56"/>
  <c r="AE93" i="58" s="1"/>
  <c r="BH16" i="56"/>
  <c r="AH93" i="58" s="1"/>
  <c r="Z23" i="58"/>
  <c r="AL18" i="64" s="1"/>
  <c r="Y73" i="60"/>
  <c r="AX29" i="41"/>
  <c r="BF29" i="41" s="1"/>
  <c r="Q32" i="58"/>
  <c r="AV35" i="41"/>
  <c r="X32" i="58" s="1"/>
  <c r="AJ28" i="64" s="1"/>
  <c r="F85" i="60"/>
  <c r="K85" i="60" s="1"/>
  <c r="G85" i="60"/>
  <c r="W99" i="60"/>
  <c r="AF99" i="60" s="1"/>
  <c r="AN99" i="60" s="1"/>
  <c r="T30" i="60"/>
  <c r="F31" i="60"/>
  <c r="G31" i="60"/>
  <c r="AI32" i="60"/>
  <c r="AI46" i="64"/>
  <c r="AF48" i="64"/>
  <c r="X34" i="60"/>
  <c r="X66" i="58"/>
  <c r="AJ62" i="64" s="1"/>
  <c r="BA21" i="47"/>
  <c r="W112" i="60"/>
  <c r="AF112" i="60" s="1"/>
  <c r="P65" i="58"/>
  <c r="R111" i="60" s="1"/>
  <c r="AW20" i="47"/>
  <c r="BE20" i="47" s="1"/>
  <c r="Q67" i="58"/>
  <c r="AD63" i="64" s="1"/>
  <c r="AV22" i="47"/>
  <c r="X67" i="58" s="1"/>
  <c r="AJ63" i="64" s="1"/>
  <c r="AI65" i="64"/>
  <c r="AI120" i="60"/>
  <c r="AL120" i="60" s="1"/>
  <c r="AI172" i="60"/>
  <c r="AL172" i="60" s="1"/>
  <c r="AI87" i="64"/>
  <c r="Y68" i="60"/>
  <c r="Y62" i="60"/>
  <c r="W63" i="60"/>
  <c r="AF63" i="60" s="1"/>
  <c r="AI86" i="60"/>
  <c r="AL86" i="60" s="1"/>
  <c r="AV16" i="41"/>
  <c r="X13" i="58" s="1"/>
  <c r="AJ9" i="64" s="1"/>
  <c r="H71" i="60"/>
  <c r="AV33" i="41"/>
  <c r="X30" i="58" s="1"/>
  <c r="AJ26" i="64" s="1"/>
  <c r="P20" i="58"/>
  <c r="R64" i="60" s="1"/>
  <c r="AW27" i="41"/>
  <c r="BE27" i="41" s="1"/>
  <c r="AB14" i="64"/>
  <c r="F62" i="60"/>
  <c r="AV19" i="41"/>
  <c r="X19" i="58"/>
  <c r="G82" i="60"/>
  <c r="P82" i="60" s="1"/>
  <c r="S33" i="58"/>
  <c r="Y82" i="60" s="1"/>
  <c r="W97" i="60"/>
  <c r="AF97" i="60" s="1"/>
  <c r="AV16" i="43"/>
  <c r="X40" i="58" s="1"/>
  <c r="AJ36" i="64" s="1"/>
  <c r="F17" i="69" s="1"/>
  <c r="H94" i="60"/>
  <c r="K94" i="60" s="1"/>
  <c r="G99" i="60"/>
  <c r="P99" i="60" s="1"/>
  <c r="AI38" i="64"/>
  <c r="AI96" i="60"/>
  <c r="AV20" i="44"/>
  <c r="W36" i="60"/>
  <c r="AF36" i="60" s="1"/>
  <c r="AV19" i="44"/>
  <c r="X51" i="58" s="1"/>
  <c r="AJ47" i="64" s="1"/>
  <c r="O51" i="58"/>
  <c r="G33" i="60" s="1"/>
  <c r="L33" i="60" s="1"/>
  <c r="N14" i="60"/>
  <c r="W14" i="60"/>
  <c r="AF14" i="60" s="1"/>
  <c r="AI62" i="64"/>
  <c r="AB60" i="64"/>
  <c r="G110" i="60"/>
  <c r="W111" i="60"/>
  <c r="AF111" i="60" s="1"/>
  <c r="X13" i="60"/>
  <c r="AF52" i="64"/>
  <c r="L127" i="60"/>
  <c r="Y156" i="60"/>
  <c r="AB78" i="64"/>
  <c r="AH78" i="64"/>
  <c r="AL156" i="60"/>
  <c r="F171" i="60"/>
  <c r="P171" i="60"/>
  <c r="AW17" i="55"/>
  <c r="BE17" i="55" s="1"/>
  <c r="AX17" i="55"/>
  <c r="BF17" i="55" s="1"/>
  <c r="AH89" i="64"/>
  <c r="AG42" i="60"/>
  <c r="AL42" i="60" s="1"/>
  <c r="AF56" i="64"/>
  <c r="X50" i="60"/>
  <c r="AC50" i="60" s="1"/>
  <c r="B7" i="59"/>
  <c r="B8" i="59" s="1"/>
  <c r="B9" i="59" s="1"/>
  <c r="D111" i="59"/>
  <c r="W71" i="60"/>
  <c r="AF71" i="60" s="1"/>
  <c r="W61" i="60"/>
  <c r="AF61" i="60" s="1"/>
  <c r="AV18" i="42"/>
  <c r="X35" i="58" s="1"/>
  <c r="AJ31" i="64" s="1"/>
  <c r="AW16" i="43"/>
  <c r="BA16" i="43" s="1"/>
  <c r="AY17" i="43"/>
  <c r="BC17" i="43" s="1"/>
  <c r="P47" i="58"/>
  <c r="AW16" i="44"/>
  <c r="BE16" i="44" s="1"/>
  <c r="AX16" i="44"/>
  <c r="AB57" i="64"/>
  <c r="F109" i="60"/>
  <c r="P109" i="60" s="1"/>
  <c r="O107" i="60"/>
  <c r="P107" i="60" s="1"/>
  <c r="AW16" i="47"/>
  <c r="AW17" i="47"/>
  <c r="AV19" i="47"/>
  <c r="X64" i="58" s="1"/>
  <c r="AJ60" i="64" s="1"/>
  <c r="X69" i="58"/>
  <c r="AC121" i="60"/>
  <c r="AB52" i="64"/>
  <c r="W129" i="60"/>
  <c r="AF129" i="60" s="1"/>
  <c r="Y145" i="60"/>
  <c r="F145" i="60"/>
  <c r="AI72" i="64"/>
  <c r="AI145" i="60"/>
  <c r="BF19" i="53"/>
  <c r="AD76" i="64"/>
  <c r="O154" i="60"/>
  <c r="AX18" i="55"/>
  <c r="BF18" i="55" s="1"/>
  <c r="W42" i="60"/>
  <c r="AF42" i="60" s="1"/>
  <c r="H21" i="60"/>
  <c r="P21" i="60"/>
  <c r="U21" i="60" s="1"/>
  <c r="T67" i="60"/>
  <c r="AX27" i="41"/>
  <c r="W60" i="60"/>
  <c r="AF60" i="60" s="1"/>
  <c r="R85" i="60"/>
  <c r="AZ17" i="43"/>
  <c r="BD17" i="43" s="1"/>
  <c r="AE41" i="58" s="1"/>
  <c r="G95" i="60"/>
  <c r="O36" i="60"/>
  <c r="W15" i="60"/>
  <c r="AF62" i="64"/>
  <c r="Y113" i="60"/>
  <c r="AX19" i="47"/>
  <c r="BF19" i="47" s="1"/>
  <c r="AD66" i="64"/>
  <c r="X135" i="60"/>
  <c r="AB67" i="64"/>
  <c r="O72" i="58"/>
  <c r="AV17" i="51"/>
  <c r="X72" i="58" s="1"/>
  <c r="AJ68" i="64" s="1"/>
  <c r="O146" i="60"/>
  <c r="O77" i="58"/>
  <c r="AV18" i="52"/>
  <c r="X77" i="58" s="1"/>
  <c r="AJ73" i="64" s="1"/>
  <c r="F40" i="69" s="1"/>
  <c r="AF74" i="64"/>
  <c r="X147" i="60"/>
  <c r="W144" i="60"/>
  <c r="AF144" i="60" s="1"/>
  <c r="AX17" i="52"/>
  <c r="BB17" i="52" s="1"/>
  <c r="AZ17" i="52"/>
  <c r="BH17" i="52" s="1"/>
  <c r="AH76" i="58" s="1"/>
  <c r="BH16" i="52"/>
  <c r="AH75" i="58" s="1"/>
  <c r="X76" i="58"/>
  <c r="AW17" i="52"/>
  <c r="AI157" i="60"/>
  <c r="AL157" i="60" s="1"/>
  <c r="AV18" i="54"/>
  <c r="O163" i="60"/>
  <c r="AD83" i="64"/>
  <c r="P91" i="58"/>
  <c r="AC87" i="64" s="1"/>
  <c r="W43" i="60"/>
  <c r="AF43" i="60" s="1"/>
  <c r="AY16" i="56"/>
  <c r="X93" i="58"/>
  <c r="AW19" i="45"/>
  <c r="AF94" i="64"/>
  <c r="X23" i="60"/>
  <c r="AC23" i="60" s="1"/>
  <c r="F24" i="60"/>
  <c r="AB95" i="64"/>
  <c r="W171" i="60"/>
  <c r="AF171" i="60" s="1"/>
  <c r="AV16" i="45"/>
  <c r="X96" i="58" s="1"/>
  <c r="AJ92" i="64" s="1"/>
  <c r="F46" i="69" s="1"/>
  <c r="W24" i="60"/>
  <c r="AF24" i="60" s="1"/>
  <c r="AV19" i="45"/>
  <c r="X99" i="58" s="1"/>
  <c r="AJ95" i="64" s="1"/>
  <c r="F48" i="69" s="1"/>
  <c r="W173" i="60"/>
  <c r="AF173" i="60" s="1"/>
  <c r="AV20" i="43"/>
  <c r="X44" i="58" s="1"/>
  <c r="AJ40" i="64" s="1"/>
  <c r="F21" i="69" s="1"/>
  <c r="AV22" i="43"/>
  <c r="X46" i="58" s="1"/>
  <c r="AJ42" i="64" s="1"/>
  <c r="AC46" i="64"/>
  <c r="AV18" i="44"/>
  <c r="X62" i="58"/>
  <c r="Y13" i="60"/>
  <c r="AI13" i="60"/>
  <c r="AI52" i="64"/>
  <c r="AI73" i="64"/>
  <c r="AI146" i="60"/>
  <c r="AH74" i="64"/>
  <c r="AL147" i="60"/>
  <c r="G165" i="60"/>
  <c r="Y165" i="60"/>
  <c r="H24" i="60"/>
  <c r="I24" i="60"/>
  <c r="J24" i="60" s="1"/>
  <c r="AC95" i="64"/>
  <c r="AC33" i="64"/>
  <c r="H86" i="60"/>
  <c r="I86" i="60"/>
  <c r="J86" i="60" s="1"/>
  <c r="M86" i="60" s="1"/>
  <c r="AI114" i="60"/>
  <c r="AI64" i="64"/>
  <c r="W172" i="60"/>
  <c r="AF172" i="60" s="1"/>
  <c r="P95" i="60"/>
  <c r="W51" i="60"/>
  <c r="Y107" i="60"/>
  <c r="Y109" i="60"/>
  <c r="BA18" i="52"/>
  <c r="AV19" i="52"/>
  <c r="X78" i="58" s="1"/>
  <c r="AJ74" i="64" s="1"/>
  <c r="O78" i="58"/>
  <c r="G147" i="60" s="1"/>
  <c r="BA17" i="53"/>
  <c r="BE17" i="53"/>
  <c r="H153" i="60"/>
  <c r="K153" i="60" s="1"/>
  <c r="I153" i="60"/>
  <c r="J153" i="60" s="1"/>
  <c r="M153" i="60" s="1"/>
  <c r="X79" i="58"/>
  <c r="AZ17" i="53"/>
  <c r="BH17" i="53" s="1"/>
  <c r="AH80" i="58" s="1"/>
  <c r="AY16" i="53"/>
  <c r="BC16" i="53" s="1"/>
  <c r="AY20" i="53"/>
  <c r="BG20" i="53" s="1"/>
  <c r="AZ16" i="53"/>
  <c r="BD16" i="53" s="1"/>
  <c r="AE79" i="58" s="1"/>
  <c r="AW20" i="53"/>
  <c r="AY17" i="53"/>
  <c r="BG17" i="53" s="1"/>
  <c r="F87" i="38"/>
  <c r="F87" i="58" s="1"/>
  <c r="J83" i="64" s="1"/>
  <c r="F16" i="54"/>
  <c r="P86" i="59" s="1"/>
  <c r="X163" i="60"/>
  <c r="AC163" i="60" s="1"/>
  <c r="AF83" i="64"/>
  <c r="O164" i="60"/>
  <c r="AD84" i="64"/>
  <c r="AW18" i="54"/>
  <c r="BE18" i="54" s="1"/>
  <c r="P89" i="58"/>
  <c r="AH87" i="64"/>
  <c r="G74" i="60"/>
  <c r="L74" i="60" s="1"/>
  <c r="W64" i="60"/>
  <c r="AF64" i="60" s="1"/>
  <c r="Y85" i="60"/>
  <c r="AZ16" i="42"/>
  <c r="BD16" i="42" s="1"/>
  <c r="AE33" i="58" s="1"/>
  <c r="AX22" i="43"/>
  <c r="BF22" i="43" s="1"/>
  <c r="AC96" i="60"/>
  <c r="X15" i="60"/>
  <c r="AC15" i="60" s="1"/>
  <c r="F111" i="60"/>
  <c r="AY17" i="47"/>
  <c r="BC17" i="47" s="1"/>
  <c r="AI110" i="60"/>
  <c r="R112" i="60"/>
  <c r="I129" i="60"/>
  <c r="J129" i="60" s="1"/>
  <c r="M129" i="60" s="1"/>
  <c r="H129" i="60"/>
  <c r="BF16" i="52"/>
  <c r="AZ20" i="53"/>
  <c r="BD20" i="53" s="1"/>
  <c r="AE83" i="58" s="1"/>
  <c r="G156" i="60"/>
  <c r="AH76" i="64"/>
  <c r="AF85" i="64"/>
  <c r="AV17" i="54"/>
  <c r="X88" i="58" s="1"/>
  <c r="AJ84" i="64" s="1"/>
  <c r="W165" i="60"/>
  <c r="AF165" i="60" s="1"/>
  <c r="AZ16" i="45"/>
  <c r="BH16" i="45" s="1"/>
  <c r="AH96" i="58" s="1"/>
  <c r="O98" i="58"/>
  <c r="AV18" i="45"/>
  <c r="X98" i="58" s="1"/>
  <c r="AJ94" i="64" s="1"/>
  <c r="F47" i="69" s="1"/>
  <c r="W21" i="60"/>
  <c r="AF21" i="60" s="1"/>
  <c r="P98" i="58"/>
  <c r="F71" i="76"/>
  <c r="E69" i="76"/>
  <c r="D71" i="63"/>
  <c r="BB16" i="56"/>
  <c r="AL23" i="60"/>
  <c r="F71" i="77"/>
  <c r="E69" i="77"/>
  <c r="D66" i="77"/>
  <c r="D76" i="76"/>
  <c r="AI138" i="60"/>
  <c r="AI82" i="64"/>
  <c r="AI129" i="60"/>
  <c r="AL129" i="60" s="1"/>
  <c r="AV18" i="55"/>
  <c r="X92" i="58" s="1"/>
  <c r="AJ88" i="64" s="1"/>
  <c r="AH90" i="64"/>
  <c r="AQ129" i="60"/>
  <c r="D67" i="63"/>
  <c r="Y138" i="60"/>
  <c r="AF82" i="64"/>
  <c r="X138" i="60"/>
  <c r="AY138" i="60" s="1"/>
  <c r="N13" i="60"/>
  <c r="W13" i="60"/>
  <c r="AF13" i="60" s="1"/>
  <c r="BF16" i="53"/>
  <c r="AI94" i="64"/>
  <c r="AX18" i="45"/>
  <c r="R87" i="60"/>
  <c r="E78" i="75"/>
  <c r="X136" i="60"/>
  <c r="AY136" i="60" s="1"/>
  <c r="AF80" i="64"/>
  <c r="B5" i="75"/>
  <c r="E78" i="76"/>
  <c r="W137" i="60"/>
  <c r="AF137" i="60" s="1"/>
  <c r="AI136" i="60"/>
  <c r="AI80" i="64"/>
  <c r="B5" i="63"/>
  <c r="F71" i="63"/>
  <c r="D65" i="63"/>
  <c r="D67" i="75"/>
  <c r="W136" i="60"/>
  <c r="AF136" i="60" s="1"/>
  <c r="C89" i="64"/>
  <c r="C30" i="69"/>
  <c r="AG59" i="64"/>
  <c r="C38" i="64"/>
  <c r="C23" i="67"/>
  <c r="C40" i="64"/>
  <c r="C92" i="64"/>
  <c r="C10" i="69"/>
  <c r="X22" i="60"/>
  <c r="AC22" i="60" s="1"/>
  <c r="AF93" i="64"/>
  <c r="E14" i="66"/>
  <c r="D15" i="69" s="1"/>
  <c r="C19" i="69"/>
  <c r="C44" i="69"/>
  <c r="M136" i="60"/>
  <c r="C20" i="64"/>
  <c r="C21" i="69"/>
  <c r="C45" i="69"/>
  <c r="AZ21" i="42"/>
  <c r="BH21" i="42" s="1"/>
  <c r="AH38" i="58" s="1"/>
  <c r="U97" i="58"/>
  <c r="E11" i="66"/>
  <c r="D20" i="64" s="1"/>
  <c r="AI22" i="60"/>
  <c r="C37" i="62"/>
  <c r="E12" i="66"/>
  <c r="D26" i="64" s="1"/>
  <c r="E15" i="66"/>
  <c r="D33" i="64" s="1"/>
  <c r="BG17" i="50"/>
  <c r="E10" i="66"/>
  <c r="D10" i="69" s="1"/>
  <c r="AZ27" i="41"/>
  <c r="BH27" i="41" s="1"/>
  <c r="AH24" i="58" s="1"/>
  <c r="AY21" i="41"/>
  <c r="BG21" i="41" s="1"/>
  <c r="BD17" i="56"/>
  <c r="AE94" i="58" s="1"/>
  <c r="Z42" i="60"/>
  <c r="AG89" i="64"/>
  <c r="AZ17" i="54"/>
  <c r="BH17" i="54" s="1"/>
  <c r="AH88" i="58" s="1"/>
  <c r="AY17" i="51"/>
  <c r="BC17" i="51" s="1"/>
  <c r="BC16" i="48"/>
  <c r="Z113" i="60"/>
  <c r="Z112" i="60"/>
  <c r="AC112" i="60" s="1"/>
  <c r="AG62" i="64"/>
  <c r="AZ22" i="43"/>
  <c r="BH22" i="43" s="1"/>
  <c r="AH46" i="58" s="1"/>
  <c r="Z100" i="60"/>
  <c r="AC100" i="60" s="1"/>
  <c r="AG40" i="64"/>
  <c r="AG38" i="64"/>
  <c r="T30" i="58"/>
  <c r="AA74" i="60" s="1"/>
  <c r="AD74" i="60" s="1"/>
  <c r="Z73" i="60"/>
  <c r="AC73" i="60" s="1"/>
  <c r="AZ29" i="41"/>
  <c r="BH29" i="41" s="1"/>
  <c r="AH26" i="58" s="1"/>
  <c r="Z64" i="60"/>
  <c r="AZ17" i="41"/>
  <c r="BH17" i="41" s="1"/>
  <c r="AH14" i="58" s="1"/>
  <c r="AY17" i="41"/>
  <c r="AG90" i="64"/>
  <c r="AJ33" i="60"/>
  <c r="Z22" i="60"/>
  <c r="AG93" i="64"/>
  <c r="Z173" i="60"/>
  <c r="AG56" i="64"/>
  <c r="AG55" i="64"/>
  <c r="AJ49" i="60"/>
  <c r="Z49" i="60"/>
  <c r="AC156" i="60"/>
  <c r="AG78" i="64"/>
  <c r="BK78" i="64" s="1"/>
  <c r="AG76" i="64"/>
  <c r="Z154" i="60"/>
  <c r="Z146" i="60"/>
  <c r="Z145" i="60"/>
  <c r="AG72" i="64"/>
  <c r="AG82" i="64"/>
  <c r="Z137" i="60"/>
  <c r="AG81" i="64"/>
  <c r="BG18" i="50"/>
  <c r="AC136" i="60"/>
  <c r="AL80" i="64"/>
  <c r="AG80" i="64"/>
  <c r="AZ16" i="50"/>
  <c r="Z128" i="60"/>
  <c r="AG68" i="64"/>
  <c r="AG67" i="64"/>
  <c r="Z127" i="60"/>
  <c r="AC127" i="60" s="1"/>
  <c r="AG66" i="64"/>
  <c r="AG65" i="64"/>
  <c r="Z120" i="60"/>
  <c r="AA97" i="60"/>
  <c r="AD97" i="60" s="1"/>
  <c r="Z95" i="60"/>
  <c r="AA95" i="60"/>
  <c r="T38" i="58"/>
  <c r="AJ87" i="60" s="1"/>
  <c r="AG28" i="64"/>
  <c r="Z75" i="60"/>
  <c r="AG24" i="64"/>
  <c r="Z72" i="60"/>
  <c r="AY31" i="41"/>
  <c r="BG31" i="41" s="1"/>
  <c r="AZ30" i="41"/>
  <c r="Z68" i="60"/>
  <c r="AC68" i="60" s="1"/>
  <c r="Z62" i="60"/>
  <c r="AC62" i="60" s="1"/>
  <c r="AY19" i="41"/>
  <c r="BC19" i="41" s="1"/>
  <c r="Z59" i="60"/>
  <c r="AG11" i="64"/>
  <c r="AZ18" i="41"/>
  <c r="BH18" i="41" s="1"/>
  <c r="AH15" i="58" s="1"/>
  <c r="AG9" i="64"/>
  <c r="Z24" i="60"/>
  <c r="Z15" i="60"/>
  <c r="Z14" i="60"/>
  <c r="AC14" i="60" s="1"/>
  <c r="AZ17" i="37"/>
  <c r="BH17" i="37" s="1"/>
  <c r="AH56" i="58" s="1"/>
  <c r="X37" i="58"/>
  <c r="AJ33" i="64" s="1"/>
  <c r="BA20" i="42"/>
  <c r="AF33" i="64"/>
  <c r="AV17" i="42"/>
  <c r="X34" i="58" s="1"/>
  <c r="AJ30" i="64" s="1"/>
  <c r="X83" i="60"/>
  <c r="BA17" i="42"/>
  <c r="AL82" i="60"/>
  <c r="AH29" i="64"/>
  <c r="BA16" i="42"/>
  <c r="X33" i="58"/>
  <c r="AJ29" i="64" s="1"/>
  <c r="AL163" i="60"/>
  <c r="W163" i="60"/>
  <c r="AF163" i="60" s="1"/>
  <c r="C5" i="67"/>
  <c r="F42" i="69"/>
  <c r="AY34" i="41"/>
  <c r="AZ34" i="41"/>
  <c r="AX34" i="41"/>
  <c r="BF34" i="41" s="1"/>
  <c r="Q74" i="60"/>
  <c r="AE26" i="64"/>
  <c r="BB31" i="41"/>
  <c r="AJ70" i="60"/>
  <c r="AM70" i="60" s="1"/>
  <c r="AY29" i="41"/>
  <c r="BG29" i="41" s="1"/>
  <c r="R70" i="60"/>
  <c r="AZ28" i="41"/>
  <c r="BH28" i="41" s="1"/>
  <c r="AH25" i="58" s="1"/>
  <c r="AY28" i="41"/>
  <c r="BG28" i="41" s="1"/>
  <c r="R24" i="58"/>
  <c r="R68" i="60" s="1"/>
  <c r="AX25" i="41"/>
  <c r="AY25" i="41"/>
  <c r="AZ25" i="41"/>
  <c r="BC22" i="41"/>
  <c r="AY16" i="41"/>
  <c r="BG16" i="41" s="1"/>
  <c r="AX16" i="41"/>
  <c r="BB16" i="41" s="1"/>
  <c r="AZ16" i="41"/>
  <c r="BH16" i="41" s="1"/>
  <c r="AH13" i="58" s="1"/>
  <c r="BC17" i="52"/>
  <c r="AE74" i="64"/>
  <c r="BB16" i="53"/>
  <c r="O137" i="60"/>
  <c r="P137" i="60" s="1"/>
  <c r="R136" i="60"/>
  <c r="AA136" i="60"/>
  <c r="Q136" i="60"/>
  <c r="AX20" i="47"/>
  <c r="BF20" i="47" s="1"/>
  <c r="R64" i="58"/>
  <c r="AY22" i="43"/>
  <c r="BG22" i="43" s="1"/>
  <c r="BB22" i="43"/>
  <c r="AZ20" i="43"/>
  <c r="AX20" i="43"/>
  <c r="AY20" i="43"/>
  <c r="BG20" i="43" s="1"/>
  <c r="AJ95" i="60"/>
  <c r="BB20" i="42"/>
  <c r="AY18" i="42"/>
  <c r="Q82" i="60"/>
  <c r="AY16" i="42"/>
  <c r="BG16" i="42" s="1"/>
  <c r="AX16" i="42"/>
  <c r="BB16" i="42" s="1"/>
  <c r="R42" i="60"/>
  <c r="AA36" i="60"/>
  <c r="AZ21" i="44"/>
  <c r="BH21" i="44" s="1"/>
  <c r="AH53" i="58" s="1"/>
  <c r="AY21" i="44"/>
  <c r="BG21" i="44" s="1"/>
  <c r="AX20" i="44"/>
  <c r="BB20" i="44" s="1"/>
  <c r="AY19" i="44"/>
  <c r="BG19" i="44" s="1"/>
  <c r="R30" i="60"/>
  <c r="AY16" i="45"/>
  <c r="BC16" i="45" s="1"/>
  <c r="Q13" i="60"/>
  <c r="AE52" i="64"/>
  <c r="BG17" i="47"/>
  <c r="X60" i="60"/>
  <c r="Y60" i="60"/>
  <c r="AF12" i="64"/>
  <c r="BE16" i="37"/>
  <c r="BA16" i="37"/>
  <c r="AI12" i="60"/>
  <c r="AL12" i="60" s="1"/>
  <c r="AI51" i="64"/>
  <c r="AH10" i="64"/>
  <c r="Y12" i="60"/>
  <c r="H72" i="60"/>
  <c r="I72" i="60"/>
  <c r="AC24" i="64"/>
  <c r="K76" i="60"/>
  <c r="W62" i="60"/>
  <c r="AF21" i="64"/>
  <c r="X69" i="60"/>
  <c r="Y69" i="60"/>
  <c r="AH22" i="64"/>
  <c r="AH11" i="64"/>
  <c r="AJ61" i="60"/>
  <c r="AM61" i="60" s="1"/>
  <c r="AC13" i="64"/>
  <c r="H61" i="60"/>
  <c r="I61" i="60"/>
  <c r="J61" i="60" s="1"/>
  <c r="M61" i="60" s="1"/>
  <c r="W75" i="60"/>
  <c r="M76" i="60"/>
  <c r="Y61" i="60"/>
  <c r="AF13" i="64"/>
  <c r="X61" i="60"/>
  <c r="AF11" i="64"/>
  <c r="X59" i="60"/>
  <c r="Y59" i="60"/>
  <c r="AB22" i="64"/>
  <c r="Y70" i="60"/>
  <c r="F70" i="60"/>
  <c r="G70" i="60"/>
  <c r="AF51" i="64"/>
  <c r="X12" i="60"/>
  <c r="K60" i="60"/>
  <c r="AG51" i="64"/>
  <c r="Z12" i="60"/>
  <c r="Y57" i="60"/>
  <c r="G57" i="60"/>
  <c r="L57" i="60" s="1"/>
  <c r="AB9" i="64"/>
  <c r="F57" i="60"/>
  <c r="AH25" i="64"/>
  <c r="AF24" i="64"/>
  <c r="X72" i="60"/>
  <c r="AY72" i="60" s="1"/>
  <c r="O12" i="60"/>
  <c r="AD51" i="64"/>
  <c r="BA18" i="41"/>
  <c r="AB25" i="64"/>
  <c r="AV20" i="41"/>
  <c r="F72" i="60"/>
  <c r="AH14" i="64"/>
  <c r="Z67" i="60"/>
  <c r="F68" i="60"/>
  <c r="AD12" i="64"/>
  <c r="O60" i="60"/>
  <c r="F64" i="60"/>
  <c r="Y64" i="60"/>
  <c r="AB15" i="64"/>
  <c r="G64" i="60"/>
  <c r="AF27" i="64"/>
  <c r="X75" i="60"/>
  <c r="AY75" i="60" s="1"/>
  <c r="T36" i="58"/>
  <c r="Y36" i="58" s="1"/>
  <c r="AZ19" i="42"/>
  <c r="AD35" i="64"/>
  <c r="O88" i="60"/>
  <c r="N87" i="60"/>
  <c r="M87" i="60"/>
  <c r="O94" i="60"/>
  <c r="AD36" i="64"/>
  <c r="Q47" i="58"/>
  <c r="Y101" i="60" s="1"/>
  <c r="AV23" i="43"/>
  <c r="I12" i="60"/>
  <c r="J12" i="60" s="1"/>
  <c r="M12" i="60" s="1"/>
  <c r="AX16" i="37"/>
  <c r="BB34" i="41"/>
  <c r="AX19" i="41"/>
  <c r="BF19" i="41" s="1"/>
  <c r="R16" i="58"/>
  <c r="R60" i="60" s="1"/>
  <c r="Y17" i="58"/>
  <c r="AK13" i="64" s="1"/>
  <c r="AE13" i="64"/>
  <c r="AA61" i="60"/>
  <c r="Q61" i="60"/>
  <c r="AX21" i="41"/>
  <c r="R18" i="58"/>
  <c r="R62" i="60" s="1"/>
  <c r="F65" i="60"/>
  <c r="AB16" i="64"/>
  <c r="Y65" i="60"/>
  <c r="G65" i="60"/>
  <c r="AI65" i="60"/>
  <c r="AL65" i="60" s="1"/>
  <c r="AI16" i="64"/>
  <c r="AG21" i="64"/>
  <c r="Z69" i="60"/>
  <c r="AI24" i="64"/>
  <c r="AI72" i="60"/>
  <c r="AL72" i="60" s="1"/>
  <c r="AX35" i="41"/>
  <c r="BB35" i="41" s="1"/>
  <c r="R32" i="58"/>
  <c r="AF32" i="64"/>
  <c r="X85" i="60"/>
  <c r="BC18" i="42"/>
  <c r="BG18" i="42"/>
  <c r="AF34" i="64"/>
  <c r="X87" i="60"/>
  <c r="AI35" i="64"/>
  <c r="AI88" i="60"/>
  <c r="AL88" i="60" s="1"/>
  <c r="P73" i="60"/>
  <c r="U73" i="60" s="1"/>
  <c r="BA17" i="41"/>
  <c r="AV28" i="41"/>
  <c r="BB28" i="41" s="1"/>
  <c r="BB29" i="41"/>
  <c r="AI27" i="64"/>
  <c r="AC11" i="64"/>
  <c r="AG10" i="64"/>
  <c r="Z58" i="60"/>
  <c r="AC58" i="60" s="1"/>
  <c r="AG13" i="64"/>
  <c r="Z61" i="60"/>
  <c r="AG17" i="64"/>
  <c r="Z66" i="60"/>
  <c r="AC66" i="60" s="1"/>
  <c r="AZ26" i="41"/>
  <c r="BH26" i="41" s="1"/>
  <c r="AH23" i="58" s="1"/>
  <c r="R23" i="58"/>
  <c r="AE18" i="64" s="1"/>
  <c r="AI21" i="64"/>
  <c r="AI69" i="60"/>
  <c r="AL69" i="60" s="1"/>
  <c r="AF26" i="64"/>
  <c r="X74" i="60"/>
  <c r="AH27" i="64"/>
  <c r="AF28" i="64"/>
  <c r="X76" i="60"/>
  <c r="BB22" i="42"/>
  <c r="BF22" i="42"/>
  <c r="AB30" i="64"/>
  <c r="Y83" i="60"/>
  <c r="F83" i="60"/>
  <c r="G83" i="60"/>
  <c r="AI84" i="60"/>
  <c r="AI31" i="64"/>
  <c r="BB16" i="43"/>
  <c r="BF16" i="43"/>
  <c r="AG41" i="64"/>
  <c r="Z99" i="60"/>
  <c r="AY99" i="60" s="1"/>
  <c r="AC42" i="64"/>
  <c r="I100" i="60"/>
  <c r="J100" i="60" s="1"/>
  <c r="H100" i="60"/>
  <c r="AG43" i="64"/>
  <c r="Z101" i="60"/>
  <c r="AC101" i="60" s="1"/>
  <c r="AE48" i="64"/>
  <c r="BB21" i="44"/>
  <c r="X53" i="58"/>
  <c r="AJ49" i="64" s="1"/>
  <c r="AI11" i="64"/>
  <c r="AI59" i="60"/>
  <c r="AL59" i="60" s="1"/>
  <c r="AH17" i="64"/>
  <c r="F75" i="60"/>
  <c r="Y75" i="60"/>
  <c r="G75" i="60"/>
  <c r="L75" i="60" s="1"/>
  <c r="AH31" i="64"/>
  <c r="AG30" i="64"/>
  <c r="Z83" i="60"/>
  <c r="AC83" i="60" s="1"/>
  <c r="M84" i="60"/>
  <c r="N84" i="60"/>
  <c r="AG36" i="64"/>
  <c r="Z94" i="60"/>
  <c r="AC94" i="60" s="1"/>
  <c r="AI40" i="64"/>
  <c r="AI98" i="60"/>
  <c r="AL98" i="60" s="1"/>
  <c r="BB19" i="43"/>
  <c r="X43" i="58"/>
  <c r="AJ39" i="64" s="1"/>
  <c r="F20" i="69" s="1"/>
  <c r="AH39" i="64"/>
  <c r="BD29" i="41"/>
  <c r="AE26" i="58" s="1"/>
  <c r="AG12" i="64"/>
  <c r="Z60" i="60"/>
  <c r="AF15" i="64"/>
  <c r="X64" i="60"/>
  <c r="AI68" i="60"/>
  <c r="AL68" i="60" s="1"/>
  <c r="AI20" i="64"/>
  <c r="F71" i="60"/>
  <c r="Y71" i="60"/>
  <c r="AZ71" i="60" s="1"/>
  <c r="G71" i="60"/>
  <c r="L71" i="60" s="1"/>
  <c r="AA73" i="60"/>
  <c r="AD73" i="60" s="1"/>
  <c r="AH28" i="64"/>
  <c r="AG19" i="64"/>
  <c r="Z63" i="60"/>
  <c r="AG29" i="64"/>
  <c r="Z82" i="60"/>
  <c r="H83" i="60"/>
  <c r="I83" i="60"/>
  <c r="J83" i="60" s="1"/>
  <c r="M83" i="60" s="1"/>
  <c r="AH30" i="64"/>
  <c r="K86" i="60"/>
  <c r="AI34" i="64"/>
  <c r="AI87" i="60"/>
  <c r="AL87" i="60" s="1"/>
  <c r="Y66" i="60"/>
  <c r="AZ24" i="41"/>
  <c r="BH24" i="41" s="1"/>
  <c r="AH21" i="58" s="1"/>
  <c r="R21" i="58"/>
  <c r="AA65" i="60" s="1"/>
  <c r="AD65" i="60" s="1"/>
  <c r="G76" i="60"/>
  <c r="L76" i="60" s="1"/>
  <c r="AB28" i="64"/>
  <c r="AI76" i="60"/>
  <c r="AL76" i="60" s="1"/>
  <c r="AI28" i="64"/>
  <c r="AI63" i="60"/>
  <c r="AL63" i="60" s="1"/>
  <c r="AI19" i="64"/>
  <c r="E17" i="42"/>
  <c r="E34" i="58"/>
  <c r="I30" i="64" s="1"/>
  <c r="AC29" i="64"/>
  <c r="R82" i="60"/>
  <c r="Y33" i="58"/>
  <c r="AA33" i="58" s="1"/>
  <c r="AB33" i="58" s="1"/>
  <c r="AJ82" i="60"/>
  <c r="I82" i="60"/>
  <c r="J82" i="60" s="1"/>
  <c r="M82" i="60" s="1"/>
  <c r="H82" i="60"/>
  <c r="AI83" i="60"/>
  <c r="AI30" i="64"/>
  <c r="AJ88" i="60"/>
  <c r="AG35" i="64"/>
  <c r="Z88" i="60"/>
  <c r="AC88" i="60" s="1"/>
  <c r="N82" i="60"/>
  <c r="N83" i="60"/>
  <c r="AI97" i="60"/>
  <c r="AI39" i="64"/>
  <c r="AH51" i="64"/>
  <c r="BC17" i="41"/>
  <c r="H70" i="60"/>
  <c r="O66" i="60"/>
  <c r="F66" i="60"/>
  <c r="AI60" i="60"/>
  <c r="AL60" i="60" s="1"/>
  <c r="AI12" i="64"/>
  <c r="F67" i="60"/>
  <c r="BA22" i="41"/>
  <c r="M70" i="60"/>
  <c r="N70" i="60"/>
  <c r="N66" i="60"/>
  <c r="M66" i="60"/>
  <c r="N59" i="60"/>
  <c r="AC19" i="64"/>
  <c r="I63" i="60"/>
  <c r="J63" i="60" s="1"/>
  <c r="M63" i="60" s="1"/>
  <c r="H63" i="60"/>
  <c r="K63" i="60" s="1"/>
  <c r="AD32" i="64"/>
  <c r="O85" i="60"/>
  <c r="Y86" i="60"/>
  <c r="Y87" i="60"/>
  <c r="F87" i="60"/>
  <c r="G87" i="60"/>
  <c r="AB34" i="64"/>
  <c r="G88" i="60"/>
  <c r="F88" i="60"/>
  <c r="AB35" i="64"/>
  <c r="X42" i="58"/>
  <c r="AJ38" i="64" s="1"/>
  <c r="F19" i="69" s="1"/>
  <c r="BA18" i="43"/>
  <c r="AC12" i="64"/>
  <c r="AI64" i="60"/>
  <c r="AL64" i="60" s="1"/>
  <c r="AI15" i="64"/>
  <c r="AG16" i="64"/>
  <c r="Z65" i="60"/>
  <c r="AC65" i="60" s="1"/>
  <c r="BE18" i="42"/>
  <c r="BA18" i="42"/>
  <c r="H84" i="60"/>
  <c r="I84" i="60"/>
  <c r="J84" i="60" s="1"/>
  <c r="K96" i="60"/>
  <c r="AC38" i="64"/>
  <c r="I96" i="60"/>
  <c r="J96" i="60" s="1"/>
  <c r="N101" i="60"/>
  <c r="O63" i="60"/>
  <c r="I85" i="60"/>
  <c r="BE17" i="42"/>
  <c r="S35" i="58"/>
  <c r="AL85" i="60"/>
  <c r="AI36" i="64"/>
  <c r="F100" i="60"/>
  <c r="AF41" i="64"/>
  <c r="Y99" i="60"/>
  <c r="X95" i="60"/>
  <c r="AY95" i="60" s="1"/>
  <c r="Y95" i="60"/>
  <c r="AF37" i="64"/>
  <c r="AB39" i="64"/>
  <c r="G97" i="60"/>
  <c r="G86" i="60"/>
  <c r="F82" i="60"/>
  <c r="BE22" i="43"/>
  <c r="AH36" i="64"/>
  <c r="AF38" i="64"/>
  <c r="I19" i="69" s="1"/>
  <c r="AI100" i="60"/>
  <c r="AL100" i="60" s="1"/>
  <c r="BA21" i="44"/>
  <c r="BA19" i="44"/>
  <c r="AL33" i="60"/>
  <c r="AF46" i="64"/>
  <c r="X32" i="60"/>
  <c r="X36" i="60"/>
  <c r="AF50" i="64"/>
  <c r="N30" i="60"/>
  <c r="W30" i="60"/>
  <c r="AF30" i="60" s="1"/>
  <c r="W33" i="60"/>
  <c r="AF33" i="60" s="1"/>
  <c r="N33" i="60"/>
  <c r="M33" i="60"/>
  <c r="AX18" i="41"/>
  <c r="BB18" i="41" s="1"/>
  <c r="AZ31" i="41"/>
  <c r="BH31" i="41" s="1"/>
  <c r="AH28" i="58" s="1"/>
  <c r="AY32" i="41"/>
  <c r="BG32" i="41" s="1"/>
  <c r="G63" i="60"/>
  <c r="L63" i="60" s="1"/>
  <c r="AV19" i="42"/>
  <c r="X38" i="58"/>
  <c r="AJ34" i="64" s="1"/>
  <c r="BF16" i="42"/>
  <c r="AZ18" i="42"/>
  <c r="AI29" i="64"/>
  <c r="O86" i="60"/>
  <c r="I98" i="60"/>
  <c r="J98" i="60" s="1"/>
  <c r="O44" i="58"/>
  <c r="BA20" i="44"/>
  <c r="X52" i="58"/>
  <c r="AJ48" i="64" s="1"/>
  <c r="AV17" i="44"/>
  <c r="X49" i="58" s="1"/>
  <c r="AJ45" i="64" s="1"/>
  <c r="U49" i="58"/>
  <c r="AZ20" i="44"/>
  <c r="BH20" i="44" s="1"/>
  <c r="AH52" i="58" s="1"/>
  <c r="T52" i="58"/>
  <c r="AA34" i="60" s="1"/>
  <c r="AD34" i="60" s="1"/>
  <c r="AZ20" i="41"/>
  <c r="BH20" i="41" s="1"/>
  <c r="AH17" i="58" s="1"/>
  <c r="Y63" i="60"/>
  <c r="AX18" i="42"/>
  <c r="BB18" i="42" s="1"/>
  <c r="R35" i="58"/>
  <c r="R84" i="60" s="1"/>
  <c r="BF17" i="43"/>
  <c r="Y94" i="60"/>
  <c r="G94" i="60"/>
  <c r="AZ16" i="43"/>
  <c r="BH16" i="43" s="1"/>
  <c r="AH40" i="58" s="1"/>
  <c r="AY16" i="43"/>
  <c r="AI45" i="64"/>
  <c r="AI31" i="60"/>
  <c r="AB50" i="64"/>
  <c r="Y36" i="60"/>
  <c r="F36" i="60"/>
  <c r="K36" i="60" s="1"/>
  <c r="G36" i="60"/>
  <c r="L36" i="60" s="1"/>
  <c r="AB19" i="64"/>
  <c r="T35" i="58"/>
  <c r="BE16" i="43"/>
  <c r="AD95" i="60"/>
  <c r="AL94" i="60"/>
  <c r="O48" i="58"/>
  <c r="AV16" i="44"/>
  <c r="Z30" i="60"/>
  <c r="AG44" i="64"/>
  <c r="P49" i="58"/>
  <c r="R31" i="60" s="1"/>
  <c r="U31" i="60" s="1"/>
  <c r="AX17" i="44"/>
  <c r="AW17" i="44"/>
  <c r="X50" i="58"/>
  <c r="AJ46" i="64" s="1"/>
  <c r="BA18" i="44"/>
  <c r="H34" i="60"/>
  <c r="R34" i="60"/>
  <c r="U34" i="60" s="1"/>
  <c r="I34" i="60"/>
  <c r="J34" i="60" s="1"/>
  <c r="M34" i="60" s="1"/>
  <c r="AC48" i="64"/>
  <c r="AA83" i="60"/>
  <c r="AD83" i="60" s="1"/>
  <c r="AY19" i="42"/>
  <c r="BG19" i="42" s="1"/>
  <c r="AC99" i="60"/>
  <c r="Y100" i="60"/>
  <c r="AB42" i="64"/>
  <c r="AG39" i="64"/>
  <c r="Z97" i="60"/>
  <c r="AC97" i="60" s="1"/>
  <c r="I30" i="60"/>
  <c r="J30" i="60" s="1"/>
  <c r="M30" i="60" s="1"/>
  <c r="AC44" i="64"/>
  <c r="H30" i="60"/>
  <c r="S30" i="60" s="1"/>
  <c r="Y31" i="60"/>
  <c r="AD45" i="64"/>
  <c r="P31" i="60"/>
  <c r="O31" i="60"/>
  <c r="AF47" i="64"/>
  <c r="X33" i="60"/>
  <c r="AA88" i="60"/>
  <c r="G101" i="60"/>
  <c r="Y96" i="60"/>
  <c r="P33" i="60"/>
  <c r="AB47" i="64"/>
  <c r="F33" i="60"/>
  <c r="AG47" i="64"/>
  <c r="Z33" i="60"/>
  <c r="AW20" i="43"/>
  <c r="AH50" i="64"/>
  <c r="X31" i="60"/>
  <c r="AD47" i="64"/>
  <c r="AY17" i="44"/>
  <c r="BG17" i="44" s="1"/>
  <c r="T49" i="58"/>
  <c r="M107" i="60"/>
  <c r="AW19" i="47"/>
  <c r="P64" i="58"/>
  <c r="AB61" i="64"/>
  <c r="Y111" i="60"/>
  <c r="AZ20" i="47"/>
  <c r="AY20" i="47"/>
  <c r="BG20" i="47" s="1"/>
  <c r="T65" i="58"/>
  <c r="AD58" i="64"/>
  <c r="O108" i="60"/>
  <c r="Y121" i="60"/>
  <c r="F121" i="60"/>
  <c r="AB66" i="64"/>
  <c r="G121" i="60"/>
  <c r="L121" i="60" s="1"/>
  <c r="AH66" i="64"/>
  <c r="AL121" i="60"/>
  <c r="AI67" i="64"/>
  <c r="AI127" i="60"/>
  <c r="AY22" i="42"/>
  <c r="BG22" i="42" s="1"/>
  <c r="M94" i="60"/>
  <c r="M32" i="60"/>
  <c r="Y54" i="58"/>
  <c r="AA54" i="58" s="1"/>
  <c r="AV22" i="44"/>
  <c r="X54" i="58" s="1"/>
  <c r="AJ50" i="64" s="1"/>
  <c r="AB48" i="64"/>
  <c r="AC47" i="64"/>
  <c r="X35" i="60"/>
  <c r="AF53" i="64"/>
  <c r="M15" i="60"/>
  <c r="AL51" i="60"/>
  <c r="I51" i="60"/>
  <c r="J51" i="60" s="1"/>
  <c r="M51" i="60" s="1"/>
  <c r="AF91" i="64"/>
  <c r="X51" i="60"/>
  <c r="AC51" i="60" s="1"/>
  <c r="AI111" i="60"/>
  <c r="F108" i="60"/>
  <c r="Y108" i="60"/>
  <c r="G108" i="60"/>
  <c r="AH61" i="64"/>
  <c r="N135" i="60"/>
  <c r="AD53" i="64"/>
  <c r="O14" i="60"/>
  <c r="O15" i="60"/>
  <c r="AD54" i="64"/>
  <c r="Y15" i="60"/>
  <c r="G51" i="60"/>
  <c r="L51" i="60" s="1"/>
  <c r="F51" i="60"/>
  <c r="K51" i="60" s="1"/>
  <c r="Y51" i="60"/>
  <c r="AD51" i="60" s="1"/>
  <c r="P51" i="60"/>
  <c r="U51" i="60" s="1"/>
  <c r="AB91" i="64"/>
  <c r="L112" i="60"/>
  <c r="J112" i="60"/>
  <c r="M112" i="60" s="1"/>
  <c r="N108" i="60"/>
  <c r="AJ107" i="60"/>
  <c r="AC57" i="64"/>
  <c r="H107" i="60"/>
  <c r="K107" i="60" s="1"/>
  <c r="AG57" i="64"/>
  <c r="Z107" i="60"/>
  <c r="I108" i="60"/>
  <c r="J108" i="60" s="1"/>
  <c r="M108" i="60" s="1"/>
  <c r="AC58" i="64"/>
  <c r="H108" i="60"/>
  <c r="AH65" i="64"/>
  <c r="Z135" i="60"/>
  <c r="AC135" i="60" s="1"/>
  <c r="AG70" i="64"/>
  <c r="AX16" i="51"/>
  <c r="R71" i="58"/>
  <c r="AJ127" i="60" s="1"/>
  <c r="H128" i="60"/>
  <c r="AC68" i="64"/>
  <c r="I128" i="60"/>
  <c r="J128" i="60" s="1"/>
  <c r="M128" i="60" s="1"/>
  <c r="BA22" i="44"/>
  <c r="AC50" i="64"/>
  <c r="BC19" i="44"/>
  <c r="AI47" i="64"/>
  <c r="H33" i="60"/>
  <c r="Z36" i="60"/>
  <c r="AE44" i="64"/>
  <c r="AX18" i="37"/>
  <c r="BF18" i="37" s="1"/>
  <c r="AZ18" i="37"/>
  <c r="R57" i="58"/>
  <c r="Y57" i="58" s="1"/>
  <c r="AF51" i="60"/>
  <c r="AI15" i="60"/>
  <c r="AZ19" i="37"/>
  <c r="BD19" i="37" s="1"/>
  <c r="AE58" i="58" s="1"/>
  <c r="R58" i="58"/>
  <c r="AA15" i="60" s="1"/>
  <c r="AD15" i="60" s="1"/>
  <c r="AZ22" i="47"/>
  <c r="BD22" i="47" s="1"/>
  <c r="AE67" i="58" s="1"/>
  <c r="R67" i="58"/>
  <c r="Q113" i="60" s="1"/>
  <c r="AF58" i="64"/>
  <c r="X108" i="60"/>
  <c r="F120" i="60"/>
  <c r="AB65" i="64"/>
  <c r="G120" i="60"/>
  <c r="Y120" i="60"/>
  <c r="Z13" i="60"/>
  <c r="AC13" i="60" s="1"/>
  <c r="AG52" i="64"/>
  <c r="AY20" i="44"/>
  <c r="Z35" i="60"/>
  <c r="N31" i="60"/>
  <c r="N35" i="60"/>
  <c r="G35" i="60"/>
  <c r="Y14" i="60"/>
  <c r="P14" i="60"/>
  <c r="G14" i="60"/>
  <c r="AB53" i="64"/>
  <c r="AV19" i="37"/>
  <c r="X58" i="58" s="1"/>
  <c r="AJ54" i="64" s="1"/>
  <c r="F27" i="69" s="1"/>
  <c r="BH16" i="47"/>
  <c r="AH61" i="58" s="1"/>
  <c r="BD16" i="47"/>
  <c r="AE61" i="58" s="1"/>
  <c r="AD61" i="64"/>
  <c r="O111" i="60"/>
  <c r="AF60" i="64"/>
  <c r="X110" i="60"/>
  <c r="X113" i="60"/>
  <c r="AF63" i="64"/>
  <c r="AG58" i="64"/>
  <c r="Z108" i="60"/>
  <c r="I120" i="60"/>
  <c r="J120" i="60" s="1"/>
  <c r="H120" i="60"/>
  <c r="AC65" i="64"/>
  <c r="Q121" i="60"/>
  <c r="T121" i="60" s="1"/>
  <c r="AH52" i="64"/>
  <c r="X71" i="58"/>
  <c r="AJ67" i="64" s="1"/>
  <c r="F36" i="69" s="1"/>
  <c r="BA16" i="51"/>
  <c r="M127" i="60"/>
  <c r="N127" i="60"/>
  <c r="P35" i="60"/>
  <c r="O50" i="58"/>
  <c r="I14" i="60"/>
  <c r="J14" i="60" s="1"/>
  <c r="M14" i="60" s="1"/>
  <c r="H14" i="60"/>
  <c r="AX19" i="37"/>
  <c r="BF19" i="37" s="1"/>
  <c r="AH54" i="64"/>
  <c r="AF15" i="60"/>
  <c r="BA18" i="46"/>
  <c r="P111" i="60"/>
  <c r="AV20" i="47"/>
  <c r="X65" i="58" s="1"/>
  <c r="AJ61" i="64" s="1"/>
  <c r="AL108" i="60"/>
  <c r="AD65" i="64"/>
  <c r="O120" i="60"/>
  <c r="AI70" i="64"/>
  <c r="AI135" i="60"/>
  <c r="AL135" i="60" s="1"/>
  <c r="AW17" i="37"/>
  <c r="P56" i="58"/>
  <c r="AA13" i="60" s="1"/>
  <c r="AD13" i="60" s="1"/>
  <c r="AJ30" i="60"/>
  <c r="AV18" i="46"/>
  <c r="X95" i="58" s="1"/>
  <c r="AJ91" i="64" s="1"/>
  <c r="F45" i="69" s="1"/>
  <c r="AG91" i="64"/>
  <c r="AL110" i="60"/>
  <c r="AH60" i="64"/>
  <c r="AH63" i="64"/>
  <c r="BA16" i="48"/>
  <c r="BE16" i="48"/>
  <c r="AV16" i="50"/>
  <c r="Q74" i="58"/>
  <c r="AD52" i="64"/>
  <c r="O13" i="60"/>
  <c r="P13" i="60"/>
  <c r="AB49" i="64"/>
  <c r="AV18" i="37"/>
  <c r="X57" i="58" s="1"/>
  <c r="AJ53" i="64" s="1"/>
  <c r="F26" i="69" s="1"/>
  <c r="H51" i="60"/>
  <c r="P112" i="60"/>
  <c r="AF61" i="64"/>
  <c r="X111" i="60"/>
  <c r="AI63" i="64"/>
  <c r="AI113" i="60"/>
  <c r="AF65" i="64"/>
  <c r="X120" i="60"/>
  <c r="AH67" i="64"/>
  <c r="AL127" i="60"/>
  <c r="P127" i="60"/>
  <c r="AX17" i="51"/>
  <c r="X154" i="60"/>
  <c r="AJ154" i="60"/>
  <c r="AA154" i="60"/>
  <c r="R154" i="60"/>
  <c r="AF78" i="64"/>
  <c r="Z157" i="60"/>
  <c r="AC157" i="60" s="1"/>
  <c r="AJ157" i="60"/>
  <c r="AG79" i="64"/>
  <c r="Z163" i="60"/>
  <c r="AG83" i="64"/>
  <c r="AI84" i="64"/>
  <c r="AI164" i="60"/>
  <c r="S90" i="58"/>
  <c r="AV16" i="55"/>
  <c r="X90" i="58" s="1"/>
  <c r="AJ86" i="64" s="1"/>
  <c r="AD88" i="64"/>
  <c r="O173" i="60"/>
  <c r="AF89" i="64"/>
  <c r="X42" i="60"/>
  <c r="AZ22" i="44"/>
  <c r="BD22" i="44" s="1"/>
  <c r="AE54" i="58" s="1"/>
  <c r="X61" i="58"/>
  <c r="BC18" i="47"/>
  <c r="AB63" i="64"/>
  <c r="G107" i="60"/>
  <c r="L107" i="60" s="1"/>
  <c r="P135" i="60"/>
  <c r="I135" i="60"/>
  <c r="J135" i="60" s="1"/>
  <c r="M135" i="60" s="1"/>
  <c r="BD17" i="51"/>
  <c r="AE72" i="58" s="1"/>
  <c r="Z147" i="60"/>
  <c r="AF71" i="64"/>
  <c r="X144" i="60"/>
  <c r="AI153" i="60"/>
  <c r="AL153" i="60" s="1"/>
  <c r="AI75" i="64"/>
  <c r="M154" i="60"/>
  <c r="Y163" i="60"/>
  <c r="AZ163" i="60" s="1"/>
  <c r="F163" i="60"/>
  <c r="G163" i="60"/>
  <c r="P163" i="60"/>
  <c r="AC72" i="64"/>
  <c r="I145" i="60"/>
  <c r="J145" i="60" s="1"/>
  <c r="H145" i="60"/>
  <c r="K145" i="60" s="1"/>
  <c r="AG71" i="64"/>
  <c r="Z144" i="60"/>
  <c r="O153" i="60"/>
  <c r="P153" i="60" s="1"/>
  <c r="U153" i="60" s="1"/>
  <c r="Y153" i="60"/>
  <c r="AD75" i="64"/>
  <c r="AG77" i="64"/>
  <c r="Z155" i="60"/>
  <c r="AC155" i="60" s="1"/>
  <c r="AX16" i="54"/>
  <c r="AW16" i="54"/>
  <c r="P87" i="58"/>
  <c r="R163" i="60" s="1"/>
  <c r="AF88" i="64"/>
  <c r="X173" i="60"/>
  <c r="AC173" i="60" s="1"/>
  <c r="AY16" i="47"/>
  <c r="BG16" i="47" s="1"/>
  <c r="F110" i="60"/>
  <c r="AC59" i="64"/>
  <c r="Q64" i="58"/>
  <c r="P110" i="60" s="1"/>
  <c r="AI66" i="64"/>
  <c r="AC70" i="64"/>
  <c r="R72" i="58"/>
  <c r="AA128" i="60" s="1"/>
  <c r="AD69" i="64"/>
  <c r="AG69" i="64"/>
  <c r="AD71" i="64"/>
  <c r="AH75" i="64"/>
  <c r="N155" i="60"/>
  <c r="F154" i="60"/>
  <c r="G154" i="60"/>
  <c r="L154" i="60" s="1"/>
  <c r="Y154" i="60"/>
  <c r="AB76" i="64"/>
  <c r="O157" i="60"/>
  <c r="Y157" i="60"/>
  <c r="AD79" i="64"/>
  <c r="N164" i="60"/>
  <c r="I172" i="60"/>
  <c r="J172" i="60" s="1"/>
  <c r="BA16" i="55"/>
  <c r="BE16" i="55"/>
  <c r="AC74" i="64"/>
  <c r="I147" i="60"/>
  <c r="J147" i="60" s="1"/>
  <c r="M147" i="60" s="1"/>
  <c r="BD19" i="53"/>
  <c r="AE82" i="58" s="1"/>
  <c r="BH19" i="53"/>
  <c r="AH82" i="58" s="1"/>
  <c r="H155" i="60"/>
  <c r="K155" i="60" s="1"/>
  <c r="AC77" i="64"/>
  <c r="I155" i="60"/>
  <c r="J155" i="60" s="1"/>
  <c r="M155" i="60" s="1"/>
  <c r="AH85" i="64"/>
  <c r="Y173" i="60"/>
  <c r="BA18" i="47"/>
  <c r="N107" i="60"/>
  <c r="F113" i="60"/>
  <c r="AA108" i="60"/>
  <c r="BA18" i="51"/>
  <c r="F127" i="60"/>
  <c r="AB74" i="64"/>
  <c r="F147" i="60"/>
  <c r="K147" i="60" s="1"/>
  <c r="X146" i="60"/>
  <c r="AY146" i="60" s="1"/>
  <c r="Y146" i="60"/>
  <c r="M145" i="60"/>
  <c r="P144" i="60"/>
  <c r="G144" i="60"/>
  <c r="Y144" i="60"/>
  <c r="AD77" i="64"/>
  <c r="O155" i="60"/>
  <c r="Y155" i="60"/>
  <c r="AB84" i="64"/>
  <c r="G164" i="60"/>
  <c r="L164" i="60" s="1"/>
  <c r="P164" i="60"/>
  <c r="Y164" i="60"/>
  <c r="F164" i="60"/>
  <c r="K164" i="60" s="1"/>
  <c r="O165" i="60"/>
  <c r="P165" i="60"/>
  <c r="AD85" i="64"/>
  <c r="AI86" i="64"/>
  <c r="AI171" i="60"/>
  <c r="AL171" i="60" s="1"/>
  <c r="BC16" i="56"/>
  <c r="BC18" i="56" s="1"/>
  <c r="BG16" i="56"/>
  <c r="X43" i="60"/>
  <c r="AC43" i="60" s="1"/>
  <c r="AF90" i="64"/>
  <c r="AH43" i="60"/>
  <c r="AF55" i="64"/>
  <c r="X49" i="60"/>
  <c r="AH49" i="60"/>
  <c r="AI91" i="64"/>
  <c r="AZ17" i="47"/>
  <c r="BD17" i="47" s="1"/>
  <c r="AE62" i="58" s="1"/>
  <c r="X109" i="60"/>
  <c r="G113" i="60"/>
  <c r="AY19" i="47"/>
  <c r="BC19" i="47" s="1"/>
  <c r="AZ21" i="47"/>
  <c r="BD21" i="47" s="1"/>
  <c r="AE66" i="58" s="1"/>
  <c r="BA17" i="48"/>
  <c r="F135" i="60"/>
  <c r="K135" i="60" s="1"/>
  <c r="AX17" i="37"/>
  <c r="BB17" i="37" s="1"/>
  <c r="AC67" i="64"/>
  <c r="AW17" i="51"/>
  <c r="AB68" i="64"/>
  <c r="AH69" i="64"/>
  <c r="Y127" i="60"/>
  <c r="BA16" i="52"/>
  <c r="P146" i="60"/>
  <c r="AL144" i="60"/>
  <c r="P145" i="60"/>
  <c r="N156" i="60"/>
  <c r="BA17" i="54"/>
  <c r="BE17" i="54"/>
  <c r="AX17" i="54"/>
  <c r="P88" i="58"/>
  <c r="AH84" i="64"/>
  <c r="AY17" i="55"/>
  <c r="T91" i="58"/>
  <c r="H173" i="60"/>
  <c r="I173" i="60"/>
  <c r="J173" i="60" s="1"/>
  <c r="AC88" i="64"/>
  <c r="O42" i="60"/>
  <c r="T42" i="60" s="1"/>
  <c r="AD89" i="64"/>
  <c r="Y42" i="60"/>
  <c r="AH42" i="60"/>
  <c r="P42" i="60"/>
  <c r="Y43" i="60"/>
  <c r="BC17" i="48"/>
  <c r="AD67" i="64"/>
  <c r="AW19" i="52"/>
  <c r="N146" i="60"/>
  <c r="P147" i="60"/>
  <c r="AB71" i="64"/>
  <c r="H144" i="60"/>
  <c r="K144" i="60" s="1"/>
  <c r="I144" i="60"/>
  <c r="J144" i="60" s="1"/>
  <c r="M144" i="60" s="1"/>
  <c r="AI154" i="60"/>
  <c r="AI76" i="64"/>
  <c r="G172" i="60"/>
  <c r="L172" i="60" s="1"/>
  <c r="F172" i="60"/>
  <c r="K172" i="60" s="1"/>
  <c r="P172" i="60"/>
  <c r="U172" i="60" s="1"/>
  <c r="Y172" i="60"/>
  <c r="AD172" i="60" s="1"/>
  <c r="BE18" i="55"/>
  <c r="BA18" i="55"/>
  <c r="BA17" i="56"/>
  <c r="BE17" i="56"/>
  <c r="M24" i="60"/>
  <c r="AI49" i="60"/>
  <c r="AI55" i="64"/>
  <c r="Y68" i="58"/>
  <c r="AK64" i="64" s="1"/>
  <c r="G34" i="69" s="1"/>
  <c r="AE64" i="64"/>
  <c r="Q114" i="60"/>
  <c r="S114" i="60" s="1"/>
  <c r="V114" i="60" s="1"/>
  <c r="AA114" i="60"/>
  <c r="AJ114" i="60"/>
  <c r="AY18" i="51"/>
  <c r="BG18" i="51" s="1"/>
  <c r="G145" i="60"/>
  <c r="L145" i="60" s="1"/>
  <c r="AD72" i="64"/>
  <c r="AW19" i="53"/>
  <c r="N157" i="60"/>
  <c r="F156" i="60"/>
  <c r="H156" i="60"/>
  <c r="F165" i="60"/>
  <c r="I165" i="60"/>
  <c r="J165" i="60" s="1"/>
  <c r="F173" i="60"/>
  <c r="K173" i="60" s="1"/>
  <c r="AX16" i="55"/>
  <c r="M43" i="60"/>
  <c r="H42" i="60"/>
  <c r="AB42" i="60" s="1"/>
  <c r="AE42" i="60" s="1"/>
  <c r="F43" i="60"/>
  <c r="K43" i="60" s="1"/>
  <c r="AI92" i="64"/>
  <c r="AI21" i="60"/>
  <c r="AL21" i="60" s="1"/>
  <c r="N23" i="60"/>
  <c r="W49" i="60"/>
  <c r="AD55" i="64"/>
  <c r="O49" i="60"/>
  <c r="T49" i="60" s="1"/>
  <c r="I156" i="60"/>
  <c r="AJ155" i="60"/>
  <c r="M165" i="60"/>
  <c r="Z165" i="60"/>
  <c r="AC165" i="60" s="1"/>
  <c r="BB18" i="55"/>
  <c r="AB88" i="64"/>
  <c r="G173" i="60"/>
  <c r="L173" i="60" s="1"/>
  <c r="AA42" i="60"/>
  <c r="F21" i="60"/>
  <c r="K21" i="60" s="1"/>
  <c r="G21" i="60"/>
  <c r="L21" i="60" s="1"/>
  <c r="Y21" i="60"/>
  <c r="AD21" i="60" s="1"/>
  <c r="AB92" i="64"/>
  <c r="M50" i="60"/>
  <c r="N50" i="60"/>
  <c r="G15" i="60"/>
  <c r="L15" i="60" s="1"/>
  <c r="F15" i="60"/>
  <c r="K15" i="60" s="1"/>
  <c r="H97" i="60"/>
  <c r="K97" i="60" s="1"/>
  <c r="I97" i="60"/>
  <c r="J97" i="60" s="1"/>
  <c r="AC39" i="64"/>
  <c r="AX19" i="52"/>
  <c r="BF19" i="52" s="1"/>
  <c r="AY18" i="53"/>
  <c r="BC18" i="53" s="1"/>
  <c r="AW18" i="53"/>
  <c r="AI83" i="64"/>
  <c r="AB85" i="64"/>
  <c r="R89" i="58"/>
  <c r="AE85" i="64" s="1"/>
  <c r="H171" i="60"/>
  <c r="K171" i="60" s="1"/>
  <c r="AE86" i="64"/>
  <c r="G171" i="60"/>
  <c r="AJ42" i="60"/>
  <c r="AM42" i="60" s="1"/>
  <c r="AB90" i="64"/>
  <c r="BA18" i="45"/>
  <c r="Y23" i="60"/>
  <c r="AB94" i="64"/>
  <c r="F23" i="60"/>
  <c r="K23" i="60" s="1"/>
  <c r="C41" i="62"/>
  <c r="C41" i="73"/>
  <c r="C41" i="74"/>
  <c r="C41" i="72"/>
  <c r="BB18" i="53"/>
  <c r="AV16" i="54"/>
  <c r="X87" i="58" s="1"/>
  <c r="AJ83" i="64" s="1"/>
  <c r="Z164" i="60"/>
  <c r="AC164" i="60" s="1"/>
  <c r="AV17" i="55"/>
  <c r="BB17" i="55" s="1"/>
  <c r="X172" i="60"/>
  <c r="AC172" i="60" s="1"/>
  <c r="BA19" i="45"/>
  <c r="BE19" i="45"/>
  <c r="AD95" i="64"/>
  <c r="O24" i="60"/>
  <c r="P24" i="60"/>
  <c r="AH64" i="64"/>
  <c r="AL114" i="60"/>
  <c r="BC17" i="53"/>
  <c r="Z153" i="60"/>
  <c r="I157" i="60"/>
  <c r="AZ16" i="54"/>
  <c r="BD16" i="54" s="1"/>
  <c r="I171" i="60"/>
  <c r="J171" i="60" s="1"/>
  <c r="M171" i="60" s="1"/>
  <c r="AY18" i="55"/>
  <c r="BC18" i="55" s="1"/>
  <c r="R92" i="58"/>
  <c r="AA173" i="60" s="1"/>
  <c r="BG17" i="56"/>
  <c r="AC90" i="64"/>
  <c r="F42" i="60"/>
  <c r="K42" i="60" s="1"/>
  <c r="AB89" i="64"/>
  <c r="AY19" i="45"/>
  <c r="BG19" i="45" s="1"/>
  <c r="R99" i="58"/>
  <c r="R24" i="60" s="1"/>
  <c r="AZ19" i="45"/>
  <c r="BD19" i="45" s="1"/>
  <c r="AE99" i="58" s="1"/>
  <c r="AH56" i="64"/>
  <c r="I49" i="60"/>
  <c r="J49" i="60" s="1"/>
  <c r="H49" i="60"/>
  <c r="R49" i="60"/>
  <c r="AC55" i="64"/>
  <c r="AD64" i="64"/>
  <c r="O114" i="60"/>
  <c r="P114" i="60"/>
  <c r="Y114" i="60"/>
  <c r="BD16" i="52"/>
  <c r="AE75" i="58" s="1"/>
  <c r="AZ18" i="53"/>
  <c r="AG86" i="64"/>
  <c r="AZ17" i="55"/>
  <c r="BH17" i="55" s="1"/>
  <c r="AH91" i="58" s="1"/>
  <c r="G42" i="60"/>
  <c r="L42" i="60" s="1"/>
  <c r="X21" i="60"/>
  <c r="AC21" i="60" s="1"/>
  <c r="AI50" i="60"/>
  <c r="AI56" i="64"/>
  <c r="K50" i="60"/>
  <c r="AV23" i="47"/>
  <c r="B10" i="59"/>
  <c r="B11" i="59" s="1"/>
  <c r="B12" i="59" s="1"/>
  <c r="B13" i="59" s="1"/>
  <c r="AS129" i="60"/>
  <c r="AS121" i="60"/>
  <c r="AF95" i="64"/>
  <c r="X24" i="60"/>
  <c r="AJ86" i="60"/>
  <c r="G49" i="60"/>
  <c r="L49" i="60" s="1"/>
  <c r="F49" i="60"/>
  <c r="Y49" i="60"/>
  <c r="AD49" i="60" s="1"/>
  <c r="AW16" i="56"/>
  <c r="Y24" i="60"/>
  <c r="Z21" i="60"/>
  <c r="AV16" i="46"/>
  <c r="AY18" i="45"/>
  <c r="AD56" i="64"/>
  <c r="Y50" i="60"/>
  <c r="O50" i="60"/>
  <c r="P50" i="60"/>
  <c r="P49" i="60"/>
  <c r="U49" i="60" s="1"/>
  <c r="G114" i="60"/>
  <c r="AB64" i="64"/>
  <c r="F114" i="60"/>
  <c r="AG64" i="64"/>
  <c r="Z114" i="60"/>
  <c r="AD94" i="64"/>
  <c r="O23" i="60"/>
  <c r="AV17" i="46"/>
  <c r="X60" i="58" s="1"/>
  <c r="AJ56" i="64" s="1"/>
  <c r="F29" i="69" s="1"/>
  <c r="AY23" i="47"/>
  <c r="K138" i="60"/>
  <c r="P138" i="60"/>
  <c r="AZ23" i="47"/>
  <c r="Z86" i="60"/>
  <c r="AC86" i="60" s="1"/>
  <c r="E69" i="63"/>
  <c r="F74" i="77"/>
  <c r="F74" i="76"/>
  <c r="F74" i="75"/>
  <c r="AZ23" i="43"/>
  <c r="BD23" i="43" s="1"/>
  <c r="AE47" i="58" s="1"/>
  <c r="F70" i="75"/>
  <c r="F77" i="76"/>
  <c r="BB18" i="50"/>
  <c r="BF18" i="50"/>
  <c r="G127" i="59"/>
  <c r="F64" i="77"/>
  <c r="F64" i="76"/>
  <c r="E67" i="63"/>
  <c r="E66" i="77"/>
  <c r="E66" i="75"/>
  <c r="F69" i="63"/>
  <c r="F68" i="77"/>
  <c r="F68" i="75"/>
  <c r="D66" i="76"/>
  <c r="F68" i="76"/>
  <c r="F64" i="75"/>
  <c r="E127" i="59"/>
  <c r="D65" i="76"/>
  <c r="E75" i="76"/>
  <c r="F65" i="63"/>
  <c r="D76" i="63"/>
  <c r="D75" i="75"/>
  <c r="E78" i="63"/>
  <c r="E77" i="76"/>
  <c r="F80" i="63"/>
  <c r="F79" i="76"/>
  <c r="P73" i="59"/>
  <c r="BG19" i="50"/>
  <c r="AL138" i="60"/>
  <c r="AH82" i="64"/>
  <c r="E68" i="75"/>
  <c r="D65" i="75"/>
  <c r="D80" i="75" s="1"/>
  <c r="E75" i="77"/>
  <c r="D75" i="63"/>
  <c r="D74" i="76"/>
  <c r="L138" i="60"/>
  <c r="J138" i="60"/>
  <c r="M138" i="60" s="1"/>
  <c r="F127" i="59"/>
  <c r="E68" i="77"/>
  <c r="S136" i="60"/>
  <c r="V136" i="60" s="1"/>
  <c r="E76" i="63"/>
  <c r="X137" i="60"/>
  <c r="AF81" i="64"/>
  <c r="BA19" i="50"/>
  <c r="BE19" i="50"/>
  <c r="BA17" i="45"/>
  <c r="BE17" i="45"/>
  <c r="F69" i="76"/>
  <c r="E67" i="76"/>
  <c r="F75" i="76"/>
  <c r="D70" i="75"/>
  <c r="AI109" i="60"/>
  <c r="AI59" i="64"/>
  <c r="P22" i="60"/>
  <c r="U22" i="60" s="1"/>
  <c r="Y22" i="60"/>
  <c r="AD22" i="60" s="1"/>
  <c r="O22" i="60"/>
  <c r="T22" i="60" s="1"/>
  <c r="D21" i="69"/>
  <c r="D40" i="64"/>
  <c r="D79" i="75"/>
  <c r="AJ97" i="60"/>
  <c r="Q97" i="60"/>
  <c r="AE39" i="64"/>
  <c r="E74" i="76"/>
  <c r="C13" i="67"/>
  <c r="C26" i="64"/>
  <c r="C23" i="69"/>
  <c r="C21" i="67"/>
  <c r="C44" i="64"/>
  <c r="C47" i="69"/>
  <c r="C29" i="67"/>
  <c r="C94" i="64"/>
  <c r="AI81" i="64"/>
  <c r="AI137" i="60"/>
  <c r="AL137" i="60" s="1"/>
  <c r="M22" i="60"/>
  <c r="N22" i="60"/>
  <c r="D12" i="69"/>
  <c r="E13" i="66"/>
  <c r="AE37" i="64"/>
  <c r="AY17" i="45"/>
  <c r="BG17" i="45" s="1"/>
  <c r="AY20" i="42"/>
  <c r="BC20" i="42" s="1"/>
  <c r="AY21" i="42"/>
  <c r="BG21" i="42" s="1"/>
  <c r="AY18" i="43"/>
  <c r="BG18" i="43" s="1"/>
  <c r="AZ16" i="37"/>
  <c r="BF16" i="37"/>
  <c r="BB16" i="37"/>
  <c r="AY16" i="37"/>
  <c r="R55" i="58"/>
  <c r="AY16" i="50"/>
  <c r="BG16" i="50" s="1"/>
  <c r="Q36" i="60"/>
  <c r="AY22" i="44"/>
  <c r="AX22" i="44"/>
  <c r="AJ36" i="60"/>
  <c r="R36" i="60"/>
  <c r="U36" i="60" s="1"/>
  <c r="AA35" i="60"/>
  <c r="AJ35" i="60"/>
  <c r="AM35" i="60" s="1"/>
  <c r="AE49" i="64"/>
  <c r="Y53" i="58"/>
  <c r="Q35" i="60"/>
  <c r="R35" i="60"/>
  <c r="Q34" i="60"/>
  <c r="BB19" i="44"/>
  <c r="BF19" i="44"/>
  <c r="AZ19" i="44"/>
  <c r="Y51" i="58"/>
  <c r="AA33" i="60"/>
  <c r="R33" i="60"/>
  <c r="Q33" i="60"/>
  <c r="AE46" i="64"/>
  <c r="Q32" i="60"/>
  <c r="R32" i="60"/>
  <c r="AX18" i="44"/>
  <c r="AY18" i="44"/>
  <c r="BG18" i="44" s="1"/>
  <c r="Q31" i="60"/>
  <c r="AE45" i="64"/>
  <c r="BB16" i="44"/>
  <c r="BF16" i="44"/>
  <c r="AZ16" i="44"/>
  <c r="AY16" i="44"/>
  <c r="BC16" i="44" s="1"/>
  <c r="AA30" i="60"/>
  <c r="Y48" i="58"/>
  <c r="AA48" i="58" s="1"/>
  <c r="AZ18" i="44"/>
  <c r="Y50" i="58"/>
  <c r="AA50" i="58" s="1"/>
  <c r="AJ32" i="60"/>
  <c r="AA32" i="60"/>
  <c r="Z32" i="60"/>
  <c r="AZ17" i="44"/>
  <c r="AZ22" i="42"/>
  <c r="R88" i="60"/>
  <c r="Q88" i="60"/>
  <c r="Y39" i="58"/>
  <c r="AX21" i="42"/>
  <c r="Q87" i="60"/>
  <c r="AA87" i="60"/>
  <c r="AD87" i="60" s="1"/>
  <c r="AE34" i="64"/>
  <c r="AZ20" i="42"/>
  <c r="AE33" i="64"/>
  <c r="AA86" i="60"/>
  <c r="R86" i="60"/>
  <c r="Y37" i="58"/>
  <c r="Q86" i="60"/>
  <c r="AX19" i="42"/>
  <c r="Q85" i="60"/>
  <c r="AE32" i="64"/>
  <c r="BG17" i="42"/>
  <c r="BC17" i="42"/>
  <c r="Y34" i="58"/>
  <c r="AZ17" i="42"/>
  <c r="BH17" i="42" s="1"/>
  <c r="AH34" i="58" s="1"/>
  <c r="AX17" i="42"/>
  <c r="R83" i="60"/>
  <c r="AJ83" i="60"/>
  <c r="Q83" i="60"/>
  <c r="AA82" i="60"/>
  <c r="AZ35" i="41"/>
  <c r="AY35" i="41"/>
  <c r="BF35" i="41"/>
  <c r="R76" i="60"/>
  <c r="AJ76" i="60"/>
  <c r="AM76" i="60" s="1"/>
  <c r="Y32" i="58"/>
  <c r="AJ75" i="60"/>
  <c r="AM75" i="60" s="1"/>
  <c r="Y31" i="58"/>
  <c r="AA75" i="60"/>
  <c r="AD75" i="60" s="1"/>
  <c r="R75" i="60"/>
  <c r="AE27" i="64"/>
  <c r="Q75" i="60"/>
  <c r="I74" i="60"/>
  <c r="J74" i="60" s="1"/>
  <c r="H74" i="60"/>
  <c r="AY33" i="41"/>
  <c r="BG33" i="41" s="1"/>
  <c r="AX33" i="41"/>
  <c r="T74" i="60"/>
  <c r="R74" i="60"/>
  <c r="Y29" i="58"/>
  <c r="AA29" i="58" s="1"/>
  <c r="AB29" i="58" s="1"/>
  <c r="Q73" i="60"/>
  <c r="AX32" i="41"/>
  <c r="AZ32" i="41"/>
  <c r="AE25" i="64"/>
  <c r="AJ73" i="60"/>
  <c r="AM73" i="60" s="1"/>
  <c r="R28" i="58"/>
  <c r="AA71" i="60"/>
  <c r="Y27" i="58"/>
  <c r="AA27" i="58" s="1"/>
  <c r="AB27" i="58" s="1"/>
  <c r="AJ71" i="60"/>
  <c r="AM71" i="60" s="1"/>
  <c r="AE23" i="64"/>
  <c r="R71" i="60"/>
  <c r="Q71" i="60"/>
  <c r="BG30" i="41"/>
  <c r="Q70" i="60"/>
  <c r="AJ69" i="60"/>
  <c r="AM69" i="60" s="1"/>
  <c r="AA69" i="60"/>
  <c r="AD69" i="60" s="1"/>
  <c r="R69" i="60"/>
  <c r="Q69" i="60"/>
  <c r="AE21" i="64"/>
  <c r="Y25" i="58"/>
  <c r="AK21" i="64" s="1"/>
  <c r="AY27" i="41"/>
  <c r="BB27" i="41"/>
  <c r="BF27" i="41"/>
  <c r="AX26" i="41"/>
  <c r="AY26" i="41"/>
  <c r="AE17" i="64"/>
  <c r="AA66" i="60"/>
  <c r="AD66" i="60" s="1"/>
  <c r="R66" i="60"/>
  <c r="Q66" i="60"/>
  <c r="AJ66" i="60"/>
  <c r="AM66" i="60" s="1"/>
  <c r="Y22" i="58"/>
  <c r="AX24" i="41"/>
  <c r="BF24" i="41" s="1"/>
  <c r="AY24" i="41"/>
  <c r="BG24" i="41" s="1"/>
  <c r="BC24" i="41"/>
  <c r="R65" i="60"/>
  <c r="AE15" i="64"/>
  <c r="Q64" i="60"/>
  <c r="AX23" i="41"/>
  <c r="AY23" i="41"/>
  <c r="AZ23" i="41"/>
  <c r="BB22" i="41"/>
  <c r="AE19" i="64"/>
  <c r="AA63" i="60"/>
  <c r="AD63" i="60" s="1"/>
  <c r="Y19" i="58"/>
  <c r="Q63" i="60"/>
  <c r="R63" i="60"/>
  <c r="AJ63" i="60"/>
  <c r="AM63" i="60" s="1"/>
  <c r="BB21" i="41"/>
  <c r="BF21" i="41"/>
  <c r="BC21" i="41"/>
  <c r="AE14" i="64"/>
  <c r="AZ21" i="41"/>
  <c r="R61" i="60"/>
  <c r="U61" i="60" s="1"/>
  <c r="AY20" i="41"/>
  <c r="AB61" i="60"/>
  <c r="AK61" i="60"/>
  <c r="BB20" i="41"/>
  <c r="AZ19" i="41"/>
  <c r="BH19" i="41" s="1"/>
  <c r="AH16" i="58" s="1"/>
  <c r="Y15" i="58"/>
  <c r="AY18" i="41"/>
  <c r="AJ59" i="60"/>
  <c r="AM59" i="60" s="1"/>
  <c r="Q59" i="60"/>
  <c r="AA59" i="60"/>
  <c r="AE11" i="64"/>
  <c r="AJ58" i="60"/>
  <c r="AM58" i="60" s="1"/>
  <c r="Y14" i="58"/>
  <c r="AE10" i="64"/>
  <c r="AA58" i="60"/>
  <c r="Q58" i="60"/>
  <c r="R58" i="60"/>
  <c r="BG17" i="41"/>
  <c r="AA57" i="60"/>
  <c r="Q57" i="60"/>
  <c r="R57" i="60"/>
  <c r="AJ57" i="60"/>
  <c r="AM57" i="60" s="1"/>
  <c r="AE9" i="64"/>
  <c r="BF16" i="41"/>
  <c r="R128" i="60"/>
  <c r="AE68" i="64"/>
  <c r="AZ16" i="51"/>
  <c r="Y72" i="58"/>
  <c r="AA72" i="58" s="1"/>
  <c r="R73" i="58"/>
  <c r="Q129" i="60" s="1"/>
  <c r="AX18" i="51"/>
  <c r="AZ18" i="51"/>
  <c r="AY19" i="37"/>
  <c r="BB18" i="37"/>
  <c r="AY18" i="37"/>
  <c r="T13" i="60"/>
  <c r="AY17" i="37"/>
  <c r="AE95" i="64"/>
  <c r="AX19" i="45"/>
  <c r="AZ18" i="45"/>
  <c r="BB18" i="45"/>
  <c r="BF18" i="45"/>
  <c r="R98" i="58"/>
  <c r="AX17" i="45"/>
  <c r="BB17" i="45" s="1"/>
  <c r="R97" i="58"/>
  <c r="AE93" i="64" s="1"/>
  <c r="AZ17" i="45"/>
  <c r="Y96" i="58"/>
  <c r="AK92" i="64" s="1"/>
  <c r="G46" i="69" s="1"/>
  <c r="AX16" i="45"/>
  <c r="BB16" i="45" s="1"/>
  <c r="BG16" i="45"/>
  <c r="Q21" i="60"/>
  <c r="AJ21" i="60"/>
  <c r="AM21" i="60" s="1"/>
  <c r="AE92" i="64"/>
  <c r="AA21" i="60"/>
  <c r="R43" i="60"/>
  <c r="AA43" i="60"/>
  <c r="AD43" i="60" s="1"/>
  <c r="AJ43" i="60"/>
  <c r="Q43" i="60"/>
  <c r="AE90" i="64"/>
  <c r="BB18" i="56"/>
  <c r="BF16" i="56"/>
  <c r="AE89" i="64"/>
  <c r="R47" i="58"/>
  <c r="AY23" i="43"/>
  <c r="AX23" i="43"/>
  <c r="Y46" i="58"/>
  <c r="AA100" i="60"/>
  <c r="Q100" i="60"/>
  <c r="AJ100" i="60"/>
  <c r="AM100" i="60" s="1"/>
  <c r="AE42" i="64"/>
  <c r="R100" i="60"/>
  <c r="AA99" i="60"/>
  <c r="AE41" i="64"/>
  <c r="R99" i="60"/>
  <c r="Q99" i="60"/>
  <c r="AJ99" i="60"/>
  <c r="Y45" i="58"/>
  <c r="AY21" i="43"/>
  <c r="AX21" i="43"/>
  <c r="AZ21" i="43"/>
  <c r="Y44" i="58"/>
  <c r="Q98" i="60"/>
  <c r="AJ98" i="60"/>
  <c r="AA98" i="60"/>
  <c r="AE40" i="64"/>
  <c r="R98" i="60"/>
  <c r="R97" i="60"/>
  <c r="BF19" i="43"/>
  <c r="AZ18" i="43"/>
  <c r="AX18" i="43"/>
  <c r="R42" i="58"/>
  <c r="BG17" i="43"/>
  <c r="T95" i="60"/>
  <c r="R95" i="60"/>
  <c r="AA94" i="60"/>
  <c r="Q94" i="60"/>
  <c r="AE36" i="64"/>
  <c r="Y40" i="58"/>
  <c r="AJ94" i="60"/>
  <c r="AM94" i="60" s="1"/>
  <c r="R94" i="60"/>
  <c r="AE88" i="64"/>
  <c r="AZ18" i="55"/>
  <c r="R91" i="58"/>
  <c r="AY16" i="55"/>
  <c r="AZ16" i="55"/>
  <c r="T171" i="60"/>
  <c r="BB16" i="55"/>
  <c r="BF16" i="55"/>
  <c r="Y90" i="58"/>
  <c r="AA171" i="60"/>
  <c r="AJ171" i="60"/>
  <c r="R171" i="60"/>
  <c r="BB18" i="54"/>
  <c r="BF18" i="54"/>
  <c r="AZ18" i="54"/>
  <c r="AY18" i="54"/>
  <c r="AA164" i="60"/>
  <c r="AD164" i="60" s="1"/>
  <c r="R164" i="60"/>
  <c r="AJ164" i="60"/>
  <c r="AM164" i="60" s="1"/>
  <c r="Y88" i="58"/>
  <c r="AE84" i="64"/>
  <c r="Q164" i="60"/>
  <c r="AY17" i="54"/>
  <c r="Q163" i="60"/>
  <c r="AY16" i="54"/>
  <c r="AA163" i="60"/>
  <c r="AE83" i="64"/>
  <c r="AX18" i="46"/>
  <c r="AZ18" i="46"/>
  <c r="Q49" i="60"/>
  <c r="AE55" i="64"/>
  <c r="Y95" i="58"/>
  <c r="AE91" i="64"/>
  <c r="AJ51" i="60"/>
  <c r="Q51" i="60"/>
  <c r="R51" i="60"/>
  <c r="AA51" i="60"/>
  <c r="AY18" i="46"/>
  <c r="Q50" i="60"/>
  <c r="AJ50" i="60"/>
  <c r="AM50" i="60" s="1"/>
  <c r="Y60" i="58"/>
  <c r="R50" i="60"/>
  <c r="AE56" i="64"/>
  <c r="AA50" i="60"/>
  <c r="AZ17" i="46"/>
  <c r="AY17" i="46"/>
  <c r="AX17" i="46"/>
  <c r="R157" i="60"/>
  <c r="AE78" i="64"/>
  <c r="Q156" i="60"/>
  <c r="AJ156" i="60"/>
  <c r="R156" i="60"/>
  <c r="AA156" i="60"/>
  <c r="AD156" i="60" s="1"/>
  <c r="BF18" i="53"/>
  <c r="Q154" i="60"/>
  <c r="Q153" i="60"/>
  <c r="AA157" i="60"/>
  <c r="Q157" i="60"/>
  <c r="BC20" i="53"/>
  <c r="BB20" i="53"/>
  <c r="BB19" i="53"/>
  <c r="BG19" i="53"/>
  <c r="Q155" i="60"/>
  <c r="AA155" i="60"/>
  <c r="AD155" i="60" s="1"/>
  <c r="R155" i="60"/>
  <c r="AE77" i="64"/>
  <c r="BF17" i="53"/>
  <c r="AE76" i="64"/>
  <c r="AE75" i="64"/>
  <c r="BG16" i="53"/>
  <c r="AJ153" i="60"/>
  <c r="AA153" i="60"/>
  <c r="AD153" i="60" s="1"/>
  <c r="AJ147" i="60"/>
  <c r="AM147" i="60" s="1"/>
  <c r="AY19" i="52"/>
  <c r="S147" i="60"/>
  <c r="V147" i="60" s="1"/>
  <c r="T147" i="60"/>
  <c r="AA147" i="60"/>
  <c r="AZ19" i="52"/>
  <c r="R147" i="60"/>
  <c r="Y78" i="58"/>
  <c r="AE73" i="64"/>
  <c r="R146" i="60"/>
  <c r="Y77" i="58"/>
  <c r="AJ146" i="60"/>
  <c r="AA146" i="60"/>
  <c r="Q146" i="60"/>
  <c r="AZ18" i="52"/>
  <c r="AX18" i="52"/>
  <c r="AY18" i="52"/>
  <c r="AM145" i="60"/>
  <c r="R145" i="60"/>
  <c r="AE72" i="64"/>
  <c r="AA145" i="60"/>
  <c r="AD145" i="60" s="1"/>
  <c r="Q145" i="60"/>
  <c r="BF17" i="52"/>
  <c r="BD17" i="52"/>
  <c r="AE76" i="58" s="1"/>
  <c r="BC16" i="52"/>
  <c r="AE71" i="64"/>
  <c r="R144" i="60"/>
  <c r="U144" i="60" s="1"/>
  <c r="AA144" i="60"/>
  <c r="AD144" i="60" s="1"/>
  <c r="Q144" i="60"/>
  <c r="AM144" i="60"/>
  <c r="BB16" i="52"/>
  <c r="BB17" i="48"/>
  <c r="BB18" i="48" s="1"/>
  <c r="AA121" i="60"/>
  <c r="AD121" i="60" s="1"/>
  <c r="AE66" i="64"/>
  <c r="AJ121" i="60"/>
  <c r="AM121" i="60" s="1"/>
  <c r="R121" i="60"/>
  <c r="BF16" i="48"/>
  <c r="AE65" i="64"/>
  <c r="Q120" i="60"/>
  <c r="AA120" i="60"/>
  <c r="AJ120" i="60"/>
  <c r="AM120" i="60" s="1"/>
  <c r="R120" i="60"/>
  <c r="BB23" i="47"/>
  <c r="BF23" i="47"/>
  <c r="R114" i="60"/>
  <c r="AY22" i="47"/>
  <c r="AX22" i="47"/>
  <c r="AX21" i="47"/>
  <c r="BF21" i="47" s="1"/>
  <c r="AE62" i="64"/>
  <c r="Y66" i="58"/>
  <c r="AY21" i="47"/>
  <c r="AJ112" i="60"/>
  <c r="Q112" i="60"/>
  <c r="AE61" i="64"/>
  <c r="Q111" i="60"/>
  <c r="AZ19" i="47"/>
  <c r="BD19" i="47" s="1"/>
  <c r="AE64" i="58" s="1"/>
  <c r="AE59" i="64"/>
  <c r="Q109" i="60"/>
  <c r="S109" i="60" s="1"/>
  <c r="V109" i="60" s="1"/>
  <c r="AJ109" i="60"/>
  <c r="R109" i="60"/>
  <c r="AA109" i="60"/>
  <c r="AD109" i="60" s="1"/>
  <c r="BD18" i="47"/>
  <c r="AE63" i="58" s="1"/>
  <c r="AE58" i="64"/>
  <c r="AJ108" i="60"/>
  <c r="BB17" i="47"/>
  <c r="Q108" i="60"/>
  <c r="R108" i="60"/>
  <c r="R107" i="60"/>
  <c r="AA107" i="60"/>
  <c r="Q107" i="60"/>
  <c r="S129" i="60"/>
  <c r="V129" i="60" s="1"/>
  <c r="AK129" i="60"/>
  <c r="AB129" i="60"/>
  <c r="AE69" i="64"/>
  <c r="BF17" i="51"/>
  <c r="BB17" i="51"/>
  <c r="BB16" i="51"/>
  <c r="BF16" i="51"/>
  <c r="AY16" i="51"/>
  <c r="AE82" i="64"/>
  <c r="AA138" i="60"/>
  <c r="Q138" i="60"/>
  <c r="T138" i="60" s="1"/>
  <c r="R138" i="60"/>
  <c r="U138" i="60" s="1"/>
  <c r="AA137" i="60"/>
  <c r="R137" i="60"/>
  <c r="Q137" i="60"/>
  <c r="Q135" i="60"/>
  <c r="AN61" i="60" l="1"/>
  <c r="D9" i="64"/>
  <c r="M44" i="60"/>
  <c r="F44" i="62" s="1"/>
  <c r="C12" i="62" s="1"/>
  <c r="AE61" i="60"/>
  <c r="D13" i="69"/>
  <c r="BN80" i="64"/>
  <c r="L42" i="69" s="1"/>
  <c r="M120" i="60"/>
  <c r="M122" i="60" s="1"/>
  <c r="F52" i="62" s="1"/>
  <c r="C18" i="62" s="1"/>
  <c r="AB136" i="60"/>
  <c r="AE136" i="60" s="1"/>
  <c r="D36" i="64"/>
  <c r="AN129" i="60"/>
  <c r="D31" i="64"/>
  <c r="D16" i="69"/>
  <c r="N121" i="60"/>
  <c r="W121" i="60" s="1"/>
  <c r="AK121" i="60" s="1"/>
  <c r="AE129" i="60"/>
  <c r="AA13" i="58"/>
  <c r="Z13" i="58"/>
  <c r="D40" i="63"/>
  <c r="BD16" i="45"/>
  <c r="AL165" i="60"/>
  <c r="U84" i="60"/>
  <c r="I38" i="69"/>
  <c r="AZ165" i="60"/>
  <c r="BN90" i="64"/>
  <c r="O113" i="60"/>
  <c r="AA113" i="60"/>
  <c r="AD113" i="60" s="1"/>
  <c r="P113" i="60"/>
  <c r="AD107" i="60"/>
  <c r="AM146" i="60"/>
  <c r="G22" i="63" s="1"/>
  <c r="AY64" i="60"/>
  <c r="AC138" i="60"/>
  <c r="AJ165" i="60"/>
  <c r="AM165" i="60" s="1"/>
  <c r="Y21" i="58"/>
  <c r="AK16" i="64" s="1"/>
  <c r="I29" i="69"/>
  <c r="AD112" i="60"/>
  <c r="Y74" i="58"/>
  <c r="AD157" i="60"/>
  <c r="Q165" i="60"/>
  <c r="U95" i="60"/>
  <c r="U100" i="60"/>
  <c r="Y58" i="58"/>
  <c r="AA58" i="58" s="1"/>
  <c r="AD59" i="60"/>
  <c r="AJ68" i="60"/>
  <c r="AM68" i="60" s="1"/>
  <c r="AM138" i="60"/>
  <c r="P157" i="60"/>
  <c r="U157" i="60" s="1"/>
  <c r="J37" i="69"/>
  <c r="Y147" i="60"/>
  <c r="AC42" i="60"/>
  <c r="AY113" i="60"/>
  <c r="Y33" i="60"/>
  <c r="Y58" i="60"/>
  <c r="BM18" i="64"/>
  <c r="BN18" i="64" s="1"/>
  <c r="AB10" i="64"/>
  <c r="I10" i="69" s="1"/>
  <c r="L82" i="60"/>
  <c r="AC22" i="64"/>
  <c r="AY60" i="60"/>
  <c r="AA110" i="60"/>
  <c r="AZ107" i="60"/>
  <c r="BJ78" i="64"/>
  <c r="K12" i="60"/>
  <c r="J45" i="69"/>
  <c r="I18" i="69"/>
  <c r="AY62" i="60"/>
  <c r="U136" i="60"/>
  <c r="E49" i="76" s="1"/>
  <c r="AZ87" i="60"/>
  <c r="Y43" i="58"/>
  <c r="AD173" i="60"/>
  <c r="I46" i="69"/>
  <c r="BL74" i="64"/>
  <c r="AK171" i="60"/>
  <c r="AN171" i="60" s="1"/>
  <c r="Q15" i="60"/>
  <c r="T15" i="60" s="1"/>
  <c r="AD82" i="60"/>
  <c r="AC63" i="60"/>
  <c r="BM73" i="64"/>
  <c r="BN73" i="64" s="1"/>
  <c r="AJ135" i="60"/>
  <c r="AM135" i="60" s="1"/>
  <c r="Q128" i="60"/>
  <c r="S153" i="60"/>
  <c r="V153" i="60" s="1"/>
  <c r="AK42" i="60"/>
  <c r="Y24" i="58"/>
  <c r="AA24" i="58" s="1"/>
  <c r="AA70" i="60"/>
  <c r="AD70" i="60" s="1"/>
  <c r="AC153" i="60"/>
  <c r="AC158" i="60" s="1"/>
  <c r="D56" i="73" s="1"/>
  <c r="BL90" i="64"/>
  <c r="F146" i="60"/>
  <c r="K146" i="60" s="1"/>
  <c r="U42" i="60"/>
  <c r="I25" i="69"/>
  <c r="K34" i="60"/>
  <c r="Y88" i="60"/>
  <c r="AZ88" i="60" s="1"/>
  <c r="AZ75" i="60"/>
  <c r="AY61" i="60"/>
  <c r="AC129" i="60"/>
  <c r="E19" i="77" s="1"/>
  <c r="AC145" i="60"/>
  <c r="K129" i="60"/>
  <c r="K24" i="60"/>
  <c r="AC57" i="60"/>
  <c r="AZ73" i="60"/>
  <c r="AJ66" i="64"/>
  <c r="BN76" i="64"/>
  <c r="I24" i="69"/>
  <c r="AY65" i="60"/>
  <c r="AY97" i="60"/>
  <c r="AY88" i="60"/>
  <c r="BL81" i="64"/>
  <c r="AY66" i="60"/>
  <c r="AM43" i="60"/>
  <c r="AM44" i="60" s="1"/>
  <c r="E44" i="74" s="1"/>
  <c r="BM93" i="64"/>
  <c r="BN93" i="64" s="1"/>
  <c r="I45" i="69"/>
  <c r="AY86" i="60"/>
  <c r="U43" i="60"/>
  <c r="D41" i="76" s="1"/>
  <c r="AA68" i="60"/>
  <c r="AD68" i="60" s="1"/>
  <c r="U82" i="60"/>
  <c r="AA135" i="60"/>
  <c r="L95" i="60"/>
  <c r="R135" i="60"/>
  <c r="U135" i="60" s="1"/>
  <c r="U139" i="60" s="1"/>
  <c r="E54" i="72" s="1"/>
  <c r="AY144" i="60"/>
  <c r="BA144" i="60" s="1"/>
  <c r="AA31" i="60"/>
  <c r="AD31" i="60" s="1"/>
  <c r="S42" i="60"/>
  <c r="V42" i="60" s="1"/>
  <c r="Y20" i="58"/>
  <c r="AK15" i="64" s="1"/>
  <c r="AM49" i="60"/>
  <c r="AJ75" i="64"/>
  <c r="F41" i="69" s="1"/>
  <c r="I27" i="69"/>
  <c r="AM88" i="60"/>
  <c r="L99" i="60"/>
  <c r="BL42" i="64"/>
  <c r="AL128" i="60"/>
  <c r="AL130" i="60" s="1"/>
  <c r="D53" i="74" s="1"/>
  <c r="J48" i="69"/>
  <c r="AJ72" i="64"/>
  <c r="F39" i="69" s="1"/>
  <c r="I36" i="69"/>
  <c r="BM35" i="64"/>
  <c r="BN35" i="64" s="1"/>
  <c r="AY165" i="60"/>
  <c r="AJ89" i="64"/>
  <c r="F44" i="69" s="1"/>
  <c r="AM155" i="60"/>
  <c r="AC70" i="60"/>
  <c r="U99" i="60"/>
  <c r="BM47" i="64"/>
  <c r="BN47" i="64" s="1"/>
  <c r="J38" i="69"/>
  <c r="AC59" i="60"/>
  <c r="AM51" i="60"/>
  <c r="G14" i="63" s="1"/>
  <c r="AD99" i="60"/>
  <c r="R15" i="60"/>
  <c r="U15" i="60" s="1"/>
  <c r="AC137" i="60"/>
  <c r="E20" i="77" s="1"/>
  <c r="AY137" i="60"/>
  <c r="P155" i="60"/>
  <c r="U155" i="60" s="1"/>
  <c r="L14" i="60"/>
  <c r="AZ66" i="60"/>
  <c r="BL68" i="64"/>
  <c r="AY127" i="60"/>
  <c r="U147" i="60"/>
  <c r="U148" i="60" s="1"/>
  <c r="E55" i="72" s="1"/>
  <c r="T154" i="60"/>
  <c r="U50" i="60"/>
  <c r="F42" i="76" s="1"/>
  <c r="U171" i="60"/>
  <c r="G53" i="76" s="1"/>
  <c r="AD57" i="60"/>
  <c r="AJ64" i="60"/>
  <c r="AM64" i="60" s="1"/>
  <c r="AB71" i="60"/>
  <c r="AE71" i="60" s="1"/>
  <c r="L171" i="60"/>
  <c r="E53" i="75" s="1"/>
  <c r="M148" i="60"/>
  <c r="F55" i="62" s="1"/>
  <c r="C21" i="62" s="1"/>
  <c r="AC49" i="60"/>
  <c r="J11" i="69"/>
  <c r="I17" i="69"/>
  <c r="AZ69" i="60"/>
  <c r="S82" i="60"/>
  <c r="V82" i="60" s="1"/>
  <c r="K136" i="60"/>
  <c r="F20" i="75" s="1"/>
  <c r="AY135" i="60"/>
  <c r="BL41" i="64"/>
  <c r="AZ74" i="60"/>
  <c r="AY68" i="60"/>
  <c r="BL23" i="64"/>
  <c r="AA64" i="60"/>
  <c r="AD138" i="60"/>
  <c r="AD146" i="60"/>
  <c r="AD148" i="60" s="1"/>
  <c r="E55" i="73" s="1"/>
  <c r="AD71" i="60"/>
  <c r="I48" i="69"/>
  <c r="AJ65" i="64"/>
  <c r="F35" i="69" s="1"/>
  <c r="R165" i="60"/>
  <c r="U165" i="60" s="1"/>
  <c r="AY163" i="60"/>
  <c r="AM153" i="60"/>
  <c r="Y89" i="58"/>
  <c r="AK85" i="64" s="1"/>
  <c r="AD33" i="60"/>
  <c r="AZ60" i="60"/>
  <c r="Y87" i="58"/>
  <c r="AK83" i="64" s="1"/>
  <c r="Y26" i="58"/>
  <c r="AC120" i="60"/>
  <c r="AY120" i="60"/>
  <c r="AJ19" i="64"/>
  <c r="F11" i="69" s="1"/>
  <c r="AC98" i="60"/>
  <c r="AY98" i="60"/>
  <c r="BM17" i="64"/>
  <c r="BN17" i="64" s="1"/>
  <c r="AM108" i="60"/>
  <c r="U145" i="60"/>
  <c r="J29" i="69"/>
  <c r="R173" i="60"/>
  <c r="U173" i="60" s="1"/>
  <c r="U137" i="60"/>
  <c r="AD147" i="60"/>
  <c r="Y92" i="58"/>
  <c r="AK88" i="64" s="1"/>
  <c r="Q24" i="60"/>
  <c r="AK24" i="60" s="1"/>
  <c r="AN24" i="60" s="1"/>
  <c r="T129" i="60"/>
  <c r="Z15" i="58"/>
  <c r="U35" i="60"/>
  <c r="BM86" i="64"/>
  <c r="BN86" i="64" s="1"/>
  <c r="I39" i="69"/>
  <c r="BM74" i="64"/>
  <c r="I11" i="69"/>
  <c r="AC76" i="60"/>
  <c r="AY76" i="60"/>
  <c r="L70" i="60"/>
  <c r="AY69" i="60"/>
  <c r="F14" i="69"/>
  <c r="BL46" i="64"/>
  <c r="BN66" i="64"/>
  <c r="AY73" i="60"/>
  <c r="AC147" i="60"/>
  <c r="AY147" i="60"/>
  <c r="BB18" i="47"/>
  <c r="Y64" i="58"/>
  <c r="AK60" i="64" s="1"/>
  <c r="AY110" i="60"/>
  <c r="BN62" i="64"/>
  <c r="J109" i="60"/>
  <c r="M109" i="60" s="1"/>
  <c r="J32" i="69"/>
  <c r="AY108" i="60"/>
  <c r="Y67" i="58"/>
  <c r="L114" i="60"/>
  <c r="U112" i="60"/>
  <c r="BA22" i="47"/>
  <c r="I113" i="60"/>
  <c r="J113" i="60" s="1"/>
  <c r="M113" i="60" s="1"/>
  <c r="J31" i="69"/>
  <c r="F33" i="69"/>
  <c r="AC107" i="60"/>
  <c r="H111" i="60"/>
  <c r="K111" i="60" s="1"/>
  <c r="K109" i="60"/>
  <c r="BF16" i="47"/>
  <c r="BB19" i="47"/>
  <c r="AY112" i="60"/>
  <c r="Q110" i="60"/>
  <c r="AJ113" i="60"/>
  <c r="AM113" i="60" s="1"/>
  <c r="H113" i="60"/>
  <c r="S113" i="60" s="1"/>
  <c r="V113" i="60" s="1"/>
  <c r="K112" i="60"/>
  <c r="AL112" i="60"/>
  <c r="AH62" i="64"/>
  <c r="AJ58" i="64"/>
  <c r="F31" i="69" s="1"/>
  <c r="I30" i="69"/>
  <c r="AC109" i="60"/>
  <c r="AY109" i="60"/>
  <c r="AE60" i="64"/>
  <c r="AF109" i="60"/>
  <c r="R110" i="60"/>
  <c r="U110" i="60" s="1"/>
  <c r="I34" i="69"/>
  <c r="L108" i="60"/>
  <c r="AJ110" i="60"/>
  <c r="AY107" i="60"/>
  <c r="AL59" i="64"/>
  <c r="H32" i="69" s="1"/>
  <c r="AB63" i="58"/>
  <c r="AM110" i="60"/>
  <c r="U109" i="60"/>
  <c r="J30" i="69"/>
  <c r="U114" i="60"/>
  <c r="AM112" i="60"/>
  <c r="AD108" i="60"/>
  <c r="AJ57" i="64"/>
  <c r="F30" i="69" s="1"/>
  <c r="I31" i="69"/>
  <c r="I32" i="69"/>
  <c r="AM109" i="60"/>
  <c r="AC114" i="60"/>
  <c r="AA111" i="60"/>
  <c r="AD111" i="60" s="1"/>
  <c r="BL62" i="64"/>
  <c r="J34" i="69"/>
  <c r="AK95" i="60"/>
  <c r="BD27" i="41"/>
  <c r="AE24" i="58" s="1"/>
  <c r="BH20" i="53"/>
  <c r="AH83" i="58" s="1"/>
  <c r="BD17" i="48"/>
  <c r="AE70" i="58" s="1"/>
  <c r="AL44" i="60"/>
  <c r="E40" i="63"/>
  <c r="BD18" i="56"/>
  <c r="G40" i="63"/>
  <c r="F40" i="63"/>
  <c r="BH22" i="44"/>
  <c r="AH54" i="58" s="1"/>
  <c r="AI54" i="58" s="1"/>
  <c r="AL30" i="60"/>
  <c r="AL24" i="60"/>
  <c r="BH19" i="37"/>
  <c r="AH58" i="58" s="1"/>
  <c r="BD17" i="54"/>
  <c r="AE88" i="58" s="1"/>
  <c r="BD17" i="53"/>
  <c r="AE80" i="58" s="1"/>
  <c r="BH16" i="53"/>
  <c r="AH79" i="58" s="1"/>
  <c r="AL136" i="60"/>
  <c r="D48" i="63" s="1"/>
  <c r="BG17" i="51"/>
  <c r="AC128" i="60"/>
  <c r="F19" i="77" s="1"/>
  <c r="AY128" i="60"/>
  <c r="BD16" i="48"/>
  <c r="AE69" i="58" s="1"/>
  <c r="AL83" i="60"/>
  <c r="BH16" i="42"/>
  <c r="AH33" i="58" s="1"/>
  <c r="AI33" i="58" s="1"/>
  <c r="BD33" i="41"/>
  <c r="AE30" i="58" s="1"/>
  <c r="BH22" i="41"/>
  <c r="AH19" i="58" s="1"/>
  <c r="BD17" i="41"/>
  <c r="AE14" i="58" s="1"/>
  <c r="AB41" i="58"/>
  <c r="AF41" i="58"/>
  <c r="BH17" i="43"/>
  <c r="AH41" i="58" s="1"/>
  <c r="AM95" i="60"/>
  <c r="AL13" i="60"/>
  <c r="D37" i="63" s="1"/>
  <c r="E80" i="76"/>
  <c r="E80" i="77"/>
  <c r="W157" i="60"/>
  <c r="AF157" i="60" s="1"/>
  <c r="W146" i="60"/>
  <c r="AF146" i="60" s="1"/>
  <c r="BD22" i="43"/>
  <c r="AE46" i="58" s="1"/>
  <c r="P63" i="60"/>
  <c r="U63" i="60" s="1"/>
  <c r="AH93" i="64"/>
  <c r="AL22" i="60"/>
  <c r="BA20" i="53"/>
  <c r="BE20" i="53"/>
  <c r="L24" i="60"/>
  <c r="F39" i="75" s="1"/>
  <c r="G128" i="60"/>
  <c r="P128" i="60"/>
  <c r="Y128" i="60"/>
  <c r="F128" i="60"/>
  <c r="K128" i="60" s="1"/>
  <c r="BE17" i="47"/>
  <c r="BA17" i="47"/>
  <c r="BA19" i="41"/>
  <c r="X16" i="58"/>
  <c r="AJ12" i="64" s="1"/>
  <c r="AC61" i="64"/>
  <c r="I111" i="60"/>
  <c r="BA18" i="54"/>
  <c r="X89" i="58"/>
  <c r="AJ85" i="64" s="1"/>
  <c r="BE16" i="47"/>
  <c r="BA16" i="47"/>
  <c r="I101" i="60"/>
  <c r="J101" i="60" s="1"/>
  <c r="M101" i="60" s="1"/>
  <c r="AC43" i="64"/>
  <c r="H101" i="60"/>
  <c r="K101" i="60" s="1"/>
  <c r="H35" i="60"/>
  <c r="AK35" i="60" s="1"/>
  <c r="AN35" i="60" s="1"/>
  <c r="AC49" i="64"/>
  <c r="I35" i="60"/>
  <c r="J35" i="60" s="1"/>
  <c r="M35" i="60" s="1"/>
  <c r="BA27" i="41"/>
  <c r="X24" i="58"/>
  <c r="AJ20" i="64" s="1"/>
  <c r="T98" i="60"/>
  <c r="AJ24" i="60"/>
  <c r="AM24" i="60" s="1"/>
  <c r="Q62" i="60"/>
  <c r="AB62" i="60" s="1"/>
  <c r="AE62" i="60" s="1"/>
  <c r="Y49" i="58"/>
  <c r="AK45" i="64" s="1"/>
  <c r="AM36" i="60"/>
  <c r="E81" i="63"/>
  <c r="W164" i="60"/>
  <c r="AF164" i="60" s="1"/>
  <c r="AD128" i="60"/>
  <c r="L120" i="60"/>
  <c r="W101" i="60"/>
  <c r="AF101" i="60" s="1"/>
  <c r="W59" i="60"/>
  <c r="AF59" i="60" s="1"/>
  <c r="AC64" i="60"/>
  <c r="W87" i="60"/>
  <c r="AF87" i="60" s="1"/>
  <c r="L61" i="60"/>
  <c r="K62" i="60"/>
  <c r="P62" i="60"/>
  <c r="U62" i="60" s="1"/>
  <c r="BA16" i="41"/>
  <c r="O76" i="60"/>
  <c r="AD28" i="64"/>
  <c r="Y76" i="60"/>
  <c r="F58" i="60"/>
  <c r="G58" i="60"/>
  <c r="K99" i="60"/>
  <c r="T83" i="60"/>
  <c r="W156" i="60"/>
  <c r="AF156" i="60" s="1"/>
  <c r="P23" i="60"/>
  <c r="U107" i="60"/>
  <c r="BH21" i="47"/>
  <c r="AH66" i="58" s="1"/>
  <c r="U111" i="60"/>
  <c r="U164" i="60"/>
  <c r="BB19" i="55"/>
  <c r="AM99" i="60"/>
  <c r="AA24" i="60"/>
  <c r="AD24" i="60" s="1"/>
  <c r="AD58" i="60"/>
  <c r="AK82" i="60"/>
  <c r="Y38" i="58"/>
  <c r="AK34" i="64" s="1"/>
  <c r="AJ31" i="60"/>
  <c r="AM31" i="60" s="1"/>
  <c r="F81" i="63"/>
  <c r="W23" i="60"/>
  <c r="AF23" i="60" s="1"/>
  <c r="AL154" i="60"/>
  <c r="AL158" i="60" s="1"/>
  <c r="D56" i="74" s="1"/>
  <c r="AL113" i="60"/>
  <c r="BF20" i="44"/>
  <c r="I35" i="69"/>
  <c r="AA84" i="60"/>
  <c r="P85" i="60"/>
  <c r="U85" i="60" s="1"/>
  <c r="BC22" i="43"/>
  <c r="BA16" i="45"/>
  <c r="BA17" i="52"/>
  <c r="BE17" i="52"/>
  <c r="AD24" i="64"/>
  <c r="O72" i="60"/>
  <c r="P60" i="60"/>
  <c r="U146" i="60"/>
  <c r="AJ173" i="60"/>
  <c r="AM173" i="60" s="1"/>
  <c r="AD100" i="60"/>
  <c r="Y99" i="58"/>
  <c r="Z99" i="58" s="1"/>
  <c r="BF18" i="41"/>
  <c r="AD64" i="60"/>
  <c r="AB82" i="60"/>
  <c r="BD21" i="42"/>
  <c r="AE38" i="58" s="1"/>
  <c r="AG45" i="64"/>
  <c r="U33" i="60"/>
  <c r="D80" i="77"/>
  <c r="W107" i="60"/>
  <c r="H172" i="60"/>
  <c r="W127" i="60"/>
  <c r="AF127" i="60" s="1"/>
  <c r="AK30" i="60"/>
  <c r="AN30" i="60" s="1"/>
  <c r="W66" i="60"/>
  <c r="AF66" i="60" s="1"/>
  <c r="AD61" i="60"/>
  <c r="BC31" i="41"/>
  <c r="AL32" i="60"/>
  <c r="AC16" i="64"/>
  <c r="H65" i="60"/>
  <c r="I65" i="60"/>
  <c r="J65" i="60" s="1"/>
  <c r="M65" i="60" s="1"/>
  <c r="AL146" i="60"/>
  <c r="AL34" i="60"/>
  <c r="P74" i="60"/>
  <c r="BA33" i="41"/>
  <c r="BC21" i="53"/>
  <c r="AB171" i="60"/>
  <c r="AE171" i="60" s="1"/>
  <c r="Q173" i="60"/>
  <c r="Y56" i="58"/>
  <c r="Z56" i="58" s="1"/>
  <c r="AJ62" i="60"/>
  <c r="AM62" i="60" s="1"/>
  <c r="T82" i="60"/>
  <c r="Z31" i="60"/>
  <c r="D81" i="63"/>
  <c r="D80" i="76"/>
  <c r="D112" i="59"/>
  <c r="BB17" i="54"/>
  <c r="W155" i="60"/>
  <c r="AF155" i="60" s="1"/>
  <c r="U163" i="60"/>
  <c r="F52" i="76" s="1"/>
  <c r="M130" i="60"/>
  <c r="F53" i="62" s="1"/>
  <c r="C19" i="62" s="1"/>
  <c r="AM107" i="60"/>
  <c r="W135" i="60"/>
  <c r="AF135" i="60" s="1"/>
  <c r="W70" i="60"/>
  <c r="AF70" i="60" s="1"/>
  <c r="L65" i="60"/>
  <c r="BD16" i="50"/>
  <c r="AE74" i="58" s="1"/>
  <c r="I23" i="60"/>
  <c r="J23" i="60" s="1"/>
  <c r="M23" i="60" s="1"/>
  <c r="H23" i="60"/>
  <c r="AC94" i="64"/>
  <c r="G146" i="60"/>
  <c r="L146" i="60" s="1"/>
  <c r="AB73" i="64"/>
  <c r="BL73" i="64" s="1"/>
  <c r="X82" i="60"/>
  <c r="AC82" i="60" s="1"/>
  <c r="AF29" i="64"/>
  <c r="BA34" i="41"/>
  <c r="X31" i="58"/>
  <c r="AJ27" i="64" s="1"/>
  <c r="F13" i="69" s="1"/>
  <c r="BA22" i="43"/>
  <c r="I58" i="60"/>
  <c r="J58" i="60" s="1"/>
  <c r="M58" i="60" s="1"/>
  <c r="AC10" i="64"/>
  <c r="H58" i="60"/>
  <c r="S58" i="60" s="1"/>
  <c r="V58" i="60" s="1"/>
  <c r="BA35" i="41"/>
  <c r="V30" i="60"/>
  <c r="AC15" i="64"/>
  <c r="I64" i="60"/>
  <c r="J64" i="60" s="1"/>
  <c r="M64" i="60" s="1"/>
  <c r="H64" i="60"/>
  <c r="L153" i="60"/>
  <c r="W95" i="60"/>
  <c r="AF95" i="60" s="1"/>
  <c r="V95" i="60"/>
  <c r="Y72" i="60"/>
  <c r="AZ72" i="60" s="1"/>
  <c r="L59" i="60"/>
  <c r="U74" i="60"/>
  <c r="BA20" i="45"/>
  <c r="W50" i="60"/>
  <c r="AF50" i="60" s="1"/>
  <c r="AD120" i="60"/>
  <c r="E47" i="77" s="1"/>
  <c r="AM156" i="60"/>
  <c r="AD50" i="60"/>
  <c r="F42" i="77" s="1"/>
  <c r="AM171" i="60"/>
  <c r="S171" i="60"/>
  <c r="V171" i="60" s="1"/>
  <c r="AD94" i="60"/>
  <c r="U128" i="60"/>
  <c r="U130" i="60" s="1"/>
  <c r="E53" i="72" s="1"/>
  <c r="Y18" i="58"/>
  <c r="AA18" i="58" s="1"/>
  <c r="BB24" i="41"/>
  <c r="AA85" i="60"/>
  <c r="AD85" i="60" s="1"/>
  <c r="W22" i="60"/>
  <c r="AF22" i="60" s="1"/>
  <c r="AM97" i="60"/>
  <c r="G23" i="60"/>
  <c r="L23" i="60" s="1"/>
  <c r="M139" i="60"/>
  <c r="F54" i="62" s="1"/>
  <c r="C20" i="62" s="1"/>
  <c r="W108" i="60"/>
  <c r="AB108" i="60" s="1"/>
  <c r="W84" i="60"/>
  <c r="AF84" i="60" s="1"/>
  <c r="L84" i="60"/>
  <c r="U60" i="60"/>
  <c r="H165" i="60"/>
  <c r="K165" i="60" s="1"/>
  <c r="AC85" i="64"/>
  <c r="F35" i="60"/>
  <c r="Y35" i="60"/>
  <c r="AD35" i="60" s="1"/>
  <c r="P97" i="60"/>
  <c r="U97" i="60" s="1"/>
  <c r="AL145" i="60"/>
  <c r="X39" i="58"/>
  <c r="AJ35" i="64" s="1"/>
  <c r="F16" i="69" s="1"/>
  <c r="BA22" i="42"/>
  <c r="X20" i="58"/>
  <c r="AJ15" i="64" s="1"/>
  <c r="BA23" i="41"/>
  <c r="P69" i="60"/>
  <c r="U69" i="60" s="1"/>
  <c r="K69" i="60"/>
  <c r="K59" i="60"/>
  <c r="BA24" i="41"/>
  <c r="AJ74" i="60"/>
  <c r="AM74" i="60" s="1"/>
  <c r="Y30" i="58"/>
  <c r="Z30" i="58" s="1"/>
  <c r="AL26" i="64" s="1"/>
  <c r="AC72" i="60"/>
  <c r="BD28" i="41"/>
  <c r="AE25" i="58" s="1"/>
  <c r="BD24" i="41"/>
  <c r="AE21" i="58" s="1"/>
  <c r="BD20" i="41"/>
  <c r="AE17" i="58" s="1"/>
  <c r="BG19" i="41"/>
  <c r="AC113" i="60"/>
  <c r="AC110" i="60"/>
  <c r="Z92" i="58"/>
  <c r="AL88" i="64" s="1"/>
  <c r="BG18" i="55"/>
  <c r="BD17" i="55"/>
  <c r="AE91" i="58" s="1"/>
  <c r="AD52" i="60"/>
  <c r="E45" i="73" s="1"/>
  <c r="AC154" i="60"/>
  <c r="AM136" i="60"/>
  <c r="BC18" i="48"/>
  <c r="BC18" i="43"/>
  <c r="AM33" i="60"/>
  <c r="AB30" i="60"/>
  <c r="AE30" i="60" s="1"/>
  <c r="AC30" i="60"/>
  <c r="G42" i="77"/>
  <c r="AA92" i="58"/>
  <c r="AB92" i="58" s="1"/>
  <c r="AC146" i="60"/>
  <c r="AD136" i="60"/>
  <c r="BH16" i="50"/>
  <c r="AH74" i="58" s="1"/>
  <c r="G19" i="77"/>
  <c r="AC130" i="60"/>
  <c r="D53" i="73" s="1"/>
  <c r="AK114" i="60"/>
  <c r="AN114" i="60" s="1"/>
  <c r="BH22" i="47"/>
  <c r="AH67" i="58" s="1"/>
  <c r="AJ111" i="60"/>
  <c r="AM111" i="60" s="1"/>
  <c r="BG19" i="47"/>
  <c r="BD17" i="37"/>
  <c r="AE56" i="58" s="1"/>
  <c r="BH23" i="43"/>
  <c r="AH47" i="58" s="1"/>
  <c r="AC95" i="60"/>
  <c r="G16" i="77" s="1"/>
  <c r="BC22" i="42"/>
  <c r="AM87" i="60"/>
  <c r="BC16" i="42"/>
  <c r="AK29" i="64"/>
  <c r="Z33" i="58"/>
  <c r="AL29" i="64" s="1"/>
  <c r="AC75" i="60"/>
  <c r="AG26" i="64"/>
  <c r="Z74" i="60"/>
  <c r="AC74" i="60" s="1"/>
  <c r="AA17" i="58"/>
  <c r="AB17" i="58" s="1"/>
  <c r="BD18" i="41"/>
  <c r="AE15" i="58" s="1"/>
  <c r="AC24" i="60"/>
  <c r="G10" i="77" s="1"/>
  <c r="BH19" i="45"/>
  <c r="AH99" i="58" s="1"/>
  <c r="AB153" i="60"/>
  <c r="AE153" i="60" s="1"/>
  <c r="AK147" i="60"/>
  <c r="AN147" i="60" s="1"/>
  <c r="AB147" i="60"/>
  <c r="AE147" i="60" s="1"/>
  <c r="AF84" i="58"/>
  <c r="BC16" i="50"/>
  <c r="BC20" i="50" s="1"/>
  <c r="BC18" i="51"/>
  <c r="BH17" i="51"/>
  <c r="AH72" i="58" s="1"/>
  <c r="Y65" i="58"/>
  <c r="AK61" i="64" s="1"/>
  <c r="BN61" i="64" s="1"/>
  <c r="BC16" i="47"/>
  <c r="BC20" i="43"/>
  <c r="AK97" i="60"/>
  <c r="AN97" i="60" s="1"/>
  <c r="BD16" i="43"/>
  <c r="AE40" i="58" s="1"/>
  <c r="Z87" i="60"/>
  <c r="AC87" i="60" s="1"/>
  <c r="AG34" i="64"/>
  <c r="AJ85" i="60"/>
  <c r="AM85" i="60" s="1"/>
  <c r="BC32" i="41"/>
  <c r="BD31" i="41"/>
  <c r="AE28" i="58" s="1"/>
  <c r="BD30" i="41"/>
  <c r="AE27" i="58" s="1"/>
  <c r="BH30" i="41"/>
  <c r="AH27" i="58" s="1"/>
  <c r="AI27" i="58" s="1"/>
  <c r="BC29" i="41"/>
  <c r="BC16" i="41"/>
  <c r="AD36" i="60"/>
  <c r="BD21" i="44"/>
  <c r="AE53" i="58" s="1"/>
  <c r="BC21" i="44"/>
  <c r="AC35" i="60"/>
  <c r="BD20" i="44"/>
  <c r="AE52" i="58" s="1"/>
  <c r="AJ34" i="60"/>
  <c r="AM34" i="60" s="1"/>
  <c r="BC19" i="45"/>
  <c r="AD86" i="60"/>
  <c r="AM86" i="60"/>
  <c r="AM83" i="60"/>
  <c r="AD163" i="60"/>
  <c r="J46" i="69"/>
  <c r="BM92" i="64"/>
  <c r="BN92" i="64" s="1"/>
  <c r="BO92" i="64" s="1"/>
  <c r="BM95" i="64"/>
  <c r="BN95" i="64" s="1"/>
  <c r="I12" i="69"/>
  <c r="BL30" i="64"/>
  <c r="BM13" i="64"/>
  <c r="BN13" i="64" s="1"/>
  <c r="BL89" i="64"/>
  <c r="BL79" i="64"/>
  <c r="J39" i="69"/>
  <c r="BM88" i="64"/>
  <c r="BN88" i="64" s="1"/>
  <c r="BN55" i="64"/>
  <c r="L28" i="69" s="1"/>
  <c r="J28" i="69"/>
  <c r="BM11" i="64"/>
  <c r="BN11" i="64" s="1"/>
  <c r="I26" i="69"/>
  <c r="BL35" i="64"/>
  <c r="I41" i="69"/>
  <c r="J41" i="69"/>
  <c r="T137" i="60"/>
  <c r="AN136" i="60"/>
  <c r="BH34" i="41"/>
  <c r="AH31" i="58" s="1"/>
  <c r="BD34" i="41"/>
  <c r="AE31" i="58" s="1"/>
  <c r="BC34" i="41"/>
  <c r="BG34" i="41"/>
  <c r="S71" i="60"/>
  <c r="V71" i="60" s="1"/>
  <c r="AK23" i="64"/>
  <c r="Z27" i="58"/>
  <c r="BM23" i="64"/>
  <c r="BN23" i="64" s="1"/>
  <c r="AE20" i="64"/>
  <c r="Q68" i="60"/>
  <c r="Q67" i="60"/>
  <c r="AB67" i="60" s="1"/>
  <c r="AE67" i="60" s="1"/>
  <c r="R67" i="60"/>
  <c r="BD26" i="41"/>
  <c r="AE23" i="58" s="1"/>
  <c r="AF23" i="58" s="1"/>
  <c r="AJ67" i="60"/>
  <c r="Y23" i="58"/>
  <c r="AK18" i="64" s="1"/>
  <c r="AA67" i="60"/>
  <c r="BH25" i="41"/>
  <c r="AH22" i="58" s="1"/>
  <c r="BD25" i="41"/>
  <c r="AE22" i="58" s="1"/>
  <c r="BC25" i="41"/>
  <c r="BG25" i="41"/>
  <c r="BB25" i="41"/>
  <c r="BF25" i="41"/>
  <c r="AA62" i="60"/>
  <c r="AD62" i="60" s="1"/>
  <c r="BB19" i="41"/>
  <c r="Y16" i="58"/>
  <c r="AA16" i="58" s="1"/>
  <c r="AB16" i="58" s="1"/>
  <c r="BD16" i="41"/>
  <c r="AE13" i="58" s="1"/>
  <c r="J40" i="69"/>
  <c r="BB19" i="52"/>
  <c r="BN74" i="64"/>
  <c r="AA165" i="60"/>
  <c r="AD165" i="60" s="1"/>
  <c r="BF17" i="54"/>
  <c r="BH16" i="54"/>
  <c r="AH87" i="58" s="1"/>
  <c r="BG18" i="53"/>
  <c r="BB21" i="53"/>
  <c r="AK75" i="64"/>
  <c r="AD137" i="60"/>
  <c r="AM137" i="60"/>
  <c r="AA129" i="60"/>
  <c r="AD129" i="60" s="1"/>
  <c r="Y73" i="58"/>
  <c r="R129" i="60"/>
  <c r="U129" i="60" s="1"/>
  <c r="AJ128" i="60"/>
  <c r="AM128" i="60" s="1"/>
  <c r="AA127" i="60"/>
  <c r="AD127" i="60" s="1"/>
  <c r="AE67" i="64"/>
  <c r="Q127" i="60"/>
  <c r="AK127" i="60" s="1"/>
  <c r="AN127" i="60" s="1"/>
  <c r="Y71" i="58"/>
  <c r="AK67" i="64" s="1"/>
  <c r="R127" i="60"/>
  <c r="U127" i="60" s="1"/>
  <c r="AA68" i="58"/>
  <c r="AB68" i="58" s="1"/>
  <c r="AB114" i="60"/>
  <c r="AE114" i="60" s="1"/>
  <c r="R113" i="60"/>
  <c r="AE63" i="64"/>
  <c r="BG18" i="47"/>
  <c r="BF20" i="43"/>
  <c r="BB20" i="43"/>
  <c r="BH20" i="43"/>
  <c r="AH44" i="58" s="1"/>
  <c r="BD20" i="43"/>
  <c r="AE44" i="58" s="1"/>
  <c r="AB97" i="60"/>
  <c r="AE97" i="60" s="1"/>
  <c r="BC21" i="42"/>
  <c r="BC19" i="42"/>
  <c r="BC23" i="42" s="1"/>
  <c r="BG20" i="42"/>
  <c r="AE31" i="64"/>
  <c r="Q84" i="60"/>
  <c r="T84" i="60" s="1"/>
  <c r="BF18" i="42"/>
  <c r="Y35" i="58"/>
  <c r="Z35" i="58" s="1"/>
  <c r="J14" i="69"/>
  <c r="BD17" i="42"/>
  <c r="AE34" i="58" s="1"/>
  <c r="BM30" i="64"/>
  <c r="BN30" i="64" s="1"/>
  <c r="BM29" i="64"/>
  <c r="BN29" i="64" s="1"/>
  <c r="E13" i="63"/>
  <c r="BC17" i="44"/>
  <c r="BG16" i="44"/>
  <c r="BM44" i="64"/>
  <c r="BN44" i="64" s="1"/>
  <c r="BC17" i="45"/>
  <c r="BB19" i="37"/>
  <c r="Z57" i="58"/>
  <c r="AL53" i="64" s="1"/>
  <c r="H26" i="69" s="1"/>
  <c r="AK53" i="64"/>
  <c r="G26" i="69" s="1"/>
  <c r="AA57" i="58"/>
  <c r="AB57" i="58" s="1"/>
  <c r="BF17" i="37"/>
  <c r="AK59" i="64"/>
  <c r="G32" i="69" s="1"/>
  <c r="BH17" i="47"/>
  <c r="AH62" i="58" s="1"/>
  <c r="BL50" i="64"/>
  <c r="BM50" i="64"/>
  <c r="BN50" i="64" s="1"/>
  <c r="J18" i="69"/>
  <c r="BN37" i="64"/>
  <c r="L18" i="69" s="1"/>
  <c r="D20" i="77"/>
  <c r="AC139" i="60"/>
  <c r="D54" i="73" s="1"/>
  <c r="G20" i="77"/>
  <c r="F20" i="77"/>
  <c r="BH19" i="47"/>
  <c r="AH64" i="58" s="1"/>
  <c r="AY16" i="46"/>
  <c r="X59" i="58"/>
  <c r="Y59" i="58" s="1"/>
  <c r="AW16" i="46"/>
  <c r="AX16" i="46"/>
  <c r="AZ16" i="46"/>
  <c r="X68" i="58"/>
  <c r="BA23" i="47"/>
  <c r="BA17" i="55"/>
  <c r="X91" i="58"/>
  <c r="AJ87" i="64" s="1"/>
  <c r="F43" i="69" s="1"/>
  <c r="G39" i="75"/>
  <c r="E39" i="75"/>
  <c r="AK79" i="64"/>
  <c r="BG17" i="55"/>
  <c r="BC17" i="55"/>
  <c r="BB16" i="54"/>
  <c r="BB19" i="54" s="1"/>
  <c r="BF16" i="54"/>
  <c r="AC144" i="60"/>
  <c r="AD70" i="64"/>
  <c r="I37" i="69" s="1"/>
  <c r="O135" i="60"/>
  <c r="T135" i="60" s="1"/>
  <c r="Y135" i="60"/>
  <c r="AD135" i="60" s="1"/>
  <c r="F46" i="63"/>
  <c r="AL122" i="60"/>
  <c r="D52" i="74" s="1"/>
  <c r="G46" i="63"/>
  <c r="D46" i="63"/>
  <c r="E46" i="63"/>
  <c r="BF17" i="44"/>
  <c r="BB17" i="44"/>
  <c r="M96" i="60"/>
  <c r="P83" i="60"/>
  <c r="U83" i="60" s="1"/>
  <c r="L83" i="60"/>
  <c r="Q76" i="60"/>
  <c r="AA76" i="60"/>
  <c r="AE28" i="64"/>
  <c r="K61" i="60"/>
  <c r="AC12" i="60"/>
  <c r="L12" i="60"/>
  <c r="I21" i="60"/>
  <c r="J21" i="60" s="1"/>
  <c r="Z29" i="58"/>
  <c r="AL25" i="64" s="1"/>
  <c r="AJ129" i="60"/>
  <c r="AM129" i="60" s="1"/>
  <c r="BB21" i="47"/>
  <c r="D42" i="77"/>
  <c r="BF16" i="45"/>
  <c r="BD19" i="41"/>
  <c r="AE16" i="58" s="1"/>
  <c r="AA49" i="58"/>
  <c r="AB49" i="58" s="1"/>
  <c r="D14" i="69"/>
  <c r="D29" i="64"/>
  <c r="F80" i="75"/>
  <c r="E80" i="75"/>
  <c r="BA17" i="46"/>
  <c r="U24" i="60"/>
  <c r="C65" i="63"/>
  <c r="C64" i="75"/>
  <c r="C64" i="76"/>
  <c r="C64" i="77"/>
  <c r="S97" i="60"/>
  <c r="V97" i="60" s="1"/>
  <c r="G10" i="75"/>
  <c r="D10" i="75"/>
  <c r="E10" i="75"/>
  <c r="K25" i="60"/>
  <c r="D42" i="62" s="1"/>
  <c r="F10" i="75"/>
  <c r="BE19" i="53"/>
  <c r="BA19" i="53"/>
  <c r="T114" i="60"/>
  <c r="L155" i="60"/>
  <c r="AL164" i="60"/>
  <c r="BA16" i="50"/>
  <c r="BA20" i="50" s="1"/>
  <c r="BB16" i="50"/>
  <c r="BB20" i="50" s="1"/>
  <c r="X74" i="58"/>
  <c r="AJ70" i="64" s="1"/>
  <c r="F37" i="69" s="1"/>
  <c r="BA20" i="47"/>
  <c r="AM127" i="60"/>
  <c r="H110" i="60"/>
  <c r="K110" i="60" s="1"/>
  <c r="I110" i="60"/>
  <c r="AC60" i="64"/>
  <c r="AD88" i="60"/>
  <c r="H31" i="60"/>
  <c r="K31" i="60" s="1"/>
  <c r="I31" i="60"/>
  <c r="AC45" i="64"/>
  <c r="L94" i="60"/>
  <c r="P94" i="60"/>
  <c r="L34" i="60"/>
  <c r="T97" i="60"/>
  <c r="P87" i="60"/>
  <c r="U87" i="60" s="1"/>
  <c r="L87" i="60"/>
  <c r="W83" i="60"/>
  <c r="AL97" i="60"/>
  <c r="AL102" i="60" s="1"/>
  <c r="D49" i="74" s="1"/>
  <c r="F16" i="77"/>
  <c r="E16" i="77"/>
  <c r="AL84" i="60"/>
  <c r="K83" i="60"/>
  <c r="BL55" i="64"/>
  <c r="K28" i="69" s="1"/>
  <c r="BE18" i="53"/>
  <c r="BA18" i="53"/>
  <c r="AK76" i="64"/>
  <c r="AC166" i="60"/>
  <c r="D58" i="73" s="1"/>
  <c r="D23" i="77"/>
  <c r="F23" i="77"/>
  <c r="E23" i="77"/>
  <c r="G23" i="77"/>
  <c r="E13" i="77"/>
  <c r="AC52" i="60"/>
  <c r="D45" i="73" s="1"/>
  <c r="G13" i="77"/>
  <c r="D13" i="77"/>
  <c r="F13" i="77"/>
  <c r="BA19" i="55"/>
  <c r="AA14" i="60"/>
  <c r="AD14" i="60" s="1"/>
  <c r="Q14" i="60"/>
  <c r="R14" i="60"/>
  <c r="U14" i="60" s="1"/>
  <c r="AE53" i="64"/>
  <c r="P108" i="60"/>
  <c r="K108" i="60"/>
  <c r="AK50" i="64"/>
  <c r="Z54" i="58"/>
  <c r="L135" i="60"/>
  <c r="BE19" i="47"/>
  <c r="BA19" i="47"/>
  <c r="BA19" i="37"/>
  <c r="AG31" i="64"/>
  <c r="Z84" i="60"/>
  <c r="AB84" i="60" s="1"/>
  <c r="AL31" i="60"/>
  <c r="AH45" i="64"/>
  <c r="F98" i="60"/>
  <c r="AB40" i="64"/>
  <c r="Y98" i="60"/>
  <c r="AD98" i="60" s="1"/>
  <c r="AM98" i="60"/>
  <c r="G98" i="60"/>
  <c r="Y84" i="60"/>
  <c r="AD84" i="60" s="1"/>
  <c r="AF31" i="64"/>
  <c r="X84" i="60"/>
  <c r="K87" i="60"/>
  <c r="AJ60" i="60"/>
  <c r="AM60" i="60" s="1"/>
  <c r="AE12" i="64"/>
  <c r="Q60" i="60"/>
  <c r="AA60" i="60"/>
  <c r="AD60" i="60" s="1"/>
  <c r="BA23" i="43"/>
  <c r="X47" i="58"/>
  <c r="AJ43" i="64" s="1"/>
  <c r="F22" i="69" s="1"/>
  <c r="AF62" i="60"/>
  <c r="AA96" i="58"/>
  <c r="AB96" i="58" s="1"/>
  <c r="AK25" i="64"/>
  <c r="BH23" i="47"/>
  <c r="AH68" i="58" s="1"/>
  <c r="BD23" i="47"/>
  <c r="AE68" i="58" s="1"/>
  <c r="BE16" i="56"/>
  <c r="BA16" i="56"/>
  <c r="BA18" i="56" s="1"/>
  <c r="BH18" i="53"/>
  <c r="AH81" i="58" s="1"/>
  <c r="BD18" i="53"/>
  <c r="AE81" i="58" s="1"/>
  <c r="J157" i="60"/>
  <c r="M157" i="60" s="1"/>
  <c r="L157" i="60"/>
  <c r="L156" i="60"/>
  <c r="J156" i="60"/>
  <c r="M156" i="60" s="1"/>
  <c r="F21" i="75"/>
  <c r="E21" i="75"/>
  <c r="K148" i="60"/>
  <c r="D55" i="62" s="1"/>
  <c r="G21" i="75"/>
  <c r="D21" i="75"/>
  <c r="I164" i="60"/>
  <c r="J164" i="60" s="1"/>
  <c r="M164" i="60" s="1"/>
  <c r="H164" i="60"/>
  <c r="AC84" i="64"/>
  <c r="BA17" i="51"/>
  <c r="BA19" i="51" s="1"/>
  <c r="BE17" i="51"/>
  <c r="M172" i="60"/>
  <c r="AD154" i="60"/>
  <c r="D51" i="77" s="1"/>
  <c r="BA18" i="48"/>
  <c r="H13" i="60"/>
  <c r="R13" i="60"/>
  <c r="U13" i="60" s="1"/>
  <c r="I13" i="60"/>
  <c r="AC52" i="64"/>
  <c r="AJ13" i="60"/>
  <c r="AM13" i="60" s="1"/>
  <c r="E47" i="75"/>
  <c r="L122" i="60"/>
  <c r="E52" i="62" s="1"/>
  <c r="D47" i="75"/>
  <c r="G47" i="75"/>
  <c r="F47" i="75"/>
  <c r="BD18" i="37"/>
  <c r="AE57" i="58" s="1"/>
  <c r="BH18" i="37"/>
  <c r="AH57" i="58" s="1"/>
  <c r="BE20" i="43"/>
  <c r="BA20" i="43"/>
  <c r="AC33" i="60"/>
  <c r="M98" i="60"/>
  <c r="X36" i="58"/>
  <c r="AJ32" i="64" s="1"/>
  <c r="F15" i="69" s="1"/>
  <c r="BA19" i="42"/>
  <c r="BA23" i="42" s="1"/>
  <c r="L97" i="60"/>
  <c r="K67" i="60"/>
  <c r="P67" i="60"/>
  <c r="U67" i="60" s="1"/>
  <c r="Q65" i="60"/>
  <c r="AE16" i="64"/>
  <c r="K84" i="60"/>
  <c r="BE19" i="43"/>
  <c r="BA19" i="43"/>
  <c r="K65" i="60"/>
  <c r="P65" i="60"/>
  <c r="U65" i="60" s="1"/>
  <c r="AD43" i="64"/>
  <c r="O101" i="60"/>
  <c r="P101" i="60" s="1"/>
  <c r="K64" i="60"/>
  <c r="P64" i="60"/>
  <c r="U64" i="60" s="1"/>
  <c r="U94" i="60"/>
  <c r="F80" i="76"/>
  <c r="F12" i="75"/>
  <c r="G12" i="75"/>
  <c r="K44" i="60"/>
  <c r="D44" i="62" s="1"/>
  <c r="E12" i="75"/>
  <c r="D12" i="75"/>
  <c r="E22" i="77"/>
  <c r="D22" i="77"/>
  <c r="AL109" i="60"/>
  <c r="Y171" i="60"/>
  <c r="AD171" i="60" s="1"/>
  <c r="AF86" i="64"/>
  <c r="BL86" i="64" s="1"/>
  <c r="X171" i="60"/>
  <c r="AC171" i="60" s="1"/>
  <c r="AM154" i="60"/>
  <c r="BE17" i="37"/>
  <c r="BA17" i="37"/>
  <c r="BA20" i="37" s="1"/>
  <c r="F32" i="60"/>
  <c r="K32" i="60" s="1"/>
  <c r="G32" i="60"/>
  <c r="L32" i="60" s="1"/>
  <c r="AM32" i="60"/>
  <c r="AB46" i="64"/>
  <c r="Y32" i="60"/>
  <c r="AD32" i="60" s="1"/>
  <c r="P32" i="60"/>
  <c r="U32" i="60" s="1"/>
  <c r="AG61" i="64"/>
  <c r="Z111" i="60"/>
  <c r="AC111" i="60" s="1"/>
  <c r="X48" i="58"/>
  <c r="AJ44" i="64" s="1"/>
  <c r="F23" i="69" s="1"/>
  <c r="BA16" i="44"/>
  <c r="M97" i="60"/>
  <c r="L85" i="60"/>
  <c r="J85" i="60"/>
  <c r="M85" i="60" s="1"/>
  <c r="M89" i="60" s="1"/>
  <c r="F48" i="62" s="1"/>
  <c r="C15" i="62" s="1"/>
  <c r="W82" i="60"/>
  <c r="BG19" i="43"/>
  <c r="BC19" i="43"/>
  <c r="L100" i="60"/>
  <c r="P72" i="60"/>
  <c r="K72" i="60"/>
  <c r="K57" i="60"/>
  <c r="P57" i="60"/>
  <c r="U57" i="60" s="1"/>
  <c r="Z96" i="58"/>
  <c r="AL92" i="64" s="1"/>
  <c r="H46" i="69" s="1"/>
  <c r="F80" i="77"/>
  <c r="K49" i="60"/>
  <c r="D10" i="77"/>
  <c r="F10" i="77"/>
  <c r="E10" i="77"/>
  <c r="AC25" i="60"/>
  <c r="D42" i="73" s="1"/>
  <c r="AD114" i="60"/>
  <c r="S49" i="60"/>
  <c r="V49" i="60" s="1"/>
  <c r="M49" i="60"/>
  <c r="M52" i="60" s="1"/>
  <c r="F45" i="62" s="1"/>
  <c r="C13" i="62" s="1"/>
  <c r="I47" i="69"/>
  <c r="M173" i="60"/>
  <c r="F52" i="63"/>
  <c r="E52" i="63"/>
  <c r="D52" i="63"/>
  <c r="G52" i="63"/>
  <c r="AL174" i="60"/>
  <c r="D59" i="74" s="1"/>
  <c r="L128" i="60"/>
  <c r="AD60" i="64"/>
  <c r="O110" i="60"/>
  <c r="Y110" i="60"/>
  <c r="L147" i="60"/>
  <c r="BB20" i="47"/>
  <c r="AM157" i="60"/>
  <c r="AM30" i="60"/>
  <c r="BA18" i="37"/>
  <c r="AL111" i="60"/>
  <c r="BC20" i="47"/>
  <c r="Y30" i="60"/>
  <c r="AD30" i="60" s="1"/>
  <c r="G30" i="60"/>
  <c r="L30" i="60" s="1"/>
  <c r="P30" i="60"/>
  <c r="U30" i="60" s="1"/>
  <c r="AB44" i="64"/>
  <c r="F30" i="60"/>
  <c r="K30" i="60" s="1"/>
  <c r="AJ84" i="60"/>
  <c r="AM84" i="60" s="1"/>
  <c r="K82" i="60"/>
  <c r="I20" i="69"/>
  <c r="K100" i="60"/>
  <c r="K88" i="60"/>
  <c r="BD19" i="43"/>
  <c r="AE43" i="58" s="1"/>
  <c r="BH19" i="43"/>
  <c r="AH43" i="58" s="1"/>
  <c r="AF86" i="60"/>
  <c r="BH19" i="42"/>
  <c r="AH36" i="58" s="1"/>
  <c r="BD19" i="42"/>
  <c r="AE36" i="58" s="1"/>
  <c r="X17" i="58"/>
  <c r="BA20" i="41"/>
  <c r="AC69" i="60"/>
  <c r="BC23" i="47"/>
  <c r="BG23" i="47"/>
  <c r="K114" i="60"/>
  <c r="E42" i="75"/>
  <c r="G42" i="75"/>
  <c r="D42" i="75"/>
  <c r="F42" i="75"/>
  <c r="L52" i="60"/>
  <c r="E45" i="62" s="1"/>
  <c r="C42" i="74"/>
  <c r="C42" i="72"/>
  <c r="C42" i="62"/>
  <c r="C42" i="73"/>
  <c r="F41" i="75"/>
  <c r="G41" i="75"/>
  <c r="D41" i="75"/>
  <c r="L44" i="60"/>
  <c r="E44" i="62" s="1"/>
  <c r="E41" i="75"/>
  <c r="E24" i="75"/>
  <c r="F24" i="75"/>
  <c r="G24" i="75"/>
  <c r="K174" i="60"/>
  <c r="D59" i="62" s="1"/>
  <c r="D24" i="75"/>
  <c r="P156" i="60"/>
  <c r="U156" i="60" s="1"/>
  <c r="K156" i="60"/>
  <c r="K127" i="60"/>
  <c r="K154" i="60"/>
  <c r="P154" i="60"/>
  <c r="U154" i="60" s="1"/>
  <c r="AC83" i="64"/>
  <c r="H163" i="60"/>
  <c r="K163" i="60" s="1"/>
  <c r="AJ163" i="60"/>
  <c r="AM163" i="60" s="1"/>
  <c r="I163" i="60"/>
  <c r="J163" i="60" s="1"/>
  <c r="M163" i="60" s="1"/>
  <c r="G18" i="77"/>
  <c r="F18" i="77"/>
  <c r="E18" i="77"/>
  <c r="D18" i="77"/>
  <c r="AC122" i="60"/>
  <c r="D52" i="73" s="1"/>
  <c r="BC20" i="44"/>
  <c r="BG20" i="44"/>
  <c r="P120" i="60"/>
  <c r="K120" i="60"/>
  <c r="AE54" i="64"/>
  <c r="AJ15" i="60"/>
  <c r="AM15" i="60" s="1"/>
  <c r="BD20" i="47"/>
  <c r="AE65" i="58" s="1"/>
  <c r="BH20" i="47"/>
  <c r="AH65" i="58" s="1"/>
  <c r="K33" i="60"/>
  <c r="K14" i="60"/>
  <c r="P86" i="60"/>
  <c r="U86" i="60" s="1"/>
  <c r="L86" i="60"/>
  <c r="K71" i="60"/>
  <c r="P71" i="60"/>
  <c r="U71" i="60" s="1"/>
  <c r="AM82" i="60"/>
  <c r="M100" i="60"/>
  <c r="S61" i="60"/>
  <c r="V61" i="60" s="1"/>
  <c r="T61" i="60"/>
  <c r="AG32" i="64"/>
  <c r="Z85" i="60"/>
  <c r="AB85" i="60" s="1"/>
  <c r="AE85" i="60" s="1"/>
  <c r="K68" i="60"/>
  <c r="P68" i="60"/>
  <c r="U68" i="60" s="1"/>
  <c r="K70" i="60"/>
  <c r="P70" i="60"/>
  <c r="U70" i="60" s="1"/>
  <c r="U120" i="60"/>
  <c r="BF17" i="45"/>
  <c r="BG18" i="45"/>
  <c r="BC18" i="45"/>
  <c r="B14" i="59"/>
  <c r="B15" i="59" s="1"/>
  <c r="B16" i="59" s="1"/>
  <c r="B17" i="59" s="1"/>
  <c r="B18" i="59" s="1"/>
  <c r="B19" i="59" s="1"/>
  <c r="B20" i="59" s="1"/>
  <c r="AL50" i="60"/>
  <c r="AF49" i="60"/>
  <c r="AB49" i="60"/>
  <c r="AK49" i="60" s="1"/>
  <c r="AM114" i="60"/>
  <c r="BA19" i="52"/>
  <c r="BA20" i="52" s="1"/>
  <c r="BE19" i="52"/>
  <c r="AD42" i="60"/>
  <c r="AD44" i="60" s="1"/>
  <c r="E44" i="73" s="1"/>
  <c r="AG87" i="64"/>
  <c r="Z172" i="60"/>
  <c r="L144" i="60"/>
  <c r="BA16" i="54"/>
  <c r="BA19" i="54" s="1"/>
  <c r="BE16" i="54"/>
  <c r="L165" i="60"/>
  <c r="G12" i="77"/>
  <c r="F12" i="77"/>
  <c r="D12" i="77"/>
  <c r="AC44" i="60"/>
  <c r="E12" i="77"/>
  <c r="AJ14" i="60"/>
  <c r="AM14" i="60" s="1"/>
  <c r="AC108" i="60"/>
  <c r="P121" i="60"/>
  <c r="U121" i="60" s="1"/>
  <c r="K121" i="60"/>
  <c r="BL47" i="64"/>
  <c r="BE17" i="44"/>
  <c r="BA17" i="44"/>
  <c r="BC16" i="43"/>
  <c r="BG16" i="43"/>
  <c r="AG48" i="64"/>
  <c r="Z34" i="60"/>
  <c r="AC34" i="60" s="1"/>
  <c r="BD18" i="42"/>
  <c r="AE35" i="58" s="1"/>
  <c r="BH18" i="42"/>
  <c r="AH35" i="58" s="1"/>
  <c r="AC36" i="60"/>
  <c r="P88" i="60"/>
  <c r="U88" i="60" s="1"/>
  <c r="L88" i="60"/>
  <c r="P66" i="60"/>
  <c r="U66" i="60" s="1"/>
  <c r="K66" i="60"/>
  <c r="P75" i="60"/>
  <c r="U75" i="60" s="1"/>
  <c r="K75" i="60"/>
  <c r="Y52" i="58"/>
  <c r="BA28" i="41"/>
  <c r="BC28" i="41"/>
  <c r="X25" i="58"/>
  <c r="AJ21" i="64" s="1"/>
  <c r="F12" i="69" s="1"/>
  <c r="AC61" i="60"/>
  <c r="AF75" i="60"/>
  <c r="J72" i="60"/>
  <c r="M72" i="60" s="1"/>
  <c r="L72" i="60"/>
  <c r="AC60" i="60"/>
  <c r="BD16" i="37"/>
  <c r="BH16" i="37"/>
  <c r="AH55" i="58" s="1"/>
  <c r="Y55" i="58"/>
  <c r="AE51" i="64"/>
  <c r="Q12" i="60"/>
  <c r="AA12" i="60"/>
  <c r="R12" i="60"/>
  <c r="AJ12" i="60"/>
  <c r="AM12" i="60" s="1"/>
  <c r="BG16" i="37"/>
  <c r="BC16" i="37"/>
  <c r="AK36" i="60"/>
  <c r="AN36" i="60" s="1"/>
  <c r="T36" i="60"/>
  <c r="AB36" i="60"/>
  <c r="AE36" i="60" s="1"/>
  <c r="S36" i="60"/>
  <c r="V36" i="60" s="1"/>
  <c r="BF22" i="44"/>
  <c r="BB22" i="44"/>
  <c r="BC22" i="44"/>
  <c r="BG22" i="44"/>
  <c r="AB54" i="58"/>
  <c r="BM49" i="64"/>
  <c r="BN49" i="64" s="1"/>
  <c r="BL49" i="64"/>
  <c r="AA53" i="58"/>
  <c r="Z53" i="58"/>
  <c r="AK49" i="64"/>
  <c r="S35" i="60"/>
  <c r="V35" i="60" s="1"/>
  <c r="T35" i="60"/>
  <c r="S34" i="60"/>
  <c r="V34" i="60" s="1"/>
  <c r="T34" i="60"/>
  <c r="AA51" i="58"/>
  <c r="Z51" i="58"/>
  <c r="AK47" i="64"/>
  <c r="BD19" i="44"/>
  <c r="AE51" i="58" s="1"/>
  <c r="BH19" i="44"/>
  <c r="AH51" i="58" s="1"/>
  <c r="T33" i="60"/>
  <c r="S33" i="60"/>
  <c r="V33" i="60" s="1"/>
  <c r="AB33" i="60"/>
  <c r="AE33" i="60" s="1"/>
  <c r="AK33" i="60"/>
  <c r="AN33" i="60" s="1"/>
  <c r="BB18" i="44"/>
  <c r="BF18" i="44"/>
  <c r="BC18" i="44"/>
  <c r="T32" i="60"/>
  <c r="S32" i="60"/>
  <c r="V32" i="60" s="1"/>
  <c r="T31" i="60"/>
  <c r="BD16" i="44"/>
  <c r="AE48" i="58" s="1"/>
  <c r="BH16" i="44"/>
  <c r="AH48" i="58" s="1"/>
  <c r="AI48" i="58" s="1"/>
  <c r="AK44" i="64"/>
  <c r="AK46" i="64"/>
  <c r="Z50" i="58"/>
  <c r="BH18" i="44"/>
  <c r="AH50" i="58" s="1"/>
  <c r="AI50" i="58" s="1"/>
  <c r="BD18" i="44"/>
  <c r="AE50" i="58" s="1"/>
  <c r="AB48" i="58"/>
  <c r="AC32" i="60"/>
  <c r="AK32" i="60"/>
  <c r="AN32" i="60" s="1"/>
  <c r="AB32" i="60"/>
  <c r="AE32" i="60" s="1"/>
  <c r="AB50" i="58"/>
  <c r="BH17" i="44"/>
  <c r="AH49" i="58" s="1"/>
  <c r="BD17" i="44"/>
  <c r="AC31" i="60"/>
  <c r="BH22" i="42"/>
  <c r="AH39" i="58" s="1"/>
  <c r="BD22" i="42"/>
  <c r="AE39" i="58" s="1"/>
  <c r="T88" i="60"/>
  <c r="AK88" i="60"/>
  <c r="AN88" i="60" s="1"/>
  <c r="AB88" i="60"/>
  <c r="AE88" i="60" s="1"/>
  <c r="S88" i="60"/>
  <c r="V88" i="60" s="1"/>
  <c r="AK35" i="64"/>
  <c r="Z39" i="58"/>
  <c r="AA39" i="58"/>
  <c r="BB21" i="42"/>
  <c r="BF21" i="42"/>
  <c r="S87" i="60"/>
  <c r="V87" i="60" s="1"/>
  <c r="T87" i="60"/>
  <c r="BH20" i="42"/>
  <c r="AH37" i="58" s="1"/>
  <c r="BD20" i="42"/>
  <c r="AE37" i="58" s="1"/>
  <c r="AK86" i="60"/>
  <c r="S86" i="60"/>
  <c r="V86" i="60" s="1"/>
  <c r="T86" i="60"/>
  <c r="AB86" i="60"/>
  <c r="AE86" i="60" s="1"/>
  <c r="AA37" i="58"/>
  <c r="AK33" i="64"/>
  <c r="Z37" i="58"/>
  <c r="BL33" i="64"/>
  <c r="BM33" i="64"/>
  <c r="BN33" i="64" s="1"/>
  <c r="S85" i="60"/>
  <c r="V85" i="60" s="1"/>
  <c r="T85" i="60"/>
  <c r="AK32" i="64"/>
  <c r="AA36" i="58"/>
  <c r="BB19" i="42"/>
  <c r="BF19" i="42"/>
  <c r="BF17" i="42"/>
  <c r="BB17" i="42"/>
  <c r="AA34" i="58"/>
  <c r="AK30" i="64"/>
  <c r="Z34" i="58"/>
  <c r="AL30" i="64" s="1"/>
  <c r="AK83" i="60"/>
  <c r="AB83" i="60"/>
  <c r="S83" i="60"/>
  <c r="V83" i="60" s="1"/>
  <c r="BC35" i="41"/>
  <c r="BG35" i="41"/>
  <c r="BD35" i="41"/>
  <c r="AE32" i="58" s="1"/>
  <c r="BH35" i="41"/>
  <c r="AH32" i="58" s="1"/>
  <c r="Z32" i="58"/>
  <c r="AK28" i="64"/>
  <c r="AA32" i="58"/>
  <c r="AK75" i="60"/>
  <c r="S75" i="60"/>
  <c r="V75" i="60" s="1"/>
  <c r="AB75" i="60"/>
  <c r="AE75" i="60" s="1"/>
  <c r="AK27" i="64"/>
  <c r="Z31" i="58"/>
  <c r="AA31" i="58"/>
  <c r="BL27" i="64"/>
  <c r="BM27" i="64"/>
  <c r="BN27" i="64" s="1"/>
  <c r="BL26" i="64"/>
  <c r="BM26" i="64"/>
  <c r="BN26" i="64" s="1"/>
  <c r="M74" i="60"/>
  <c r="S74" i="60"/>
  <c r="V74" i="60" s="1"/>
  <c r="BC33" i="41"/>
  <c r="BF33" i="41"/>
  <c r="BB33" i="41"/>
  <c r="S73" i="60"/>
  <c r="V73" i="60" s="1"/>
  <c r="AB73" i="60"/>
  <c r="AE73" i="60" s="1"/>
  <c r="T73" i="60"/>
  <c r="AK73" i="60"/>
  <c r="AN73" i="60" s="1"/>
  <c r="BF32" i="41"/>
  <c r="BB32" i="41"/>
  <c r="BM25" i="64"/>
  <c r="BN25" i="64" s="1"/>
  <c r="BL25" i="64"/>
  <c r="BH32" i="41"/>
  <c r="AH29" i="58" s="1"/>
  <c r="AI29" i="58" s="1"/>
  <c r="BD32" i="41"/>
  <c r="AE29" i="58" s="1"/>
  <c r="Y28" i="58"/>
  <c r="AE24" i="64"/>
  <c r="AA72" i="60"/>
  <c r="R72" i="60"/>
  <c r="AJ72" i="60"/>
  <c r="AM72" i="60" s="1"/>
  <c r="Q72" i="60"/>
  <c r="AK71" i="60"/>
  <c r="AN71" i="60" s="1"/>
  <c r="T71" i="60"/>
  <c r="AK22" i="64"/>
  <c r="AA26" i="58"/>
  <c r="Z26" i="58"/>
  <c r="S70" i="60"/>
  <c r="V70" i="60" s="1"/>
  <c r="AK70" i="60"/>
  <c r="T70" i="60"/>
  <c r="AB70" i="60"/>
  <c r="AE70" i="60" s="1"/>
  <c r="AA25" i="58"/>
  <c r="AK69" i="60"/>
  <c r="AN69" i="60" s="1"/>
  <c r="S69" i="60"/>
  <c r="V69" i="60" s="1"/>
  <c r="AB69" i="60"/>
  <c r="AE69" i="60" s="1"/>
  <c r="T69" i="60"/>
  <c r="BL21" i="64"/>
  <c r="BM21" i="64"/>
  <c r="BN21" i="64" s="1"/>
  <c r="BC27" i="41"/>
  <c r="BG27" i="41"/>
  <c r="BF26" i="41"/>
  <c r="BB26" i="41"/>
  <c r="BG26" i="41"/>
  <c r="BC26" i="41"/>
  <c r="AK17" i="64"/>
  <c r="AA22" i="58"/>
  <c r="Z22" i="58"/>
  <c r="AB66" i="60"/>
  <c r="T66" i="60"/>
  <c r="S66" i="60"/>
  <c r="V66" i="60" s="1"/>
  <c r="AK66" i="60"/>
  <c r="AA21" i="58"/>
  <c r="BH23" i="41"/>
  <c r="AH20" i="58" s="1"/>
  <c r="BD23" i="41"/>
  <c r="AE20" i="58" s="1"/>
  <c r="BG23" i="41"/>
  <c r="BC23" i="41"/>
  <c r="BB23" i="41"/>
  <c r="BF23" i="41"/>
  <c r="T64" i="60"/>
  <c r="S64" i="60"/>
  <c r="V64" i="60" s="1"/>
  <c r="AK64" i="60"/>
  <c r="AN64" i="60" s="1"/>
  <c r="AB64" i="60"/>
  <c r="AE64" i="60" s="1"/>
  <c r="AK63" i="60"/>
  <c r="AN63" i="60" s="1"/>
  <c r="T63" i="60"/>
  <c r="S63" i="60"/>
  <c r="V63" i="60" s="1"/>
  <c r="AB63" i="60"/>
  <c r="AE63" i="60" s="1"/>
  <c r="AK19" i="64"/>
  <c r="G11" i="69" s="1"/>
  <c r="BL19" i="64"/>
  <c r="K11" i="69" s="1"/>
  <c r="BL14" i="64"/>
  <c r="BM14" i="64"/>
  <c r="BN14" i="64" s="1"/>
  <c r="BD21" i="41"/>
  <c r="AE18" i="58" s="1"/>
  <c r="BH21" i="41"/>
  <c r="AH18" i="58" s="1"/>
  <c r="BG20" i="41"/>
  <c r="BC20" i="41"/>
  <c r="AK11" i="64"/>
  <c r="AA15" i="58"/>
  <c r="AK59" i="60"/>
  <c r="T59" i="60"/>
  <c r="S59" i="60"/>
  <c r="V59" i="60" s="1"/>
  <c r="AB59" i="60"/>
  <c r="AE59" i="60" s="1"/>
  <c r="BC18" i="41"/>
  <c r="BG18" i="41"/>
  <c r="AB58" i="60"/>
  <c r="AE58" i="60" s="1"/>
  <c r="T58" i="60"/>
  <c r="AK58" i="60"/>
  <c r="AN58" i="60" s="1"/>
  <c r="Z14" i="58"/>
  <c r="AK10" i="64"/>
  <c r="AA14" i="58"/>
  <c r="BM9" i="64"/>
  <c r="BN9" i="64" s="1"/>
  <c r="BL9" i="64"/>
  <c r="AK9" i="64"/>
  <c r="AK57" i="60"/>
  <c r="AN57" i="60" s="1"/>
  <c r="S57" i="60"/>
  <c r="V57" i="60" s="1"/>
  <c r="T57" i="60"/>
  <c r="AB57" i="60"/>
  <c r="AE57" i="60" s="1"/>
  <c r="BD16" i="51"/>
  <c r="AE71" i="58" s="1"/>
  <c r="BH16" i="51"/>
  <c r="AH71" i="58" s="1"/>
  <c r="AK68" i="64"/>
  <c r="Z72" i="58"/>
  <c r="BD18" i="51"/>
  <c r="BH18" i="51"/>
  <c r="AH73" i="58" s="1"/>
  <c r="BB18" i="51"/>
  <c r="BB19" i="51" s="1"/>
  <c r="BF18" i="51"/>
  <c r="BB20" i="37"/>
  <c r="AK15" i="60"/>
  <c r="AN15" i="60" s="1"/>
  <c r="BC19" i="37"/>
  <c r="BG19" i="37"/>
  <c r="BG18" i="37"/>
  <c r="BC18" i="37"/>
  <c r="BC17" i="37"/>
  <c r="BG17" i="37"/>
  <c r="AA99" i="58"/>
  <c r="S24" i="60"/>
  <c r="V24" i="60" s="1"/>
  <c r="AB24" i="60"/>
  <c r="AE24" i="60" s="1"/>
  <c r="T24" i="60"/>
  <c r="BF19" i="45"/>
  <c r="BB19" i="45"/>
  <c r="BB20" i="45" s="1"/>
  <c r="BD18" i="45"/>
  <c r="AE98" i="58" s="1"/>
  <c r="BH18" i="45"/>
  <c r="AH98" i="58" s="1"/>
  <c r="AJ23" i="60"/>
  <c r="R23" i="60"/>
  <c r="AE94" i="64"/>
  <c r="Y98" i="58"/>
  <c r="Q23" i="60"/>
  <c r="AA23" i="60"/>
  <c r="AD23" i="60" s="1"/>
  <c r="BD17" i="45"/>
  <c r="BH17" i="45"/>
  <c r="Y97" i="58"/>
  <c r="AK93" i="64" s="1"/>
  <c r="R22" i="60"/>
  <c r="AJ22" i="60"/>
  <c r="AM22" i="60" s="1"/>
  <c r="Q22" i="60"/>
  <c r="AA22" i="60"/>
  <c r="AB21" i="60"/>
  <c r="AE21" i="60" s="1"/>
  <c r="AK21" i="60"/>
  <c r="AN21" i="60" s="1"/>
  <c r="S21" i="60"/>
  <c r="V21" i="60" s="1"/>
  <c r="BL92" i="64"/>
  <c r="K46" i="69" s="1"/>
  <c r="AE96" i="58"/>
  <c r="S43" i="60"/>
  <c r="AB43" i="60"/>
  <c r="AE43" i="60" s="1"/>
  <c r="AK43" i="60"/>
  <c r="AN43" i="60" s="1"/>
  <c r="T43" i="60"/>
  <c r="E12" i="76" s="1"/>
  <c r="AK90" i="64"/>
  <c r="U44" i="60"/>
  <c r="E44" i="72" s="1"/>
  <c r="G12" i="76"/>
  <c r="BN89" i="64"/>
  <c r="BC23" i="43"/>
  <c r="BG23" i="43"/>
  <c r="R101" i="60"/>
  <c r="AE43" i="64"/>
  <c r="AA101" i="60"/>
  <c r="AD101" i="60" s="1"/>
  <c r="AJ101" i="60"/>
  <c r="AM101" i="60" s="1"/>
  <c r="Q101" i="60"/>
  <c r="Y47" i="58"/>
  <c r="BF23" i="43"/>
  <c r="BB23" i="43"/>
  <c r="AB100" i="60"/>
  <c r="AE100" i="60" s="1"/>
  <c r="AK100" i="60"/>
  <c r="AN100" i="60" s="1"/>
  <c r="T100" i="60"/>
  <c r="S100" i="60"/>
  <c r="V100" i="60" s="1"/>
  <c r="Z46" i="58"/>
  <c r="AA46" i="58"/>
  <c r="AK42" i="64"/>
  <c r="T99" i="60"/>
  <c r="S99" i="60"/>
  <c r="V99" i="60" s="1"/>
  <c r="AK99" i="60"/>
  <c r="AB99" i="60"/>
  <c r="AE99" i="60" s="1"/>
  <c r="BH21" i="43"/>
  <c r="AH45" i="58" s="1"/>
  <c r="BD21" i="43"/>
  <c r="AE45" i="58" s="1"/>
  <c r="BF21" i="43"/>
  <c r="BB21" i="43"/>
  <c r="BC21" i="43"/>
  <c r="BG21" i="43"/>
  <c r="AK41" i="64"/>
  <c r="Z45" i="58"/>
  <c r="AA45" i="58"/>
  <c r="BM41" i="64"/>
  <c r="BN41" i="64" s="1"/>
  <c r="BM40" i="64"/>
  <c r="BN40" i="64" s="1"/>
  <c r="J21" i="69"/>
  <c r="S98" i="60"/>
  <c r="V98" i="60" s="1"/>
  <c r="AB98" i="60"/>
  <c r="AE98" i="60" s="1"/>
  <c r="AK98" i="60"/>
  <c r="AA44" i="58"/>
  <c r="Z44" i="58"/>
  <c r="AK40" i="64"/>
  <c r="G21" i="69" s="1"/>
  <c r="BB18" i="43"/>
  <c r="BF18" i="43"/>
  <c r="AA96" i="60"/>
  <c r="AD96" i="60" s="1"/>
  <c r="Y42" i="58"/>
  <c r="R96" i="60"/>
  <c r="U96" i="60" s="1"/>
  <c r="AE38" i="64"/>
  <c r="AJ96" i="60"/>
  <c r="AM96" i="60" s="1"/>
  <c r="Q96" i="60"/>
  <c r="BD18" i="43"/>
  <c r="AE42" i="58" s="1"/>
  <c r="BH18" i="43"/>
  <c r="AH42" i="58" s="1"/>
  <c r="Z40" i="58"/>
  <c r="AK36" i="64"/>
  <c r="G17" i="69" s="1"/>
  <c r="AA40" i="58"/>
  <c r="BL36" i="64"/>
  <c r="K17" i="69" s="1"/>
  <c r="BM36" i="64"/>
  <c r="BN36" i="64" s="1"/>
  <c r="J17" i="69"/>
  <c r="AK94" i="60"/>
  <c r="AN94" i="60" s="1"/>
  <c r="T94" i="60"/>
  <c r="AB94" i="60"/>
  <c r="AE94" i="60" s="1"/>
  <c r="S94" i="60"/>
  <c r="V94" i="60" s="1"/>
  <c r="AB173" i="60"/>
  <c r="AE173" i="60" s="1"/>
  <c r="S173" i="60"/>
  <c r="V173" i="60" s="1"/>
  <c r="AK173" i="60"/>
  <c r="AN173" i="60" s="1"/>
  <c r="T173" i="60"/>
  <c r="E24" i="76" s="1"/>
  <c r="BH18" i="55"/>
  <c r="AH92" i="58" s="1"/>
  <c r="BD18" i="55"/>
  <c r="AE92" i="58" s="1"/>
  <c r="AA172" i="60"/>
  <c r="R172" i="60"/>
  <c r="Y91" i="58"/>
  <c r="AE87" i="64"/>
  <c r="Q172" i="60"/>
  <c r="AJ172" i="60"/>
  <c r="AM172" i="60" s="1"/>
  <c r="BD16" i="55"/>
  <c r="BH16" i="55"/>
  <c r="AH90" i="58" s="1"/>
  <c r="BG16" i="55"/>
  <c r="BC16" i="55"/>
  <c r="BC19" i="55" s="1"/>
  <c r="AA90" i="58"/>
  <c r="Z90" i="58"/>
  <c r="AK86" i="64"/>
  <c r="U174" i="60"/>
  <c r="E59" i="72" s="1"/>
  <c r="F53" i="76"/>
  <c r="E53" i="76"/>
  <c r="BC18" i="54"/>
  <c r="BG18" i="54"/>
  <c r="BH18" i="54"/>
  <c r="AH89" i="58" s="1"/>
  <c r="BD18" i="54"/>
  <c r="AE89" i="58" s="1"/>
  <c r="S165" i="60"/>
  <c r="V165" i="60" s="1"/>
  <c r="AB165" i="60"/>
  <c r="AE165" i="60" s="1"/>
  <c r="T165" i="60"/>
  <c r="BC17" i="54"/>
  <c r="BG17" i="54"/>
  <c r="S164" i="60"/>
  <c r="V164" i="60" s="1"/>
  <c r="T164" i="60"/>
  <c r="AK164" i="60"/>
  <c r="AB164" i="60"/>
  <c r="AK84" i="64"/>
  <c r="Z88" i="58"/>
  <c r="AA88" i="58"/>
  <c r="AE87" i="58"/>
  <c r="BC16" i="54"/>
  <c r="BG16" i="54"/>
  <c r="AB163" i="60"/>
  <c r="AE163" i="60" s="1"/>
  <c r="T163" i="60"/>
  <c r="T166" i="60" s="1"/>
  <c r="BD18" i="46"/>
  <c r="AE95" i="58" s="1"/>
  <c r="BH18" i="46"/>
  <c r="AH95" i="58" s="1"/>
  <c r="BF18" i="46"/>
  <c r="BB18" i="46"/>
  <c r="BC18" i="46"/>
  <c r="BG18" i="46"/>
  <c r="AK51" i="60"/>
  <c r="AN51" i="60" s="1"/>
  <c r="AB51" i="60"/>
  <c r="AE51" i="60" s="1"/>
  <c r="S51" i="60"/>
  <c r="V51" i="60" s="1"/>
  <c r="BL91" i="64"/>
  <c r="K45" i="69" s="1"/>
  <c r="Z95" i="58"/>
  <c r="AK91" i="64"/>
  <c r="G45" i="69" s="1"/>
  <c r="AA95" i="58"/>
  <c r="BD17" i="46"/>
  <c r="BH17" i="46"/>
  <c r="AH60" i="58" s="1"/>
  <c r="BL56" i="64"/>
  <c r="K29" i="69" s="1"/>
  <c r="BM56" i="64"/>
  <c r="BN56" i="64" s="1"/>
  <c r="L29" i="69" s="1"/>
  <c r="AA60" i="58"/>
  <c r="Z60" i="58"/>
  <c r="AK56" i="64"/>
  <c r="G29" i="69" s="1"/>
  <c r="BG17" i="46"/>
  <c r="BC17" i="46"/>
  <c r="E42" i="77"/>
  <c r="BF17" i="46"/>
  <c r="BB17" i="46"/>
  <c r="G42" i="76"/>
  <c r="D42" i="76"/>
  <c r="E42" i="76"/>
  <c r="AB50" i="60"/>
  <c r="T50" i="60"/>
  <c r="AK50" i="60"/>
  <c r="AN50" i="60" s="1"/>
  <c r="S50" i="60"/>
  <c r="T156" i="60"/>
  <c r="S156" i="60"/>
  <c r="V156" i="60" s="1"/>
  <c r="BL78" i="64"/>
  <c r="AK78" i="64"/>
  <c r="AB154" i="60"/>
  <c r="AE154" i="60" s="1"/>
  <c r="S154" i="60"/>
  <c r="V154" i="60" s="1"/>
  <c r="AK154" i="60"/>
  <c r="AN154" i="60" s="1"/>
  <c r="AK153" i="60"/>
  <c r="AN153" i="60" s="1"/>
  <c r="T153" i="60"/>
  <c r="T157" i="60"/>
  <c r="S157" i="60"/>
  <c r="V157" i="60" s="1"/>
  <c r="AK157" i="60"/>
  <c r="AN157" i="60" s="1"/>
  <c r="AB155" i="60"/>
  <c r="AE155" i="60" s="1"/>
  <c r="T155" i="60"/>
  <c r="S155" i="60"/>
  <c r="V155" i="60" s="1"/>
  <c r="AK77" i="64"/>
  <c r="BL76" i="64"/>
  <c r="BN75" i="64"/>
  <c r="BL75" i="64"/>
  <c r="BC19" i="52"/>
  <c r="BG19" i="52"/>
  <c r="AK74" i="64"/>
  <c r="AA78" i="58"/>
  <c r="Z78" i="58"/>
  <c r="BD19" i="52"/>
  <c r="AE78" i="58" s="1"/>
  <c r="BH19" i="52"/>
  <c r="AH78" i="58" s="1"/>
  <c r="BC18" i="52"/>
  <c r="BG18" i="52"/>
  <c r="BB18" i="52"/>
  <c r="BB20" i="52" s="1"/>
  <c r="BF18" i="52"/>
  <c r="BH18" i="52"/>
  <c r="AH77" i="58" s="1"/>
  <c r="BD18" i="52"/>
  <c r="AE77" i="58" s="1"/>
  <c r="AB146" i="60"/>
  <c r="T146" i="60"/>
  <c r="AK146" i="60"/>
  <c r="S146" i="60"/>
  <c r="V146" i="60" s="1"/>
  <c r="Z77" i="58"/>
  <c r="AA77" i="58"/>
  <c r="AK73" i="64"/>
  <c r="AN145" i="60"/>
  <c r="S145" i="60"/>
  <c r="V145" i="60" s="1"/>
  <c r="AB145" i="60"/>
  <c r="AE145" i="60" s="1"/>
  <c r="T145" i="60"/>
  <c r="T144" i="60"/>
  <c r="S144" i="60"/>
  <c r="V144" i="60" s="1"/>
  <c r="AB144" i="60"/>
  <c r="AE144" i="60" s="1"/>
  <c r="AN144" i="60"/>
  <c r="D50" i="76"/>
  <c r="F50" i="76"/>
  <c r="E50" i="76"/>
  <c r="G50" i="76"/>
  <c r="BN71" i="64"/>
  <c r="L38" i="69" s="1"/>
  <c r="AK71" i="64"/>
  <c r="G38" i="69" s="1"/>
  <c r="D47" i="77"/>
  <c r="AK65" i="64"/>
  <c r="D19" i="63"/>
  <c r="F19" i="63"/>
  <c r="AM122" i="60"/>
  <c r="E52" i="74" s="1"/>
  <c r="E19" i="63"/>
  <c r="G19" i="63"/>
  <c r="T120" i="60"/>
  <c r="AB120" i="60"/>
  <c r="AE120" i="60" s="1"/>
  <c r="S120" i="60"/>
  <c r="AK120" i="60"/>
  <c r="AN120" i="60" s="1"/>
  <c r="BF22" i="47"/>
  <c r="BB22" i="47"/>
  <c r="BG22" i="47"/>
  <c r="BC22" i="47"/>
  <c r="T113" i="60"/>
  <c r="Z66" i="58"/>
  <c r="AK62" i="64"/>
  <c r="AB112" i="60"/>
  <c r="AE112" i="60" s="1"/>
  <c r="T112" i="60"/>
  <c r="AK112" i="60"/>
  <c r="AN112" i="60" s="1"/>
  <c r="S112" i="60"/>
  <c r="V112" i="60" s="1"/>
  <c r="BG21" i="47"/>
  <c r="BC21" i="47"/>
  <c r="T111" i="60"/>
  <c r="S111" i="60"/>
  <c r="V111" i="60" s="1"/>
  <c r="Z65" i="58"/>
  <c r="Z64" i="58"/>
  <c r="T109" i="60"/>
  <c r="AK109" i="60"/>
  <c r="AB109" i="60"/>
  <c r="AE109" i="60" s="1"/>
  <c r="AI63" i="58"/>
  <c r="S108" i="60"/>
  <c r="V108" i="60" s="1"/>
  <c r="T108" i="60"/>
  <c r="T107" i="60"/>
  <c r="S107" i="60"/>
  <c r="V107" i="60" s="1"/>
  <c r="BN69" i="64"/>
  <c r="BL69" i="64"/>
  <c r="AB128" i="60"/>
  <c r="AE128" i="60" s="1"/>
  <c r="T128" i="60"/>
  <c r="S128" i="60"/>
  <c r="V128" i="60" s="1"/>
  <c r="AK128" i="60"/>
  <c r="AN128" i="60" s="1"/>
  <c r="BC16" i="51"/>
  <c r="BC19" i="51" s="1"/>
  <c r="BG16" i="51"/>
  <c r="S138" i="60"/>
  <c r="V138" i="60" s="1"/>
  <c r="AB138" i="60"/>
  <c r="AE138" i="60" s="1"/>
  <c r="AN138" i="60"/>
  <c r="S137" i="60"/>
  <c r="V137" i="60" s="1"/>
  <c r="AB137" i="60"/>
  <c r="AE137" i="60" s="1"/>
  <c r="AN137" i="60"/>
  <c r="AB135" i="60"/>
  <c r="S135" i="60"/>
  <c r="V135" i="60" s="1"/>
  <c r="AK135" i="60"/>
  <c r="F49" i="76"/>
  <c r="AK70" i="64"/>
  <c r="G37" i="69" s="1"/>
  <c r="Z74" i="58"/>
  <c r="AN146" i="60" l="1"/>
  <c r="AE50" i="60"/>
  <c r="AB157" i="60"/>
  <c r="AE157" i="60" s="1"/>
  <c r="AB95" i="60"/>
  <c r="AE95" i="60" s="1"/>
  <c r="S121" i="60"/>
  <c r="V121" i="60" s="1"/>
  <c r="AK155" i="60"/>
  <c r="AN155" i="60" s="1"/>
  <c r="AN158" i="60" s="1"/>
  <c r="F56" i="74" s="1"/>
  <c r="C22" i="74" s="1"/>
  <c r="M158" i="60"/>
  <c r="F56" i="62" s="1"/>
  <c r="C22" i="62" s="1"/>
  <c r="AN86" i="60"/>
  <c r="AN109" i="60"/>
  <c r="AN66" i="60"/>
  <c r="AN59" i="60"/>
  <c r="AE146" i="60"/>
  <c r="AE148" i="60" s="1"/>
  <c r="F55" i="73" s="1"/>
  <c r="C21" i="73" s="1"/>
  <c r="AE164" i="60"/>
  <c r="AE166" i="60" s="1"/>
  <c r="F58" i="73" s="1"/>
  <c r="AN135" i="60"/>
  <c r="AN139" i="60" s="1"/>
  <c r="F54" i="74" s="1"/>
  <c r="C20" i="74" s="1"/>
  <c r="AE84" i="60"/>
  <c r="AN164" i="60"/>
  <c r="AN75" i="60"/>
  <c r="AN95" i="60"/>
  <c r="AN70" i="60"/>
  <c r="AE66" i="60"/>
  <c r="AK156" i="60"/>
  <c r="AN156" i="60" s="1"/>
  <c r="AN49" i="60"/>
  <c r="AN52" i="60" s="1"/>
  <c r="F45" i="74" s="1"/>
  <c r="C13" i="74" s="1"/>
  <c r="M166" i="60"/>
  <c r="F58" i="62" s="1"/>
  <c r="C23" i="62" s="1"/>
  <c r="AE135" i="60"/>
  <c r="AE139" i="60" s="1"/>
  <c r="F54" i="73" s="1"/>
  <c r="C20" i="73" s="1"/>
  <c r="V158" i="60"/>
  <c r="F56" i="72" s="1"/>
  <c r="C22" i="72" s="1"/>
  <c r="D22" i="63"/>
  <c r="E48" i="76"/>
  <c r="D48" i="76"/>
  <c r="AL25" i="60"/>
  <c r="D42" i="74" s="1"/>
  <c r="F22" i="63"/>
  <c r="E22" i="63"/>
  <c r="H22" i="63" s="1"/>
  <c r="AM148" i="60"/>
  <c r="E55" i="74" s="1"/>
  <c r="D47" i="63"/>
  <c r="F47" i="63"/>
  <c r="E47" i="63"/>
  <c r="G47" i="63"/>
  <c r="H47" i="63" s="1"/>
  <c r="BD18" i="48"/>
  <c r="AF92" i="58"/>
  <c r="AI92" i="58"/>
  <c r="Z18" i="58"/>
  <c r="AF15" i="58"/>
  <c r="H40" i="63"/>
  <c r="Z58" i="58"/>
  <c r="F49" i="63"/>
  <c r="D13" i="63"/>
  <c r="G13" i="63"/>
  <c r="AN42" i="60"/>
  <c r="AN44" i="60" s="1"/>
  <c r="F44" i="74" s="1"/>
  <c r="C12" i="74" s="1"/>
  <c r="F13" i="63"/>
  <c r="H13" i="63" s="1"/>
  <c r="G48" i="63"/>
  <c r="AL139" i="60"/>
  <c r="D54" i="74" s="1"/>
  <c r="F48" i="63"/>
  <c r="D14" i="63"/>
  <c r="Z89" i="58"/>
  <c r="AL85" i="64" s="1"/>
  <c r="Z87" i="58"/>
  <c r="AL83" i="64" s="1"/>
  <c r="AA87" i="58"/>
  <c r="AB87" i="58" s="1"/>
  <c r="I15" i="69"/>
  <c r="BM32" i="64"/>
  <c r="BN32" i="64" s="1"/>
  <c r="BL32" i="64"/>
  <c r="BM34" i="64"/>
  <c r="BN34" i="64" s="1"/>
  <c r="L16" i="69" s="1"/>
  <c r="BL34" i="64"/>
  <c r="J16" i="69"/>
  <c r="BL29" i="64"/>
  <c r="I14" i="69"/>
  <c r="AK57" i="64"/>
  <c r="G30" i="69" s="1"/>
  <c r="AF61" i="58"/>
  <c r="AL72" i="64"/>
  <c r="H39" i="69" s="1"/>
  <c r="AD122" i="60"/>
  <c r="E52" i="73" s="1"/>
  <c r="AB35" i="60"/>
  <c r="AE35" i="60" s="1"/>
  <c r="J26" i="69"/>
  <c r="E52" i="76"/>
  <c r="AB15" i="60"/>
  <c r="AE15" i="60" s="1"/>
  <c r="F41" i="76"/>
  <c r="S31" i="60"/>
  <c r="V31" i="60" s="1"/>
  <c r="V37" i="60" s="1"/>
  <c r="F43" i="72" s="1"/>
  <c r="C11" i="72" s="1"/>
  <c r="F53" i="75"/>
  <c r="H53" i="75" s="1"/>
  <c r="BM94" i="64"/>
  <c r="BN94" i="64" s="1"/>
  <c r="AY87" i="60"/>
  <c r="D53" i="75"/>
  <c r="M102" i="60"/>
  <c r="F49" i="62" s="1"/>
  <c r="C16" i="62" s="1"/>
  <c r="AL66" i="64"/>
  <c r="AB70" i="58"/>
  <c r="S127" i="60"/>
  <c r="V127" i="60" s="1"/>
  <c r="V130" i="60" s="1"/>
  <c r="F53" i="72" s="1"/>
  <c r="C19" i="72" s="1"/>
  <c r="Z67" i="58"/>
  <c r="AL63" i="64" s="1"/>
  <c r="U52" i="60"/>
  <c r="E45" i="72" s="1"/>
  <c r="BM91" i="64"/>
  <c r="BN91" i="64" s="1"/>
  <c r="BO91" i="64" s="1"/>
  <c r="AK14" i="64"/>
  <c r="Z20" i="58"/>
  <c r="AL15" i="64" s="1"/>
  <c r="BL17" i="64"/>
  <c r="AK67" i="60"/>
  <c r="AK84" i="60"/>
  <c r="AN84" i="60" s="1"/>
  <c r="K139" i="60"/>
  <c r="D54" i="62" s="1"/>
  <c r="G53" i="75"/>
  <c r="G52" i="76"/>
  <c r="AK66" i="64"/>
  <c r="G35" i="69" s="1"/>
  <c r="AB93" i="58"/>
  <c r="AK89" i="64"/>
  <c r="G44" i="69" s="1"/>
  <c r="F47" i="77"/>
  <c r="K35" i="60"/>
  <c r="E11" i="75" s="1"/>
  <c r="BL22" i="64"/>
  <c r="G49" i="76"/>
  <c r="S15" i="60"/>
  <c r="V15" i="60" s="1"/>
  <c r="D49" i="76"/>
  <c r="H49" i="76" s="1"/>
  <c r="AK72" i="64"/>
  <c r="G39" i="69" s="1"/>
  <c r="AA89" i="58"/>
  <c r="AI89" i="58" s="1"/>
  <c r="L174" i="60"/>
  <c r="E59" i="62" s="1"/>
  <c r="BM31" i="64"/>
  <c r="BN31" i="64" s="1"/>
  <c r="AB127" i="60"/>
  <c r="AE127" i="60" s="1"/>
  <c r="AE130" i="60" s="1"/>
  <c r="F53" i="73" s="1"/>
  <c r="C19" i="73" s="1"/>
  <c r="BL84" i="64"/>
  <c r="AF81" i="58"/>
  <c r="AI81" i="58"/>
  <c r="AB111" i="60"/>
  <c r="AE111" i="60" s="1"/>
  <c r="BL71" i="64"/>
  <c r="K38" i="69" s="1"/>
  <c r="G50" i="77"/>
  <c r="BL95" i="64"/>
  <c r="K48" i="69" s="1"/>
  <c r="F48" i="76"/>
  <c r="AL11" i="64"/>
  <c r="AK62" i="60"/>
  <c r="AN62" i="60" s="1"/>
  <c r="U72" i="60"/>
  <c r="AB31" i="60"/>
  <c r="AE31" i="60" s="1"/>
  <c r="G20" i="75"/>
  <c r="AD110" i="60"/>
  <c r="H21" i="75"/>
  <c r="AZ96" i="60"/>
  <c r="AZ68" i="60"/>
  <c r="AL75" i="64"/>
  <c r="AM52" i="60"/>
  <c r="D52" i="76"/>
  <c r="J35" i="69"/>
  <c r="F14" i="63"/>
  <c r="BL66" i="64"/>
  <c r="U23" i="60"/>
  <c r="BM46" i="64"/>
  <c r="BN46" i="64" s="1"/>
  <c r="L101" i="60"/>
  <c r="AZ70" i="60"/>
  <c r="J25" i="69"/>
  <c r="T127" i="60"/>
  <c r="G19" i="76" s="1"/>
  <c r="S84" i="60"/>
  <c r="V84" i="60" s="1"/>
  <c r="V89" i="60" s="1"/>
  <c r="F48" i="72" s="1"/>
  <c r="C15" i="72" s="1"/>
  <c r="J44" i="69"/>
  <c r="AY85" i="60"/>
  <c r="V139" i="60"/>
  <c r="F54" i="72" s="1"/>
  <c r="C20" i="72" s="1"/>
  <c r="D50" i="77"/>
  <c r="H50" i="77" s="1"/>
  <c r="U166" i="60"/>
  <c r="E58" i="72" s="1"/>
  <c r="T62" i="60"/>
  <c r="Z24" i="58"/>
  <c r="AD72" i="60"/>
  <c r="E20" i="75"/>
  <c r="H20" i="75" s="1"/>
  <c r="J27" i="69"/>
  <c r="G41" i="76"/>
  <c r="Z59" i="58"/>
  <c r="H14" i="69"/>
  <c r="AK58" i="64"/>
  <c r="G31" i="69" s="1"/>
  <c r="AL58" i="64"/>
  <c r="H31" i="69" s="1"/>
  <c r="AZ62" i="60"/>
  <c r="AL78" i="64"/>
  <c r="AI82" i="58"/>
  <c r="J42" i="69"/>
  <c r="L64" i="60"/>
  <c r="F43" i="75" s="1"/>
  <c r="M77" i="60"/>
  <c r="F47" i="62" s="1"/>
  <c r="F22" i="77"/>
  <c r="H22" i="77" s="1"/>
  <c r="F48" i="77"/>
  <c r="U113" i="60"/>
  <c r="AM23" i="60"/>
  <c r="AA20" i="58"/>
  <c r="AB20" i="58" s="1"/>
  <c r="S67" i="60"/>
  <c r="V67" i="60" s="1"/>
  <c r="BL37" i="64"/>
  <c r="K18" i="69" s="1"/>
  <c r="E45" i="74"/>
  <c r="D53" i="76"/>
  <c r="H53" i="76" s="1"/>
  <c r="AK54" i="64"/>
  <c r="G27" i="69" s="1"/>
  <c r="S62" i="60"/>
  <c r="V62" i="60" s="1"/>
  <c r="AK20" i="64"/>
  <c r="AK31" i="60"/>
  <c r="AN31" i="60" s="1"/>
  <c r="Z48" i="58"/>
  <c r="AL44" i="64" s="1"/>
  <c r="AC85" i="60"/>
  <c r="G22" i="77"/>
  <c r="AC102" i="60"/>
  <c r="D49" i="73" s="1"/>
  <c r="L25" i="60"/>
  <c r="E42" i="62" s="1"/>
  <c r="G48" i="76"/>
  <c r="D19" i="77"/>
  <c r="H19" i="77" s="1"/>
  <c r="AD76" i="60"/>
  <c r="G43" i="77" s="1"/>
  <c r="AZ76" i="60"/>
  <c r="F38" i="63"/>
  <c r="J36" i="69"/>
  <c r="I42" i="69"/>
  <c r="BL80" i="64"/>
  <c r="E41" i="76"/>
  <c r="AL79" i="64"/>
  <c r="AI83" i="58"/>
  <c r="J13" i="69"/>
  <c r="E14" i="63"/>
  <c r="I40" i="69"/>
  <c r="Z21" i="58"/>
  <c r="AL16" i="64" s="1"/>
  <c r="BM85" i="64"/>
  <c r="BN85" i="64" s="1"/>
  <c r="D20" i="75"/>
  <c r="AY84" i="60"/>
  <c r="F50" i="77"/>
  <c r="AK39" i="64"/>
  <c r="G20" i="69" s="1"/>
  <c r="I22" i="69"/>
  <c r="G47" i="77"/>
  <c r="E50" i="77"/>
  <c r="AK165" i="60"/>
  <c r="AN165" i="60" s="1"/>
  <c r="Z36" i="58"/>
  <c r="AF36" i="58" s="1"/>
  <c r="J24" i="69"/>
  <c r="I21" i="69"/>
  <c r="D16" i="77"/>
  <c r="H16" i="77" s="1"/>
  <c r="D39" i="75"/>
  <c r="H39" i="75" s="1"/>
  <c r="I13" i="69"/>
  <c r="L35" i="60"/>
  <c r="AL76" i="64"/>
  <c r="AB80" i="58"/>
  <c r="AY74" i="60"/>
  <c r="BL82" i="64"/>
  <c r="F42" i="63"/>
  <c r="K113" i="60"/>
  <c r="AK63" i="64"/>
  <c r="AB113" i="60"/>
  <c r="AE113" i="60" s="1"/>
  <c r="AK113" i="60"/>
  <c r="AN113" i="60" s="1"/>
  <c r="AB65" i="58"/>
  <c r="BN57" i="64"/>
  <c r="L30" i="69" s="1"/>
  <c r="T110" i="60"/>
  <c r="G17" i="76" s="1"/>
  <c r="L113" i="60"/>
  <c r="AY111" i="60"/>
  <c r="BL60" i="64"/>
  <c r="AF108" i="60"/>
  <c r="AE108" i="60"/>
  <c r="AF107" i="60"/>
  <c r="AK108" i="60"/>
  <c r="BL57" i="64"/>
  <c r="K30" i="69" s="1"/>
  <c r="BL64" i="64"/>
  <c r="K34" i="69" s="1"/>
  <c r="I33" i="69"/>
  <c r="AB107" i="60"/>
  <c r="AE107" i="60" s="1"/>
  <c r="BB24" i="47"/>
  <c r="AK107" i="60"/>
  <c r="AK110" i="60"/>
  <c r="AN110" i="60" s="1"/>
  <c r="K115" i="60"/>
  <c r="D51" i="62" s="1"/>
  <c r="AI61" i="58"/>
  <c r="E45" i="63"/>
  <c r="BM64" i="64"/>
  <c r="BN64" i="64" s="1"/>
  <c r="L34" i="69" s="1"/>
  <c r="AB110" i="60"/>
  <c r="AE110" i="60" s="1"/>
  <c r="AB62" i="58"/>
  <c r="S110" i="60"/>
  <c r="V110" i="60" s="1"/>
  <c r="V115" i="60" s="1"/>
  <c r="F51" i="72" s="1"/>
  <c r="C17" i="72" s="1"/>
  <c r="AL89" i="60"/>
  <c r="D48" i="74" s="1"/>
  <c r="F50" i="63"/>
  <c r="E50" i="63"/>
  <c r="G50" i="63"/>
  <c r="D50" i="63"/>
  <c r="Z49" i="58"/>
  <c r="AL45" i="64" s="1"/>
  <c r="AK95" i="64"/>
  <c r="G48" i="69" s="1"/>
  <c r="E38" i="63"/>
  <c r="G38" i="63"/>
  <c r="D38" i="63"/>
  <c r="AL16" i="60"/>
  <c r="D41" i="74" s="1"/>
  <c r="E37" i="63"/>
  <c r="G37" i="63"/>
  <c r="AK52" i="64"/>
  <c r="G25" i="69" s="1"/>
  <c r="D25" i="63"/>
  <c r="AL148" i="60"/>
  <c r="D55" i="74" s="1"/>
  <c r="D49" i="63"/>
  <c r="E49" i="63"/>
  <c r="G49" i="63"/>
  <c r="F21" i="63"/>
  <c r="G21" i="63"/>
  <c r="E48" i="63"/>
  <c r="AM139" i="60"/>
  <c r="E54" i="74" s="1"/>
  <c r="E21" i="63"/>
  <c r="D21" i="63"/>
  <c r="Z38" i="58"/>
  <c r="AA38" i="58"/>
  <c r="AI38" i="58" s="1"/>
  <c r="AF30" i="58"/>
  <c r="AK26" i="64"/>
  <c r="G13" i="69" s="1"/>
  <c r="AA30" i="58"/>
  <c r="AB30" i="58" s="1"/>
  <c r="AI17" i="58"/>
  <c r="E42" i="63"/>
  <c r="AL77" i="60"/>
  <c r="D47" i="74" s="1"/>
  <c r="D42" i="63"/>
  <c r="G44" i="63"/>
  <c r="E44" i="63"/>
  <c r="D44" i="63"/>
  <c r="F44" i="63"/>
  <c r="AI49" i="58"/>
  <c r="BD20" i="45"/>
  <c r="AI96" i="58"/>
  <c r="AF57" i="58"/>
  <c r="AA56" i="58"/>
  <c r="AB56" i="58" s="1"/>
  <c r="BL15" i="64"/>
  <c r="BM15" i="64"/>
  <c r="BN15" i="64" s="1"/>
  <c r="BL10" i="64"/>
  <c r="BM10" i="64"/>
  <c r="BN10" i="64" s="1"/>
  <c r="E44" i="75"/>
  <c r="V120" i="60"/>
  <c r="V122" i="60" s="1"/>
  <c r="F52" i="72" s="1"/>
  <c r="C18" i="72" s="1"/>
  <c r="AK163" i="60"/>
  <c r="AN163" i="60" s="1"/>
  <c r="F12" i="76"/>
  <c r="M174" i="60"/>
  <c r="F59" i="62" s="1"/>
  <c r="C24" i="62" s="1"/>
  <c r="BA24" i="47"/>
  <c r="AF121" i="60"/>
  <c r="AB121" i="60"/>
  <c r="AE121" i="60" s="1"/>
  <c r="J111" i="60"/>
  <c r="M111" i="60" s="1"/>
  <c r="L111" i="60"/>
  <c r="S163" i="60"/>
  <c r="V163" i="60" s="1"/>
  <c r="V166" i="60" s="1"/>
  <c r="F58" i="72" s="1"/>
  <c r="C23" i="72" s="1"/>
  <c r="D12" i="76"/>
  <c r="H12" i="76" s="1"/>
  <c r="F11" i="63"/>
  <c r="E17" i="75"/>
  <c r="H42" i="75"/>
  <c r="AF34" i="58"/>
  <c r="BL85" i="64"/>
  <c r="AE82" i="60"/>
  <c r="L58" i="60"/>
  <c r="V50" i="60"/>
  <c r="V52" i="60" s="1"/>
  <c r="F45" i="72" s="1"/>
  <c r="C13" i="72" s="1"/>
  <c r="K58" i="60"/>
  <c r="F14" i="75" s="1"/>
  <c r="P58" i="60"/>
  <c r="U58" i="60" s="1"/>
  <c r="E43" i="76" s="1"/>
  <c r="AE49" i="60"/>
  <c r="AE52" i="60" s="1"/>
  <c r="F45" i="73" s="1"/>
  <c r="C13" i="73" s="1"/>
  <c r="V43" i="60"/>
  <c r="V44" i="60" s="1"/>
  <c r="F44" i="72" s="1"/>
  <c r="C12" i="72" s="1"/>
  <c r="E33" i="72"/>
  <c r="BA36" i="41"/>
  <c r="L89" i="60"/>
  <c r="E48" i="62" s="1"/>
  <c r="F51" i="75"/>
  <c r="V148" i="60"/>
  <c r="F55" i="72" s="1"/>
  <c r="C21" i="72" s="1"/>
  <c r="U101" i="60"/>
  <c r="F17" i="75"/>
  <c r="H52" i="63"/>
  <c r="BA24" i="43"/>
  <c r="AB156" i="60"/>
  <c r="AE156" i="60" s="1"/>
  <c r="AE158" i="60" s="1"/>
  <c r="F56" i="73" s="1"/>
  <c r="C22" i="73" s="1"/>
  <c r="AE83" i="60"/>
  <c r="T76" i="60"/>
  <c r="P76" i="60"/>
  <c r="U76" i="60" s="1"/>
  <c r="U108" i="60"/>
  <c r="F46" i="76" s="1"/>
  <c r="AZ108" i="60"/>
  <c r="AK74" i="60"/>
  <c r="AN74" i="60" s="1"/>
  <c r="AB74" i="60"/>
  <c r="AE74" i="60" s="1"/>
  <c r="AF27" i="58"/>
  <c r="AK12" i="64"/>
  <c r="Z16" i="58"/>
  <c r="AL12" i="64" s="1"/>
  <c r="AK111" i="60"/>
  <c r="AN111" i="60" s="1"/>
  <c r="G17" i="77"/>
  <c r="E51" i="77"/>
  <c r="G51" i="77"/>
  <c r="AL37" i="64"/>
  <c r="H18" i="69" s="1"/>
  <c r="AB87" i="60"/>
  <c r="AE87" i="60" s="1"/>
  <c r="AK87" i="60"/>
  <c r="AN87" i="60" s="1"/>
  <c r="G14" i="69"/>
  <c r="AE44" i="60"/>
  <c r="F44" i="73" s="1"/>
  <c r="C12" i="73" s="1"/>
  <c r="M21" i="60"/>
  <c r="M25" i="60" s="1"/>
  <c r="F42" i="62" s="1"/>
  <c r="AD166" i="60"/>
  <c r="E58" i="73" s="1"/>
  <c r="D23" i="63"/>
  <c r="Z73" i="58"/>
  <c r="AL69" i="64" s="1"/>
  <c r="AK69" i="64"/>
  <c r="G36" i="69" s="1"/>
  <c r="D48" i="77"/>
  <c r="G48" i="77"/>
  <c r="E48" i="77"/>
  <c r="AD130" i="60"/>
  <c r="E53" i="73" s="1"/>
  <c r="BC24" i="47"/>
  <c r="D17" i="63"/>
  <c r="AI41" i="58"/>
  <c r="F44" i="77"/>
  <c r="AF33" i="58"/>
  <c r="AA23" i="58"/>
  <c r="AI23" i="58" s="1"/>
  <c r="BC20" i="45"/>
  <c r="E52" i="77"/>
  <c r="G52" i="77"/>
  <c r="D52" i="77"/>
  <c r="F52" i="77"/>
  <c r="H13" i="77"/>
  <c r="E20" i="63"/>
  <c r="AM130" i="60"/>
  <c r="E53" i="74" s="1"/>
  <c r="AB71" i="58"/>
  <c r="Z71" i="58"/>
  <c r="AL67" i="64" s="1"/>
  <c r="AI70" i="58"/>
  <c r="AF70" i="58"/>
  <c r="AI68" i="58"/>
  <c r="AK85" i="60"/>
  <c r="AN85" i="60" s="1"/>
  <c r="AA35" i="58"/>
  <c r="AB35" i="58" s="1"/>
  <c r="AK31" i="64"/>
  <c r="G15" i="69" s="1"/>
  <c r="AC84" i="60"/>
  <c r="AC89" i="60" s="1"/>
  <c r="D48" i="73" s="1"/>
  <c r="AL23" i="64"/>
  <c r="E14" i="77"/>
  <c r="AK34" i="60"/>
  <c r="AN34" i="60" s="1"/>
  <c r="G11" i="77"/>
  <c r="AM37" i="60"/>
  <c r="E43" i="74" s="1"/>
  <c r="D11" i="77"/>
  <c r="E12" i="63"/>
  <c r="AI57" i="58"/>
  <c r="BD23" i="42"/>
  <c r="K14" i="69"/>
  <c r="J47" i="69"/>
  <c r="BL77" i="64"/>
  <c r="K41" i="69" s="1"/>
  <c r="J22" i="69"/>
  <c r="I44" i="69"/>
  <c r="BN59" i="64"/>
  <c r="L32" i="69" s="1"/>
  <c r="BN72" i="64"/>
  <c r="L39" i="69" s="1"/>
  <c r="BN65" i="64"/>
  <c r="BL65" i="64"/>
  <c r="BL11" i="64"/>
  <c r="J23" i="69"/>
  <c r="I16" i="69"/>
  <c r="BN70" i="64"/>
  <c r="BM42" i="64"/>
  <c r="BN42" i="64" s="1"/>
  <c r="BL70" i="64"/>
  <c r="K37" i="69" s="1"/>
  <c r="BO29" i="64"/>
  <c r="D14" i="67" s="1"/>
  <c r="BL88" i="64"/>
  <c r="BL72" i="64"/>
  <c r="K39" i="69" s="1"/>
  <c r="BL13" i="64"/>
  <c r="BN68" i="64"/>
  <c r="K16" i="69"/>
  <c r="BL44" i="64"/>
  <c r="I23" i="69"/>
  <c r="BN58" i="64"/>
  <c r="L31" i="69" s="1"/>
  <c r="BL58" i="64"/>
  <c r="K31" i="69" s="1"/>
  <c r="BL40" i="64"/>
  <c r="K21" i="69" s="1"/>
  <c r="BM19" i="64"/>
  <c r="BN19" i="64" s="1"/>
  <c r="L11" i="69" s="1"/>
  <c r="BL59" i="64"/>
  <c r="K32" i="69" s="1"/>
  <c r="I43" i="69"/>
  <c r="BN77" i="64"/>
  <c r="L41" i="69" s="1"/>
  <c r="AF29" i="58"/>
  <c r="F15" i="63"/>
  <c r="T68" i="60"/>
  <c r="S68" i="60"/>
  <c r="V68" i="60" s="1"/>
  <c r="AB68" i="60"/>
  <c r="AE68" i="60" s="1"/>
  <c r="AK68" i="60"/>
  <c r="AN68" i="60" s="1"/>
  <c r="BL20" i="64"/>
  <c r="BM20" i="64"/>
  <c r="BN20" i="64" s="1"/>
  <c r="J10" i="69"/>
  <c r="AM77" i="60"/>
  <c r="E47" i="74" s="1"/>
  <c r="F43" i="77"/>
  <c r="E43" i="77"/>
  <c r="AI16" i="58"/>
  <c r="D15" i="63"/>
  <c r="L40" i="69"/>
  <c r="K40" i="69"/>
  <c r="BC20" i="52"/>
  <c r="D24" i="76"/>
  <c r="G24" i="76"/>
  <c r="T174" i="60"/>
  <c r="D59" i="72" s="1"/>
  <c r="F24" i="76"/>
  <c r="H24" i="76" s="1"/>
  <c r="G25" i="63"/>
  <c r="AM174" i="60"/>
  <c r="E59" i="74" s="1"/>
  <c r="BM84" i="64"/>
  <c r="BN84" i="64" s="1"/>
  <c r="J43" i="69"/>
  <c r="H52" i="76"/>
  <c r="AF87" i="58"/>
  <c r="H42" i="77"/>
  <c r="G23" i="63"/>
  <c r="F23" i="63"/>
  <c r="E23" i="63"/>
  <c r="AM158" i="60"/>
  <c r="E56" i="74" s="1"/>
  <c r="BD21" i="53"/>
  <c r="F51" i="77"/>
  <c r="G41" i="69"/>
  <c r="AD158" i="60"/>
  <c r="E56" i="73" s="1"/>
  <c r="G20" i="63"/>
  <c r="F20" i="63"/>
  <c r="D18" i="63"/>
  <c r="AM115" i="60"/>
  <c r="E51" i="74" s="1"/>
  <c r="E18" i="63"/>
  <c r="BL63" i="64"/>
  <c r="BL61" i="64"/>
  <c r="BD24" i="47"/>
  <c r="AF63" i="58"/>
  <c r="F17" i="63"/>
  <c r="BO40" i="64"/>
  <c r="D19" i="67" s="1"/>
  <c r="L21" i="69"/>
  <c r="BO36" i="64"/>
  <c r="D17" i="67" s="1"/>
  <c r="L17" i="69"/>
  <c r="D44" i="77"/>
  <c r="E44" i="77"/>
  <c r="G16" i="63"/>
  <c r="AD89" i="60"/>
  <c r="E48" i="73" s="1"/>
  <c r="L14" i="69"/>
  <c r="D16" i="63"/>
  <c r="E16" i="63"/>
  <c r="AM89" i="60"/>
  <c r="E48" i="74" s="1"/>
  <c r="K44" i="69"/>
  <c r="L44" i="69"/>
  <c r="F41" i="77"/>
  <c r="H41" i="76"/>
  <c r="E41" i="77"/>
  <c r="BL45" i="64"/>
  <c r="BM45" i="64"/>
  <c r="BN45" i="64" s="1"/>
  <c r="D12" i="63"/>
  <c r="F12" i="63"/>
  <c r="BO95" i="64"/>
  <c r="M48" i="69" s="1"/>
  <c r="L48" i="69"/>
  <c r="E11" i="63"/>
  <c r="AF96" i="58"/>
  <c r="M46" i="69"/>
  <c r="L46" i="69"/>
  <c r="D40" i="76"/>
  <c r="U37" i="60"/>
  <c r="E43" i="72" s="1"/>
  <c r="E40" i="76"/>
  <c r="F40" i="76"/>
  <c r="G40" i="76"/>
  <c r="G53" i="77"/>
  <c r="F53" i="77"/>
  <c r="D53" i="77"/>
  <c r="E53" i="77"/>
  <c r="AD174" i="60"/>
  <c r="E59" i="73" s="1"/>
  <c r="F23" i="75"/>
  <c r="E23" i="75"/>
  <c r="D23" i="75"/>
  <c r="K166" i="60"/>
  <c r="D58" i="62" s="1"/>
  <c r="G23" i="75"/>
  <c r="D49" i="77"/>
  <c r="G49" i="77"/>
  <c r="AD139" i="60"/>
  <c r="E54" i="73" s="1"/>
  <c r="F49" i="77"/>
  <c r="E49" i="77"/>
  <c r="BL83" i="64"/>
  <c r="BM83" i="64"/>
  <c r="BN83" i="64" s="1"/>
  <c r="E51" i="76"/>
  <c r="G51" i="76"/>
  <c r="D51" i="76"/>
  <c r="U158" i="60"/>
  <c r="E56" i="72" s="1"/>
  <c r="G43" i="76"/>
  <c r="F43" i="76"/>
  <c r="F45" i="77"/>
  <c r="AD102" i="60"/>
  <c r="E49" i="73" s="1"/>
  <c r="D45" i="77"/>
  <c r="E45" i="77"/>
  <c r="G45" i="77"/>
  <c r="D40" i="77"/>
  <c r="E40" i="77"/>
  <c r="F40" i="77"/>
  <c r="G40" i="77"/>
  <c r="AD37" i="60"/>
  <c r="E43" i="73" s="1"/>
  <c r="G47" i="76"/>
  <c r="E47" i="76"/>
  <c r="D47" i="76"/>
  <c r="U122" i="60"/>
  <c r="E52" i="72" s="1"/>
  <c r="F47" i="76"/>
  <c r="E44" i="76"/>
  <c r="U89" i="60"/>
  <c r="E48" i="72" s="1"/>
  <c r="F44" i="76"/>
  <c r="D44" i="76"/>
  <c r="G46" i="77"/>
  <c r="D46" i="77"/>
  <c r="AD115" i="60"/>
  <c r="E51" i="73" s="1"/>
  <c r="E46" i="77"/>
  <c r="F46" i="77"/>
  <c r="U115" i="60"/>
  <c r="E51" i="72" s="1"/>
  <c r="B21" i="59"/>
  <c r="B22" i="59" s="1"/>
  <c r="AJ13" i="64"/>
  <c r="F10" i="69" s="1"/>
  <c r="Z17" i="58"/>
  <c r="AF82" i="60"/>
  <c r="AN82" i="60" s="1"/>
  <c r="BH19" i="50"/>
  <c r="AH86" i="58" s="1"/>
  <c r="BD19" i="50"/>
  <c r="AE86" i="58" s="1"/>
  <c r="AK76" i="60"/>
  <c r="AN76" i="60" s="1"/>
  <c r="S76" i="60"/>
  <c r="V76" i="60" s="1"/>
  <c r="AB76" i="60"/>
  <c r="AE76" i="60" s="1"/>
  <c r="AC37" i="60"/>
  <c r="D43" i="73" s="1"/>
  <c r="H18" i="77"/>
  <c r="H10" i="77"/>
  <c r="BM12" i="64"/>
  <c r="BN12" i="64" s="1"/>
  <c r="BL12" i="64"/>
  <c r="AC174" i="60"/>
  <c r="D59" i="73" s="1"/>
  <c r="D33" i="73" s="1"/>
  <c r="G24" i="77"/>
  <c r="E24" i="77"/>
  <c r="D24" i="77"/>
  <c r="F24" i="77"/>
  <c r="F14" i="77"/>
  <c r="D17" i="75"/>
  <c r="BL53" i="64"/>
  <c r="K26" i="69" s="1"/>
  <c r="BM53" i="64"/>
  <c r="BN53" i="64" s="1"/>
  <c r="L26" i="69" s="1"/>
  <c r="F44" i="75"/>
  <c r="H46" i="63"/>
  <c r="D21" i="77"/>
  <c r="F21" i="77"/>
  <c r="G21" i="77"/>
  <c r="E21" i="77"/>
  <c r="AC148" i="60"/>
  <c r="D55" i="73" s="1"/>
  <c r="AJ64" i="64"/>
  <c r="F34" i="69" s="1"/>
  <c r="Z68" i="58"/>
  <c r="F16" i="63"/>
  <c r="E25" i="63"/>
  <c r="G40" i="69"/>
  <c r="F25" i="63"/>
  <c r="BO89" i="64"/>
  <c r="D26" i="67" s="1"/>
  <c r="G11" i="63"/>
  <c r="Z25" i="58"/>
  <c r="AL21" i="64" s="1"/>
  <c r="G44" i="77"/>
  <c r="G12" i="63"/>
  <c r="G42" i="63"/>
  <c r="G22" i="75"/>
  <c r="E22" i="75"/>
  <c r="F22" i="75"/>
  <c r="D22" i="75"/>
  <c r="K158" i="60"/>
  <c r="D56" i="62" s="1"/>
  <c r="K37" i="60"/>
  <c r="D43" i="62" s="1"/>
  <c r="L130" i="60"/>
  <c r="E53" i="62" s="1"/>
  <c r="F48" i="75"/>
  <c r="E48" i="75"/>
  <c r="G48" i="75"/>
  <c r="D48" i="75"/>
  <c r="G14" i="75"/>
  <c r="D14" i="75"/>
  <c r="E14" i="75"/>
  <c r="D45" i="63"/>
  <c r="H12" i="75"/>
  <c r="G17" i="75"/>
  <c r="K98" i="60"/>
  <c r="H23" i="77"/>
  <c r="C38" i="77"/>
  <c r="F18" i="63"/>
  <c r="D44" i="75"/>
  <c r="BD16" i="46"/>
  <c r="AE59" i="58" s="1"/>
  <c r="BH16" i="46"/>
  <c r="AH59" i="58" s="1"/>
  <c r="AC77" i="60"/>
  <c r="D47" i="73" s="1"/>
  <c r="BM54" i="64"/>
  <c r="BN54" i="64" s="1"/>
  <c r="L27" i="69" s="1"/>
  <c r="BL54" i="64"/>
  <c r="K27" i="69" s="1"/>
  <c r="C65" i="75"/>
  <c r="C39" i="75" s="1"/>
  <c r="C65" i="77"/>
  <c r="C39" i="77" s="1"/>
  <c r="C66" i="63"/>
  <c r="C65" i="76"/>
  <c r="C39" i="76" s="1"/>
  <c r="G13" i="75"/>
  <c r="K52" i="60"/>
  <c r="D45" i="62" s="1"/>
  <c r="F13" i="75"/>
  <c r="D13" i="75"/>
  <c r="E13" i="75"/>
  <c r="S60" i="60"/>
  <c r="V60" i="60" s="1"/>
  <c r="AB60" i="60"/>
  <c r="AE60" i="60" s="1"/>
  <c r="T60" i="60"/>
  <c r="AK60" i="60"/>
  <c r="AN60" i="60" s="1"/>
  <c r="G49" i="75"/>
  <c r="D49" i="75"/>
  <c r="E49" i="75"/>
  <c r="L139" i="60"/>
  <c r="E54" i="62" s="1"/>
  <c r="F49" i="75"/>
  <c r="T14" i="60"/>
  <c r="AK14" i="60"/>
  <c r="AN14" i="60" s="1"/>
  <c r="AB14" i="60"/>
  <c r="AE14" i="60" s="1"/>
  <c r="J110" i="60"/>
  <c r="M110" i="60" s="1"/>
  <c r="L110" i="60"/>
  <c r="C38" i="76"/>
  <c r="BF16" i="46"/>
  <c r="BB16" i="46"/>
  <c r="BB19" i="46" s="1"/>
  <c r="E17" i="77"/>
  <c r="H20" i="77"/>
  <c r="BD19" i="54"/>
  <c r="AM102" i="60"/>
  <c r="E49" i="74" s="1"/>
  <c r="D14" i="77"/>
  <c r="H12" i="77"/>
  <c r="E50" i="75"/>
  <c r="L148" i="60"/>
  <c r="E55" i="62" s="1"/>
  <c r="G50" i="75"/>
  <c r="D50" i="75"/>
  <c r="F50" i="75"/>
  <c r="L20" i="69"/>
  <c r="J20" i="69"/>
  <c r="F18" i="75"/>
  <c r="D18" i="75"/>
  <c r="E18" i="75"/>
  <c r="K122" i="60"/>
  <c r="D52" i="62" s="1"/>
  <c r="G18" i="75"/>
  <c r="G19" i="75"/>
  <c r="D19" i="75"/>
  <c r="F19" i="75"/>
  <c r="E19" i="75"/>
  <c r="K130" i="60"/>
  <c r="D53" i="62" s="1"/>
  <c r="K20" i="69"/>
  <c r="G45" i="63"/>
  <c r="BL52" i="64"/>
  <c r="K25" i="69" s="1"/>
  <c r="BM52" i="64"/>
  <c r="BN52" i="64" s="1"/>
  <c r="L25" i="69" s="1"/>
  <c r="F51" i="76"/>
  <c r="G39" i="63"/>
  <c r="E39" i="63"/>
  <c r="AL37" i="60"/>
  <c r="D43" i="74" s="1"/>
  <c r="F39" i="63"/>
  <c r="D39" i="63"/>
  <c r="AL50" i="64"/>
  <c r="AF54" i="58"/>
  <c r="BL48" i="64"/>
  <c r="BM48" i="64"/>
  <c r="BN48" i="64" s="1"/>
  <c r="G44" i="75"/>
  <c r="BA16" i="46"/>
  <c r="BA19" i="46" s="1"/>
  <c r="BE16" i="46"/>
  <c r="AC115" i="60"/>
  <c r="D51" i="73" s="1"/>
  <c r="BC24" i="43"/>
  <c r="BB23" i="44"/>
  <c r="G14" i="77"/>
  <c r="G41" i="77"/>
  <c r="D41" i="77"/>
  <c r="G44" i="76"/>
  <c r="BA23" i="44"/>
  <c r="BL16" i="64"/>
  <c r="BM16" i="64"/>
  <c r="BN16" i="64" s="1"/>
  <c r="J13" i="60"/>
  <c r="M13" i="60" s="1"/>
  <c r="M16" i="60" s="1"/>
  <c r="F41" i="62" s="1"/>
  <c r="C9" i="62" s="1"/>
  <c r="L13" i="60"/>
  <c r="L16" i="60" s="1"/>
  <c r="E41" i="62" s="1"/>
  <c r="G43" i="63"/>
  <c r="E43" i="63"/>
  <c r="D43" i="63"/>
  <c r="C38" i="75"/>
  <c r="G18" i="63"/>
  <c r="S14" i="60"/>
  <c r="V14" i="60" s="1"/>
  <c r="AJ55" i="64"/>
  <c r="F28" i="69" s="1"/>
  <c r="D17" i="77"/>
  <c r="BC19" i="54"/>
  <c r="T44" i="60"/>
  <c r="D44" i="73" s="1"/>
  <c r="E15" i="63"/>
  <c r="BC23" i="44"/>
  <c r="AB34" i="60"/>
  <c r="AE34" i="60" s="1"/>
  <c r="AK48" i="64"/>
  <c r="G23" i="69" s="1"/>
  <c r="Z52" i="58"/>
  <c r="AA52" i="58"/>
  <c r="F41" i="63"/>
  <c r="AL52" i="60"/>
  <c r="D45" i="74" s="1"/>
  <c r="E41" i="63"/>
  <c r="D41" i="63"/>
  <c r="G41" i="63"/>
  <c r="G24" i="63"/>
  <c r="E24" i="63"/>
  <c r="D24" i="63"/>
  <c r="AM166" i="60"/>
  <c r="E58" i="74" s="1"/>
  <c r="F24" i="63"/>
  <c r="T65" i="60"/>
  <c r="S65" i="60"/>
  <c r="V65" i="60" s="1"/>
  <c r="AB65" i="60"/>
  <c r="AE65" i="60" s="1"/>
  <c r="AK65" i="60"/>
  <c r="AN65" i="60" s="1"/>
  <c r="H47" i="75"/>
  <c r="L98" i="60"/>
  <c r="F45" i="75" s="1"/>
  <c r="P98" i="60"/>
  <c r="U98" i="60" s="1"/>
  <c r="BA21" i="53"/>
  <c r="AF83" i="60"/>
  <c r="AN83" i="60" s="1"/>
  <c r="J31" i="60"/>
  <c r="M31" i="60" s="1"/>
  <c r="M37" i="60" s="1"/>
  <c r="F43" i="62" s="1"/>
  <c r="C11" i="62" s="1"/>
  <c r="L31" i="60"/>
  <c r="D51" i="63"/>
  <c r="AL166" i="60"/>
  <c r="D58" i="74" s="1"/>
  <c r="F51" i="63"/>
  <c r="E51" i="63"/>
  <c r="G51" i="63"/>
  <c r="H10" i="75"/>
  <c r="C9" i="77"/>
  <c r="C9" i="76"/>
  <c r="C9" i="75"/>
  <c r="C10" i="63"/>
  <c r="C37" i="63"/>
  <c r="D20" i="63"/>
  <c r="G38" i="75"/>
  <c r="F38" i="75"/>
  <c r="D38" i="75"/>
  <c r="E38" i="75"/>
  <c r="BM28" i="64"/>
  <c r="BN28" i="64" s="1"/>
  <c r="BO26" i="64" s="1"/>
  <c r="BL28" i="64"/>
  <c r="K13" i="69" s="1"/>
  <c r="BC16" i="46"/>
  <c r="BC19" i="46" s="1"/>
  <c r="BG16" i="46"/>
  <c r="F17" i="77"/>
  <c r="F43" i="63"/>
  <c r="D113" i="59"/>
  <c r="H24" i="75"/>
  <c r="H41" i="75"/>
  <c r="D15" i="75"/>
  <c r="K89" i="60"/>
  <c r="D48" i="62" s="1"/>
  <c r="G15" i="75"/>
  <c r="F15" i="75"/>
  <c r="E15" i="75"/>
  <c r="AB13" i="60"/>
  <c r="AE13" i="60" s="1"/>
  <c r="K13" i="60"/>
  <c r="S13" i="60"/>
  <c r="V13" i="60" s="1"/>
  <c r="AK13" i="60"/>
  <c r="AN13" i="60" s="1"/>
  <c r="F45" i="63"/>
  <c r="L163" i="60"/>
  <c r="BH18" i="50"/>
  <c r="AH85" i="58" s="1"/>
  <c r="BD18" i="50"/>
  <c r="D51" i="75"/>
  <c r="E51" i="75"/>
  <c r="G51" i="75"/>
  <c r="L158" i="60"/>
  <c r="E56" i="62" s="1"/>
  <c r="F9" i="77"/>
  <c r="AC16" i="60"/>
  <c r="G9" i="77"/>
  <c r="E9" i="77"/>
  <c r="D9" i="77"/>
  <c r="AL115" i="60"/>
  <c r="D51" i="74" s="1"/>
  <c r="AE55" i="58"/>
  <c r="BD20" i="37"/>
  <c r="AB12" i="60"/>
  <c r="AE12" i="60" s="1"/>
  <c r="S12" i="60"/>
  <c r="V12" i="60" s="1"/>
  <c r="AK12" i="60"/>
  <c r="AN12" i="60" s="1"/>
  <c r="T12" i="60"/>
  <c r="BL51" i="64"/>
  <c r="K24" i="69" s="1"/>
  <c r="BN51" i="64"/>
  <c r="L24" i="69" s="1"/>
  <c r="AK51" i="64"/>
  <c r="G24" i="69" s="1"/>
  <c r="Z55" i="58"/>
  <c r="AN130" i="60"/>
  <c r="F53" i="74" s="1"/>
  <c r="C19" i="74" s="1"/>
  <c r="AI53" i="58"/>
  <c r="AB53" i="58"/>
  <c r="AL49" i="64"/>
  <c r="AF53" i="58"/>
  <c r="AL47" i="64"/>
  <c r="AF51" i="58"/>
  <c r="AI51" i="58"/>
  <c r="AB51" i="58"/>
  <c r="F11" i="76"/>
  <c r="D11" i="76"/>
  <c r="G11" i="76"/>
  <c r="E11" i="76"/>
  <c r="T37" i="60"/>
  <c r="D43" i="72" s="1"/>
  <c r="AF48" i="58"/>
  <c r="F11" i="77"/>
  <c r="E11" i="77"/>
  <c r="AL46" i="64"/>
  <c r="AF50" i="58"/>
  <c r="AE49" i="58"/>
  <c r="AF49" i="58" s="1"/>
  <c r="BD23" i="44"/>
  <c r="AB39" i="58"/>
  <c r="AI39" i="58"/>
  <c r="AL35" i="64"/>
  <c r="AF39" i="58"/>
  <c r="AL34" i="64"/>
  <c r="AF38" i="58"/>
  <c r="G16" i="69"/>
  <c r="AI37" i="58"/>
  <c r="AB37" i="58"/>
  <c r="AL33" i="64"/>
  <c r="AF37" i="58"/>
  <c r="BB23" i="42"/>
  <c r="AI36" i="58"/>
  <c r="AB36" i="58"/>
  <c r="E15" i="76"/>
  <c r="D15" i="76"/>
  <c r="T89" i="60"/>
  <c r="D48" i="72" s="1"/>
  <c r="G15" i="76"/>
  <c r="F15" i="76"/>
  <c r="AL31" i="64"/>
  <c r="AF35" i="58"/>
  <c r="AB34" i="58"/>
  <c r="AC33" i="58" s="1"/>
  <c r="AM29" i="64" s="1"/>
  <c r="AI34" i="58"/>
  <c r="AI32" i="58"/>
  <c r="AB32" i="58"/>
  <c r="AF32" i="58"/>
  <c r="AL28" i="64"/>
  <c r="AI31" i="58"/>
  <c r="AB31" i="58"/>
  <c r="AF31" i="58"/>
  <c r="AL27" i="64"/>
  <c r="BB36" i="41"/>
  <c r="BD36" i="41"/>
  <c r="BM24" i="64"/>
  <c r="BN24" i="64" s="1"/>
  <c r="BL24" i="64"/>
  <c r="S72" i="60"/>
  <c r="V72" i="60" s="1"/>
  <c r="T72" i="60"/>
  <c r="AK72" i="60"/>
  <c r="AN72" i="60" s="1"/>
  <c r="AB72" i="60"/>
  <c r="AE72" i="60" s="1"/>
  <c r="G15" i="63"/>
  <c r="Z28" i="58"/>
  <c r="AK24" i="64"/>
  <c r="AA28" i="58"/>
  <c r="J12" i="69"/>
  <c r="AL22" i="64"/>
  <c r="AF26" i="58"/>
  <c r="AI26" i="58"/>
  <c r="AB26" i="58"/>
  <c r="AI25" i="58"/>
  <c r="AB25" i="58"/>
  <c r="AI24" i="58"/>
  <c r="AB24" i="58"/>
  <c r="AL20" i="64"/>
  <c r="AF24" i="58"/>
  <c r="AL17" i="64"/>
  <c r="AF22" i="58"/>
  <c r="AB22" i="58"/>
  <c r="AI22" i="58"/>
  <c r="AB21" i="58"/>
  <c r="AI21" i="58"/>
  <c r="AF20" i="58"/>
  <c r="AF19" i="58"/>
  <c r="AL19" i="64"/>
  <c r="H11" i="69" s="1"/>
  <c r="AI19" i="58"/>
  <c r="AB19" i="58"/>
  <c r="AF18" i="58"/>
  <c r="AL14" i="64"/>
  <c r="AI18" i="58"/>
  <c r="AB18" i="58"/>
  <c r="BC36" i="41"/>
  <c r="AB15" i="58"/>
  <c r="AI15" i="58"/>
  <c r="AF14" i="58"/>
  <c r="AL10" i="64"/>
  <c r="AI14" i="58"/>
  <c r="AB14" i="58"/>
  <c r="AB13" i="58"/>
  <c r="AI13" i="58"/>
  <c r="AF13" i="58"/>
  <c r="AL9" i="64"/>
  <c r="AF72" i="58"/>
  <c r="AL68" i="64"/>
  <c r="AI72" i="58"/>
  <c r="AB72" i="58"/>
  <c r="AE73" i="58"/>
  <c r="BD19" i="51"/>
  <c r="AB58" i="58"/>
  <c r="AI58" i="58"/>
  <c r="AL54" i="64"/>
  <c r="H27" i="69" s="1"/>
  <c r="AF58" i="58"/>
  <c r="BC20" i="37"/>
  <c r="AF56" i="58"/>
  <c r="AL52" i="64"/>
  <c r="H25" i="69" s="1"/>
  <c r="AF99" i="58"/>
  <c r="AL95" i="64"/>
  <c r="H48" i="69" s="1"/>
  <c r="AI99" i="58"/>
  <c r="AB99" i="58"/>
  <c r="AC99" i="58" s="1"/>
  <c r="AM95" i="64" s="1"/>
  <c r="AD25" i="60"/>
  <c r="E42" i="73" s="1"/>
  <c r="F39" i="77"/>
  <c r="D39" i="77"/>
  <c r="E39" i="77"/>
  <c r="G39" i="77"/>
  <c r="AK23" i="60"/>
  <c r="AN23" i="60" s="1"/>
  <c r="AB23" i="60"/>
  <c r="AE23" i="60" s="1"/>
  <c r="T23" i="60"/>
  <c r="S23" i="60"/>
  <c r="V23" i="60" s="1"/>
  <c r="AA98" i="58"/>
  <c r="Z98" i="58"/>
  <c r="AK94" i="64"/>
  <c r="G47" i="69" s="1"/>
  <c r="E39" i="76"/>
  <c r="G39" i="76"/>
  <c r="F39" i="76"/>
  <c r="U25" i="60"/>
  <c r="E42" i="72" s="1"/>
  <c r="D39" i="76"/>
  <c r="AB22" i="60"/>
  <c r="AE22" i="60" s="1"/>
  <c r="S22" i="60"/>
  <c r="V22" i="60" s="1"/>
  <c r="AK22" i="60"/>
  <c r="AN22" i="60" s="1"/>
  <c r="AA97" i="58"/>
  <c r="AB97" i="58" s="1"/>
  <c r="AC96" i="58" s="1"/>
  <c r="AM92" i="64" s="1"/>
  <c r="Z97" i="58"/>
  <c r="AL93" i="64" s="1"/>
  <c r="D28" i="67"/>
  <c r="AL90" i="64"/>
  <c r="AF94" i="58"/>
  <c r="AB94" i="58"/>
  <c r="AI94" i="58"/>
  <c r="BM43" i="64"/>
  <c r="BN43" i="64" s="1"/>
  <c r="AK101" i="60"/>
  <c r="AN101" i="60" s="1"/>
  <c r="T101" i="60"/>
  <c r="AB101" i="60"/>
  <c r="S101" i="60"/>
  <c r="V101" i="60" s="1"/>
  <c r="AK43" i="64"/>
  <c r="G22" i="69" s="1"/>
  <c r="Z47" i="58"/>
  <c r="AA47" i="58"/>
  <c r="AB46" i="58"/>
  <c r="AI46" i="58"/>
  <c r="AL42" i="64"/>
  <c r="AF46" i="58"/>
  <c r="AL41" i="64"/>
  <c r="AF45" i="58"/>
  <c r="BB24" i="43"/>
  <c r="AB45" i="58"/>
  <c r="AI45" i="58"/>
  <c r="AL40" i="64"/>
  <c r="H21" i="69" s="1"/>
  <c r="AF44" i="58"/>
  <c r="AI44" i="58"/>
  <c r="AB44" i="58"/>
  <c r="AC44" i="58" s="1"/>
  <c r="AM40" i="64" s="1"/>
  <c r="AF43" i="58"/>
  <c r="AL39" i="64"/>
  <c r="H20" i="69" s="1"/>
  <c r="J19" i="69"/>
  <c r="BM38" i="64"/>
  <c r="BN38" i="64" s="1"/>
  <c r="BL38" i="64"/>
  <c r="K19" i="69" s="1"/>
  <c r="S96" i="60"/>
  <c r="V96" i="60" s="1"/>
  <c r="AB96" i="60"/>
  <c r="AE96" i="60" s="1"/>
  <c r="T96" i="60"/>
  <c r="AK96" i="60"/>
  <c r="AN96" i="60" s="1"/>
  <c r="Z42" i="58"/>
  <c r="AK38" i="64"/>
  <c r="G19" i="69" s="1"/>
  <c r="AA42" i="58"/>
  <c r="G17" i="63"/>
  <c r="BD24" i="43"/>
  <c r="E17" i="63"/>
  <c r="AB40" i="58"/>
  <c r="AC40" i="58" s="1"/>
  <c r="AM36" i="64" s="1"/>
  <c r="AI40" i="58"/>
  <c r="AL36" i="64"/>
  <c r="H17" i="69" s="1"/>
  <c r="AF40" i="58"/>
  <c r="AB172" i="60"/>
  <c r="AE172" i="60" s="1"/>
  <c r="AE174" i="60" s="1"/>
  <c r="F59" i="73" s="1"/>
  <c r="C24" i="73" s="1"/>
  <c r="S172" i="60"/>
  <c r="V172" i="60" s="1"/>
  <c r="V174" i="60" s="1"/>
  <c r="F59" i="72" s="1"/>
  <c r="C24" i="72" s="1"/>
  <c r="AK172" i="60"/>
  <c r="AN172" i="60" s="1"/>
  <c r="AN174" i="60" s="1"/>
  <c r="F59" i="74" s="1"/>
  <c r="C24" i="74" s="1"/>
  <c r="BM87" i="64"/>
  <c r="BN87" i="64" s="1"/>
  <c r="BL87" i="64"/>
  <c r="AA91" i="58"/>
  <c r="AK87" i="64"/>
  <c r="G43" i="69" s="1"/>
  <c r="Z91" i="58"/>
  <c r="BD19" i="55"/>
  <c r="AE90" i="58"/>
  <c r="AF90" i="58" s="1"/>
  <c r="AL86" i="64"/>
  <c r="E60" i="72"/>
  <c r="AI90" i="58"/>
  <c r="AB90" i="58"/>
  <c r="AB88" i="58"/>
  <c r="AI88" i="58"/>
  <c r="AF88" i="58"/>
  <c r="AL84" i="64"/>
  <c r="D23" i="76"/>
  <c r="E23" i="76"/>
  <c r="G23" i="76"/>
  <c r="F23" i="76"/>
  <c r="D58" i="72"/>
  <c r="AB95" i="58"/>
  <c r="AC95" i="58" s="1"/>
  <c r="AM91" i="64" s="1"/>
  <c r="AI95" i="58"/>
  <c r="AF95" i="58"/>
  <c r="AL91" i="64"/>
  <c r="H45" i="69" s="1"/>
  <c r="T52" i="60"/>
  <c r="D45" i="72" s="1"/>
  <c r="F13" i="76"/>
  <c r="D13" i="76"/>
  <c r="G13" i="76"/>
  <c r="E13" i="76"/>
  <c r="AL56" i="64"/>
  <c r="H29" i="69" s="1"/>
  <c r="AI60" i="58"/>
  <c r="AB60" i="58"/>
  <c r="H42" i="76"/>
  <c r="AE60" i="58"/>
  <c r="AF60" i="58" s="1"/>
  <c r="T158" i="60"/>
  <c r="D56" i="72" s="1"/>
  <c r="D22" i="76"/>
  <c r="AL77" i="64"/>
  <c r="G22" i="76"/>
  <c r="F22" i="76"/>
  <c r="E22" i="76"/>
  <c r="AF78" i="58"/>
  <c r="AL74" i="64"/>
  <c r="BD20" i="52"/>
  <c r="AB78" i="58"/>
  <c r="AI78" i="58"/>
  <c r="AB77" i="58"/>
  <c r="AI77" i="58"/>
  <c r="AL73" i="64"/>
  <c r="AF77" i="58"/>
  <c r="AN148" i="60"/>
  <c r="F55" i="74" s="1"/>
  <c r="C21" i="74" s="1"/>
  <c r="AF76" i="58"/>
  <c r="AB76" i="58"/>
  <c r="AI76" i="58"/>
  <c r="H50" i="76"/>
  <c r="AB75" i="58"/>
  <c r="AI75" i="58"/>
  <c r="AL71" i="64"/>
  <c r="H38" i="69" s="1"/>
  <c r="AF75" i="58"/>
  <c r="T148" i="60"/>
  <c r="D55" i="72" s="1"/>
  <c r="G21" i="76"/>
  <c r="F21" i="76"/>
  <c r="E21" i="76"/>
  <c r="D21" i="76"/>
  <c r="T122" i="60"/>
  <c r="D52" i="72" s="1"/>
  <c r="D18" i="76"/>
  <c r="G18" i="76"/>
  <c r="F18" i="76"/>
  <c r="E18" i="76"/>
  <c r="H19" i="63"/>
  <c r="AF69" i="58"/>
  <c r="AL65" i="64"/>
  <c r="H35" i="69" s="1"/>
  <c r="H47" i="77"/>
  <c r="AB69" i="58"/>
  <c r="AI69" i="58"/>
  <c r="AB67" i="58"/>
  <c r="AI67" i="58"/>
  <c r="AF66" i="58"/>
  <c r="AL62" i="64"/>
  <c r="AI66" i="58"/>
  <c r="AB66" i="58"/>
  <c r="AL61" i="64"/>
  <c r="AF65" i="58"/>
  <c r="AB64" i="58"/>
  <c r="AI64" i="58"/>
  <c r="AF64" i="58"/>
  <c r="AL60" i="64"/>
  <c r="BN60" i="64"/>
  <c r="G33" i="69"/>
  <c r="E17" i="76"/>
  <c r="AI73" i="58"/>
  <c r="AB73" i="58"/>
  <c r="AF71" i="58"/>
  <c r="AB74" i="58"/>
  <c r="AI74" i="58"/>
  <c r="AF74" i="58"/>
  <c r="AL70" i="64"/>
  <c r="H37" i="69" s="1"/>
  <c r="D20" i="76"/>
  <c r="T139" i="60"/>
  <c r="D54" i="72" s="1"/>
  <c r="G20" i="76"/>
  <c r="F20" i="76"/>
  <c r="E20" i="76"/>
  <c r="F31" i="62" l="1"/>
  <c r="AN25" i="60"/>
  <c r="F42" i="74" s="1"/>
  <c r="C10" i="74" s="1"/>
  <c r="AI20" i="58"/>
  <c r="AN108" i="60"/>
  <c r="L15" i="69"/>
  <c r="F50" i="62"/>
  <c r="AB38" i="58"/>
  <c r="F60" i="62"/>
  <c r="F33" i="62"/>
  <c r="M115" i="60"/>
  <c r="F51" i="62" s="1"/>
  <c r="F57" i="62" s="1"/>
  <c r="F62" i="62" s="1"/>
  <c r="C25" i="62" s="1"/>
  <c r="V102" i="60"/>
  <c r="F49" i="72" s="1"/>
  <c r="C16" i="72" s="1"/>
  <c r="BO83" i="64"/>
  <c r="M43" i="69" s="1"/>
  <c r="AE89" i="60"/>
  <c r="F48" i="73" s="1"/>
  <c r="C15" i="73" s="1"/>
  <c r="L35" i="69"/>
  <c r="BO33" i="64"/>
  <c r="D16" i="67" s="1"/>
  <c r="M15" i="66" s="1"/>
  <c r="F30" i="62"/>
  <c r="AN107" i="60"/>
  <c r="AI87" i="58"/>
  <c r="AN121" i="60"/>
  <c r="AN122" i="60" s="1"/>
  <c r="F52" i="74" s="1"/>
  <c r="C18" i="74" s="1"/>
  <c r="H48" i="76"/>
  <c r="AF82" i="58"/>
  <c r="AB81" i="58"/>
  <c r="AF89" i="58"/>
  <c r="AI71" i="58"/>
  <c r="AL32" i="64"/>
  <c r="AF21" i="58"/>
  <c r="G10" i="69"/>
  <c r="D11" i="63"/>
  <c r="H11" i="63" s="1"/>
  <c r="AM25" i="60"/>
  <c r="E42" i="74" s="1"/>
  <c r="H48" i="63"/>
  <c r="H14" i="63"/>
  <c r="H38" i="63"/>
  <c r="D27" i="67"/>
  <c r="M26" i="66" s="1"/>
  <c r="M45" i="69"/>
  <c r="K77" i="60"/>
  <c r="D47" i="62" s="1"/>
  <c r="AL57" i="64"/>
  <c r="H30" i="69" s="1"/>
  <c r="C10" i="62"/>
  <c r="E43" i="75"/>
  <c r="AI62" i="58"/>
  <c r="D19" i="76"/>
  <c r="H19" i="76" s="1"/>
  <c r="BN67" i="64"/>
  <c r="AN102" i="60"/>
  <c r="F49" i="74" s="1"/>
  <c r="C16" i="74" s="1"/>
  <c r="AI80" i="58"/>
  <c r="L37" i="60"/>
  <c r="E43" i="62" s="1"/>
  <c r="AI93" i="58"/>
  <c r="G15" i="77"/>
  <c r="AF16" i="58"/>
  <c r="E19" i="76"/>
  <c r="T130" i="60"/>
  <c r="D53" i="72" s="1"/>
  <c r="D32" i="72" s="1"/>
  <c r="AI43" i="58"/>
  <c r="V25" i="60"/>
  <c r="F42" i="72" s="1"/>
  <c r="C10" i="72" s="1"/>
  <c r="H51" i="75"/>
  <c r="AF83" i="58"/>
  <c r="D43" i="75"/>
  <c r="H43" i="75" s="1"/>
  <c r="U77" i="60"/>
  <c r="E47" i="72" s="1"/>
  <c r="AF79" i="58"/>
  <c r="L45" i="69"/>
  <c r="BL67" i="64"/>
  <c r="K36" i="69" s="1"/>
  <c r="K42" i="69"/>
  <c r="F15" i="77"/>
  <c r="D50" i="74"/>
  <c r="D9" i="76"/>
  <c r="AB89" i="58"/>
  <c r="BL43" i="64"/>
  <c r="K22" i="69" s="1"/>
  <c r="D45" i="76"/>
  <c r="L77" i="60"/>
  <c r="E47" i="62" s="1"/>
  <c r="E31" i="62" s="1"/>
  <c r="D43" i="77"/>
  <c r="AB82" i="58"/>
  <c r="H37" i="63"/>
  <c r="I37" i="63" s="1"/>
  <c r="AF80" i="58"/>
  <c r="AD77" i="60"/>
  <c r="E47" i="73" s="1"/>
  <c r="F19" i="76"/>
  <c r="AF67" i="58"/>
  <c r="C14" i="62"/>
  <c r="D11" i="75"/>
  <c r="D15" i="77"/>
  <c r="D25" i="77" s="1"/>
  <c r="E27" i="77" s="1"/>
  <c r="D43" i="76"/>
  <c r="H43" i="76" s="1"/>
  <c r="AN166" i="60"/>
  <c r="F58" i="74" s="1"/>
  <c r="C23" i="74" s="1"/>
  <c r="F11" i="75"/>
  <c r="G11" i="75"/>
  <c r="K35" i="69"/>
  <c r="J15" i="69"/>
  <c r="BL94" i="64"/>
  <c r="K47" i="69" s="1"/>
  <c r="AB79" i="58"/>
  <c r="AI79" i="58"/>
  <c r="AF93" i="58"/>
  <c r="AL89" i="64"/>
  <c r="H44" i="69" s="1"/>
  <c r="AE25" i="60"/>
  <c r="F42" i="73" s="1"/>
  <c r="C10" i="73" s="1"/>
  <c r="G12" i="69"/>
  <c r="BO31" i="64"/>
  <c r="D15" i="67" s="1"/>
  <c r="M14" i="66" s="1"/>
  <c r="BM22" i="64"/>
  <c r="BN22" i="64" s="1"/>
  <c r="L12" i="69" s="1"/>
  <c r="BL31" i="64"/>
  <c r="K15" i="69" s="1"/>
  <c r="T115" i="60"/>
  <c r="D51" i="72" s="1"/>
  <c r="D17" i="76"/>
  <c r="F17" i="76"/>
  <c r="H17" i="76" s="1"/>
  <c r="D46" i="76"/>
  <c r="AI65" i="58"/>
  <c r="E46" i="76"/>
  <c r="AB61" i="58"/>
  <c r="AC61" i="58" s="1"/>
  <c r="AM57" i="64" s="1"/>
  <c r="G46" i="76"/>
  <c r="AF62" i="58"/>
  <c r="AI30" i="58"/>
  <c r="AF25" i="58"/>
  <c r="D31" i="74"/>
  <c r="H42" i="63"/>
  <c r="H50" i="63"/>
  <c r="AI56" i="58"/>
  <c r="H49" i="63"/>
  <c r="H21" i="63"/>
  <c r="AB23" i="58"/>
  <c r="AC13" i="58" s="1"/>
  <c r="AM9" i="64" s="1"/>
  <c r="H44" i="63"/>
  <c r="F53" i="63"/>
  <c r="E57" i="63" s="1"/>
  <c r="F46" i="62"/>
  <c r="D32" i="62"/>
  <c r="G43" i="75"/>
  <c r="V16" i="60"/>
  <c r="H48" i="75"/>
  <c r="H47" i="76"/>
  <c r="AE122" i="60"/>
  <c r="F52" i="73" s="1"/>
  <c r="C18" i="73" s="1"/>
  <c r="D57" i="62"/>
  <c r="L13" i="69"/>
  <c r="H38" i="75"/>
  <c r="I38" i="75" s="1"/>
  <c r="H14" i="75"/>
  <c r="D41" i="73"/>
  <c r="D41" i="72"/>
  <c r="AC30" i="58"/>
  <c r="AM26" i="64" s="1"/>
  <c r="H52" i="77"/>
  <c r="E60" i="73"/>
  <c r="H51" i="77"/>
  <c r="AF73" i="58"/>
  <c r="AE101" i="60"/>
  <c r="AE102" i="60" s="1"/>
  <c r="F49" i="73" s="1"/>
  <c r="C16" i="73" s="1"/>
  <c r="E15" i="77"/>
  <c r="H23" i="63"/>
  <c r="H48" i="77"/>
  <c r="H20" i="63"/>
  <c r="E57" i="74"/>
  <c r="H44" i="77"/>
  <c r="AI35" i="58"/>
  <c r="E33" i="73"/>
  <c r="H24" i="77"/>
  <c r="E33" i="74"/>
  <c r="D60" i="73"/>
  <c r="F60" i="73"/>
  <c r="BD19" i="46"/>
  <c r="E32" i="74"/>
  <c r="AI86" i="58"/>
  <c r="H14" i="77"/>
  <c r="AC93" i="58"/>
  <c r="AM89" i="64" s="1"/>
  <c r="H12" i="63"/>
  <c r="G53" i="63"/>
  <c r="E58" i="63" s="1"/>
  <c r="G25" i="77"/>
  <c r="E30" i="77" s="1"/>
  <c r="E53" i="63"/>
  <c r="E56" i="63" s="1"/>
  <c r="K10" i="69"/>
  <c r="BO44" i="64"/>
  <c r="M23" i="69" s="1"/>
  <c r="BO9" i="64"/>
  <c r="D11" i="67" s="1"/>
  <c r="M10" i="66" s="1"/>
  <c r="M13" i="66"/>
  <c r="D45" i="67"/>
  <c r="M14" i="69"/>
  <c r="K23" i="69"/>
  <c r="L22" i="69"/>
  <c r="K33" i="69"/>
  <c r="M21" i="69"/>
  <c r="M17" i="69"/>
  <c r="D30" i="67"/>
  <c r="BO41" i="64"/>
  <c r="M22" i="69" s="1"/>
  <c r="H49" i="77"/>
  <c r="H43" i="77"/>
  <c r="K12" i="69"/>
  <c r="AE77" i="60"/>
  <c r="F47" i="73" s="1"/>
  <c r="C14" i="73" s="1"/>
  <c r="F14" i="76"/>
  <c r="E50" i="73"/>
  <c r="E14" i="76"/>
  <c r="G14" i="76"/>
  <c r="D14" i="76"/>
  <c r="AN77" i="60"/>
  <c r="F47" i="74" s="1"/>
  <c r="C14" i="74" s="1"/>
  <c r="L10" i="69"/>
  <c r="V77" i="60"/>
  <c r="F47" i="72" s="1"/>
  <c r="C14" i="72" s="1"/>
  <c r="T77" i="60"/>
  <c r="D47" i="72" s="1"/>
  <c r="H40" i="69"/>
  <c r="H25" i="63"/>
  <c r="K43" i="69"/>
  <c r="H53" i="77"/>
  <c r="L43" i="69"/>
  <c r="E60" i="74"/>
  <c r="E57" i="73"/>
  <c r="Z100" i="58"/>
  <c r="L37" i="69"/>
  <c r="E32" i="72"/>
  <c r="BN63" i="64"/>
  <c r="BO57" i="64" s="1"/>
  <c r="J33" i="69"/>
  <c r="E57" i="72"/>
  <c r="H46" i="77"/>
  <c r="E32" i="73"/>
  <c r="D16" i="76"/>
  <c r="H45" i="77"/>
  <c r="BO38" i="64"/>
  <c r="M19" i="69" s="1"/>
  <c r="L19" i="69"/>
  <c r="E31" i="73"/>
  <c r="E50" i="74"/>
  <c r="H16" i="63"/>
  <c r="AC37" i="58"/>
  <c r="AM33" i="64" s="1"/>
  <c r="E31" i="74"/>
  <c r="AN89" i="60"/>
  <c r="F48" i="74" s="1"/>
  <c r="C15" i="74" s="1"/>
  <c r="H41" i="77"/>
  <c r="D44" i="72"/>
  <c r="D44" i="74"/>
  <c r="D30" i="74" s="1"/>
  <c r="M44" i="69"/>
  <c r="H40" i="77"/>
  <c r="L23" i="69"/>
  <c r="AE37" i="60"/>
  <c r="F43" i="73" s="1"/>
  <c r="C11" i="73" s="1"/>
  <c r="H40" i="76"/>
  <c r="BO94" i="64"/>
  <c r="BP92" i="64" s="1"/>
  <c r="N46" i="69" s="1"/>
  <c r="L47" i="69"/>
  <c r="F9" i="76"/>
  <c r="H18" i="63"/>
  <c r="H41" i="69"/>
  <c r="E25" i="77"/>
  <c r="E28" i="77" s="1"/>
  <c r="E46" i="62"/>
  <c r="E30" i="62"/>
  <c r="M13" i="69"/>
  <c r="D13" i="67"/>
  <c r="M12" i="66" s="1"/>
  <c r="C43" i="62"/>
  <c r="C43" i="73"/>
  <c r="C43" i="74"/>
  <c r="C43" i="72"/>
  <c r="AF52" i="58"/>
  <c r="AL48" i="64"/>
  <c r="H23" i="69" s="1"/>
  <c r="D31" i="73"/>
  <c r="D50" i="73"/>
  <c r="G45" i="75"/>
  <c r="H19" i="75"/>
  <c r="H44" i="75"/>
  <c r="F45" i="76"/>
  <c r="AN37" i="60"/>
  <c r="F43" i="74" s="1"/>
  <c r="C11" i="74" s="1"/>
  <c r="D60" i="62"/>
  <c r="D33" i="62"/>
  <c r="F52" i="75"/>
  <c r="D52" i="75"/>
  <c r="L166" i="60"/>
  <c r="E58" i="62" s="1"/>
  <c r="E52" i="75"/>
  <c r="G52" i="75"/>
  <c r="H43" i="63"/>
  <c r="L102" i="60"/>
  <c r="E49" i="62" s="1"/>
  <c r="H45" i="63"/>
  <c r="H23" i="75"/>
  <c r="H17" i="63"/>
  <c r="G16" i="76"/>
  <c r="H13" i="69"/>
  <c r="BO51" i="64"/>
  <c r="D57" i="74"/>
  <c r="D32" i="74"/>
  <c r="H41" i="63"/>
  <c r="H17" i="77"/>
  <c r="E40" i="75"/>
  <c r="E45" i="75"/>
  <c r="H50" i="75"/>
  <c r="C10" i="76"/>
  <c r="C38" i="63"/>
  <c r="I38" i="63" s="1"/>
  <c r="C11" i="63"/>
  <c r="C10" i="75"/>
  <c r="I10" i="75" s="1"/>
  <c r="C10" i="77"/>
  <c r="I10" i="77" s="1"/>
  <c r="H22" i="75"/>
  <c r="AK82" i="64"/>
  <c r="H15" i="69"/>
  <c r="H9" i="77"/>
  <c r="I9" i="77" s="1"/>
  <c r="F40" i="75"/>
  <c r="D32" i="73"/>
  <c r="D57" i="73"/>
  <c r="D45" i="75"/>
  <c r="H39" i="63"/>
  <c r="AF17" i="58"/>
  <c r="AL13" i="64"/>
  <c r="H10" i="69" s="1"/>
  <c r="H44" i="76"/>
  <c r="AE85" i="58"/>
  <c r="BD20" i="50"/>
  <c r="H15" i="75"/>
  <c r="AK55" i="64"/>
  <c r="G28" i="69" s="1"/>
  <c r="D40" i="75"/>
  <c r="E45" i="76"/>
  <c r="G46" i="75"/>
  <c r="E46" i="75"/>
  <c r="D46" i="75"/>
  <c r="F46" i="75"/>
  <c r="L115" i="60"/>
  <c r="E51" i="62" s="1"/>
  <c r="H11" i="75"/>
  <c r="AL64" i="64"/>
  <c r="H34" i="69" s="1"/>
  <c r="AF68" i="58"/>
  <c r="H21" i="77"/>
  <c r="H17" i="75"/>
  <c r="H15" i="63"/>
  <c r="AC35" i="58"/>
  <c r="AM31" i="64" s="1"/>
  <c r="F25" i="77"/>
  <c r="E29" i="77" s="1"/>
  <c r="E9" i="75"/>
  <c r="G9" i="75"/>
  <c r="D9" i="75"/>
  <c r="K16" i="60"/>
  <c r="D41" i="62" s="1"/>
  <c r="F9" i="75"/>
  <c r="D60" i="74"/>
  <c r="D33" i="74"/>
  <c r="G45" i="76"/>
  <c r="U102" i="60"/>
  <c r="E49" i="72" s="1"/>
  <c r="G40" i="75"/>
  <c r="H18" i="75"/>
  <c r="H13" i="75"/>
  <c r="E16" i="75"/>
  <c r="F16" i="75"/>
  <c r="K102" i="60"/>
  <c r="D49" i="62" s="1"/>
  <c r="D31" i="62" s="1"/>
  <c r="G16" i="75"/>
  <c r="D16" i="75"/>
  <c r="D114" i="59"/>
  <c r="H51" i="76"/>
  <c r="H36" i="69"/>
  <c r="H33" i="69"/>
  <c r="AK81" i="64"/>
  <c r="H51" i="63"/>
  <c r="H24" i="63"/>
  <c r="AB52" i="58"/>
  <c r="AC48" i="58" s="1"/>
  <c r="AM44" i="64" s="1"/>
  <c r="AI52" i="58"/>
  <c r="H49" i="75"/>
  <c r="AE115" i="60"/>
  <c r="F51" i="73" s="1"/>
  <c r="C17" i="73" s="1"/>
  <c r="I39" i="75"/>
  <c r="D53" i="63"/>
  <c r="B23" i="59"/>
  <c r="B24" i="59" s="1"/>
  <c r="B25" i="59" s="1"/>
  <c r="B26" i="59" s="1"/>
  <c r="B27" i="59" s="1"/>
  <c r="B28" i="59" s="1"/>
  <c r="B29" i="59" s="1"/>
  <c r="B30" i="59" s="1"/>
  <c r="B31" i="59" s="1"/>
  <c r="B32" i="59" s="1"/>
  <c r="B33" i="59" s="1"/>
  <c r="B34" i="59" s="1"/>
  <c r="B35" i="59" s="1"/>
  <c r="B36" i="59" s="1"/>
  <c r="B37" i="59" s="1"/>
  <c r="B38" i="59" s="1"/>
  <c r="B39" i="59" s="1"/>
  <c r="B40" i="59" s="1"/>
  <c r="B41" i="59" s="1"/>
  <c r="B42" i="59" s="1"/>
  <c r="T16" i="60"/>
  <c r="AF55" i="58"/>
  <c r="AL51" i="64"/>
  <c r="H24" i="69" s="1"/>
  <c r="AI55" i="58"/>
  <c r="AB55" i="58"/>
  <c r="E9" i="76"/>
  <c r="AN16" i="60"/>
  <c r="F41" i="74" s="1"/>
  <c r="C9" i="74" s="1"/>
  <c r="G9" i="76"/>
  <c r="F41" i="72"/>
  <c r="C9" i="72" s="1"/>
  <c r="U12" i="60"/>
  <c r="AE16" i="60"/>
  <c r="F41" i="73" s="1"/>
  <c r="C9" i="73" s="1"/>
  <c r="H11" i="76"/>
  <c r="H11" i="77"/>
  <c r="H16" i="69"/>
  <c r="M16" i="69"/>
  <c r="D47" i="67"/>
  <c r="H15" i="76"/>
  <c r="AL24" i="64"/>
  <c r="H12" i="69" s="1"/>
  <c r="AF28" i="58"/>
  <c r="AI28" i="58"/>
  <c r="AB28" i="58"/>
  <c r="AC24" i="58" s="1"/>
  <c r="AM20" i="64" s="1"/>
  <c r="D61" i="67"/>
  <c r="H39" i="76"/>
  <c r="I39" i="76" s="1"/>
  <c r="AL94" i="64"/>
  <c r="H47" i="69" s="1"/>
  <c r="AF98" i="58"/>
  <c r="D10" i="76"/>
  <c r="E10" i="76"/>
  <c r="T25" i="60"/>
  <c r="D42" i="72" s="1"/>
  <c r="G10" i="76"/>
  <c r="F10" i="76"/>
  <c r="AB98" i="58"/>
  <c r="AC98" i="58" s="1"/>
  <c r="AM94" i="64" s="1"/>
  <c r="AI98" i="58"/>
  <c r="H39" i="77"/>
  <c r="I39" i="77" s="1"/>
  <c r="D59" i="67"/>
  <c r="M27" i="66"/>
  <c r="D46" i="74"/>
  <c r="D57" i="67"/>
  <c r="M25" i="66"/>
  <c r="D30" i="73"/>
  <c r="D46" i="73"/>
  <c r="AB47" i="58"/>
  <c r="AC45" i="58" s="1"/>
  <c r="AM41" i="64" s="1"/>
  <c r="AI47" i="58"/>
  <c r="AF47" i="58"/>
  <c r="AL43" i="64"/>
  <c r="H22" i="69" s="1"/>
  <c r="E16" i="76"/>
  <c r="F16" i="76"/>
  <c r="D50" i="67"/>
  <c r="M18" i="66"/>
  <c r="AF42" i="58"/>
  <c r="AL38" i="64"/>
  <c r="H19" i="69" s="1"/>
  <c r="T102" i="60"/>
  <c r="D49" i="72" s="1"/>
  <c r="AB42" i="58"/>
  <c r="AC42" i="58" s="1"/>
  <c r="AM38" i="64" s="1"/>
  <c r="AI42" i="58"/>
  <c r="D48" i="67"/>
  <c r="M16" i="66"/>
  <c r="AB91" i="58"/>
  <c r="AI91" i="58"/>
  <c r="AL87" i="64"/>
  <c r="H43" i="69" s="1"/>
  <c r="AF91" i="58"/>
  <c r="F60" i="72"/>
  <c r="C23" i="73"/>
  <c r="F33" i="73"/>
  <c r="F33" i="72"/>
  <c r="D60" i="72"/>
  <c r="D33" i="72"/>
  <c r="H23" i="76"/>
  <c r="H13" i="76"/>
  <c r="H22" i="76"/>
  <c r="F57" i="72"/>
  <c r="H21" i="76"/>
  <c r="H18" i="76"/>
  <c r="F32" i="72"/>
  <c r="H20" i="76"/>
  <c r="D58" i="67" l="1"/>
  <c r="F32" i="62"/>
  <c r="F34" i="62" s="1"/>
  <c r="C17" i="62"/>
  <c r="BO65" i="64"/>
  <c r="D24" i="67" s="1"/>
  <c r="BO20" i="64"/>
  <c r="D12" i="67" s="1"/>
  <c r="D43" i="67" s="1"/>
  <c r="D57" i="72"/>
  <c r="AC87" i="58"/>
  <c r="AM83" i="64" s="1"/>
  <c r="M15" i="69"/>
  <c r="E50" i="62"/>
  <c r="F33" i="74"/>
  <c r="H46" i="76"/>
  <c r="F60" i="74"/>
  <c r="L36" i="69"/>
  <c r="H45" i="75"/>
  <c r="BP29" i="64"/>
  <c r="N14" i="69" s="1"/>
  <c r="D46" i="67"/>
  <c r="H15" i="77"/>
  <c r="M10" i="69"/>
  <c r="AN115" i="60"/>
  <c r="F51" i="74" s="1"/>
  <c r="C17" i="74" s="1"/>
  <c r="G54" i="75"/>
  <c r="E59" i="75" s="1"/>
  <c r="E54" i="75"/>
  <c r="E57" i="75" s="1"/>
  <c r="F54" i="75"/>
  <c r="E58" i="75" s="1"/>
  <c r="D21" i="67"/>
  <c r="D52" i="67" s="1"/>
  <c r="AA100" i="58"/>
  <c r="E25" i="75"/>
  <c r="E28" i="75" s="1"/>
  <c r="F50" i="73"/>
  <c r="F31" i="73"/>
  <c r="D34" i="73"/>
  <c r="D62" i="73"/>
  <c r="D34" i="74"/>
  <c r="D62" i="74"/>
  <c r="M29" i="66"/>
  <c r="D42" i="67"/>
  <c r="E28" i="67"/>
  <c r="D70" i="67" s="1"/>
  <c r="C15" i="70"/>
  <c r="N27" i="66" s="1"/>
  <c r="D29" i="67"/>
  <c r="M47" i="69"/>
  <c r="D20" i="67"/>
  <c r="M19" i="66" s="1"/>
  <c r="D18" i="67"/>
  <c r="M17" i="66" s="1"/>
  <c r="BP36" i="64"/>
  <c r="C13" i="70" s="1"/>
  <c r="M11" i="66"/>
  <c r="M12" i="69"/>
  <c r="L33" i="69"/>
  <c r="BM96" i="64"/>
  <c r="G42" i="69"/>
  <c r="F31" i="74"/>
  <c r="D44" i="67"/>
  <c r="F50" i="74"/>
  <c r="F50" i="72"/>
  <c r="D25" i="76"/>
  <c r="E27" i="76" s="1"/>
  <c r="F31" i="72"/>
  <c r="H14" i="76"/>
  <c r="D50" i="72"/>
  <c r="M35" i="69"/>
  <c r="D25" i="67"/>
  <c r="D23" i="67"/>
  <c r="D54" i="67" s="1"/>
  <c r="M30" i="69"/>
  <c r="BO96" i="64"/>
  <c r="H45" i="76"/>
  <c r="H16" i="76"/>
  <c r="F25" i="76"/>
  <c r="E29" i="76" s="1"/>
  <c r="I11" i="63"/>
  <c r="F32" i="73"/>
  <c r="F57" i="73"/>
  <c r="M24" i="69"/>
  <c r="D22" i="67"/>
  <c r="M21" i="66" s="1"/>
  <c r="BP44" i="64"/>
  <c r="E60" i="77"/>
  <c r="H25" i="77"/>
  <c r="F30" i="72"/>
  <c r="F46" i="72"/>
  <c r="D115" i="59"/>
  <c r="E50" i="72"/>
  <c r="E31" i="72"/>
  <c r="G25" i="75"/>
  <c r="E30" i="75" s="1"/>
  <c r="AI59" i="58"/>
  <c r="AB59" i="58"/>
  <c r="AC55" i="58" s="1"/>
  <c r="AM51" i="64" s="1"/>
  <c r="E55" i="63"/>
  <c r="E32" i="63" s="1"/>
  <c r="H53" i="63"/>
  <c r="E32" i="62"/>
  <c r="E57" i="62"/>
  <c r="E62" i="62" s="1"/>
  <c r="AL55" i="64"/>
  <c r="H28" i="69" s="1"/>
  <c r="AF59" i="58"/>
  <c r="AL82" i="64"/>
  <c r="AF86" i="58"/>
  <c r="C44" i="73"/>
  <c r="C44" i="62"/>
  <c r="C44" i="74"/>
  <c r="C44" i="72"/>
  <c r="C66" i="77"/>
  <c r="C67" i="63"/>
  <c r="C66" i="76"/>
  <c r="C66" i="75"/>
  <c r="D46" i="72"/>
  <c r="F46" i="73"/>
  <c r="D50" i="62"/>
  <c r="H46" i="75"/>
  <c r="E60" i="62"/>
  <c r="E33" i="62"/>
  <c r="F30" i="73"/>
  <c r="H52" i="75"/>
  <c r="H16" i="75"/>
  <c r="F25" i="75"/>
  <c r="E29" i="75" s="1"/>
  <c r="AL81" i="64"/>
  <c r="AF85" i="58"/>
  <c r="D46" i="62"/>
  <c r="D30" i="62"/>
  <c r="D34" i="62" s="1"/>
  <c r="B43" i="59"/>
  <c r="B44" i="59" s="1"/>
  <c r="B45" i="59" s="1"/>
  <c r="B46" i="59" s="1"/>
  <c r="B47" i="59" s="1"/>
  <c r="B48" i="59" s="1"/>
  <c r="B49" i="59" s="1"/>
  <c r="AB84" i="58"/>
  <c r="AC69" i="58" s="1"/>
  <c r="AM65" i="64" s="1"/>
  <c r="AI85" i="58"/>
  <c r="H9" i="75"/>
  <c r="I9" i="75" s="1"/>
  <c r="D25" i="75"/>
  <c r="H40" i="75"/>
  <c r="D54" i="75"/>
  <c r="H9" i="76"/>
  <c r="I9" i="76" s="1"/>
  <c r="G25" i="76"/>
  <c r="E30" i="76" s="1"/>
  <c r="F30" i="74"/>
  <c r="E38" i="76"/>
  <c r="E54" i="76" s="1"/>
  <c r="E57" i="76" s="1"/>
  <c r="G38" i="76"/>
  <c r="G54" i="76" s="1"/>
  <c r="E59" i="76" s="1"/>
  <c r="F38" i="76"/>
  <c r="F54" i="76" s="1"/>
  <c r="E58" i="76" s="1"/>
  <c r="U16" i="60"/>
  <c r="E41" i="72" s="1"/>
  <c r="D38" i="76"/>
  <c r="F46" i="74"/>
  <c r="G10" i="63"/>
  <c r="G26" i="63" s="1"/>
  <c r="E31" i="63" s="1"/>
  <c r="AM16" i="60"/>
  <c r="E41" i="74" s="1"/>
  <c r="F10" i="63"/>
  <c r="F26" i="63" s="1"/>
  <c r="E30" i="63" s="1"/>
  <c r="D10" i="63"/>
  <c r="E10" i="63"/>
  <c r="E26" i="63" s="1"/>
  <c r="E29" i="63" s="1"/>
  <c r="G38" i="77"/>
  <c r="G54" i="77" s="1"/>
  <c r="E59" i="77" s="1"/>
  <c r="E38" i="77"/>
  <c r="E54" i="77" s="1"/>
  <c r="E57" i="77" s="1"/>
  <c r="F38" i="77"/>
  <c r="F54" i="77" s="1"/>
  <c r="E58" i="77" s="1"/>
  <c r="D38" i="77"/>
  <c r="AD16" i="60"/>
  <c r="E41" i="73" s="1"/>
  <c r="D30" i="72"/>
  <c r="H10" i="76"/>
  <c r="I10" i="76" s="1"/>
  <c r="E25" i="76"/>
  <c r="E28" i="76" s="1"/>
  <c r="D31" i="72"/>
  <c r="BP9" i="64" l="1"/>
  <c r="C11" i="70" s="1"/>
  <c r="N10" i="66" s="1"/>
  <c r="D55" i="67"/>
  <c r="M23" i="66"/>
  <c r="M20" i="66"/>
  <c r="F57" i="74"/>
  <c r="F32" i="74"/>
  <c r="F34" i="74" s="1"/>
  <c r="E14" i="67"/>
  <c r="D67" i="67" s="1"/>
  <c r="C12" i="70"/>
  <c r="N13" i="66" s="1"/>
  <c r="E34" i="62"/>
  <c r="AM96" i="64"/>
  <c r="F62" i="74"/>
  <c r="C25" i="74" s="1"/>
  <c r="M28" i="66"/>
  <c r="N16" i="66"/>
  <c r="D60" i="67"/>
  <c r="N17" i="69"/>
  <c r="D49" i="67"/>
  <c r="E17" i="67"/>
  <c r="D68" i="67" s="1"/>
  <c r="H42" i="69"/>
  <c r="D51" i="67"/>
  <c r="D31" i="67"/>
  <c r="M49" i="69"/>
  <c r="E11" i="67"/>
  <c r="D66" i="67" s="1"/>
  <c r="M22" i="66"/>
  <c r="N10" i="69"/>
  <c r="F62" i="72"/>
  <c r="C25" i="72" s="1"/>
  <c r="D62" i="72"/>
  <c r="F34" i="72"/>
  <c r="M24" i="66"/>
  <c r="D56" i="67"/>
  <c r="F34" i="73"/>
  <c r="F62" i="73"/>
  <c r="C25" i="73" s="1"/>
  <c r="AC100" i="58"/>
  <c r="C14" i="70"/>
  <c r="N23" i="69"/>
  <c r="E21" i="67"/>
  <c r="D69" i="67" s="1"/>
  <c r="D53" i="67"/>
  <c r="C47" i="72"/>
  <c r="C47" i="73"/>
  <c r="C47" i="74"/>
  <c r="C47" i="62"/>
  <c r="D62" i="62"/>
  <c r="C68" i="63"/>
  <c r="C67" i="77"/>
  <c r="C41" i="77" s="1"/>
  <c r="I41" i="77" s="1"/>
  <c r="C67" i="76"/>
  <c r="C41" i="76" s="1"/>
  <c r="I41" i="76" s="1"/>
  <c r="C67" i="75"/>
  <c r="C41" i="75" s="1"/>
  <c r="I41" i="75" s="1"/>
  <c r="D116" i="59"/>
  <c r="C40" i="75"/>
  <c r="E27" i="75"/>
  <c r="E60" i="75" s="1"/>
  <c r="H25" i="75"/>
  <c r="E56" i="75"/>
  <c r="H54" i="75"/>
  <c r="B50" i="59"/>
  <c r="B51" i="59" s="1"/>
  <c r="B52" i="59" s="1"/>
  <c r="B53" i="59" s="1"/>
  <c r="B54" i="59" s="1"/>
  <c r="B55" i="59" s="1"/>
  <c r="B56" i="59" s="1"/>
  <c r="B57" i="59" s="1"/>
  <c r="C40" i="76"/>
  <c r="C11" i="76"/>
  <c r="C11" i="77"/>
  <c r="C11" i="75"/>
  <c r="C12" i="63"/>
  <c r="C39" i="63"/>
  <c r="C40" i="77"/>
  <c r="H38" i="76"/>
  <c r="I38" i="76" s="1"/>
  <c r="D54" i="76"/>
  <c r="E46" i="72"/>
  <c r="E62" i="72" s="1"/>
  <c r="E30" i="72"/>
  <c r="E34" i="72" s="1"/>
  <c r="H10" i="63"/>
  <c r="I10" i="63" s="1"/>
  <c r="D26" i="63"/>
  <c r="E46" i="74"/>
  <c r="E62" i="74" s="1"/>
  <c r="E30" i="74"/>
  <c r="E34" i="74" s="1"/>
  <c r="E46" i="73"/>
  <c r="E62" i="73" s="1"/>
  <c r="E30" i="73"/>
  <c r="E34" i="73" s="1"/>
  <c r="H38" i="77"/>
  <c r="I38" i="77" s="1"/>
  <c r="D54" i="77"/>
  <c r="D34" i="72"/>
  <c r="H25" i="76"/>
  <c r="E60" i="76"/>
  <c r="BP96" i="64" l="1"/>
  <c r="D117" i="59"/>
  <c r="M30" i="66"/>
  <c r="C16" i="70"/>
  <c r="N49" i="69"/>
  <c r="N20" i="66"/>
  <c r="N30" i="66" s="1"/>
  <c r="E31" i="67"/>
  <c r="I11" i="75"/>
  <c r="I11" i="77"/>
  <c r="C12" i="75"/>
  <c r="I12" i="75" s="1"/>
  <c r="C40" i="63"/>
  <c r="I40" i="63" s="1"/>
  <c r="C13" i="63"/>
  <c r="I13" i="63" s="1"/>
  <c r="C12" i="77"/>
  <c r="I12" i="77" s="1"/>
  <c r="C12" i="76"/>
  <c r="I12" i="76" s="1"/>
  <c r="I11" i="76"/>
  <c r="C69" i="76"/>
  <c r="C43" i="76" s="1"/>
  <c r="I43" i="76" s="1"/>
  <c r="C70" i="63"/>
  <c r="C69" i="75"/>
  <c r="C43" i="75" s="1"/>
  <c r="I43" i="75" s="1"/>
  <c r="C69" i="77"/>
  <c r="C43" i="77" s="1"/>
  <c r="I43" i="77" s="1"/>
  <c r="I40" i="77"/>
  <c r="I40" i="76"/>
  <c r="I40" i="75"/>
  <c r="B58" i="59"/>
  <c r="B59" i="59" s="1"/>
  <c r="B60" i="59" s="1"/>
  <c r="B61" i="59" s="1"/>
  <c r="B62" i="59" s="1"/>
  <c r="B63" i="59" s="1"/>
  <c r="B64" i="59" s="1"/>
  <c r="B65" i="59" s="1"/>
  <c r="C48" i="74"/>
  <c r="C50" i="74" s="1"/>
  <c r="C31" i="74" s="1"/>
  <c r="C48" i="73"/>
  <c r="C48" i="72"/>
  <c r="C50" i="72" s="1"/>
  <c r="C31" i="72" s="1"/>
  <c r="C48" i="62"/>
  <c r="I39" i="63"/>
  <c r="C49" i="74"/>
  <c r="C49" i="62"/>
  <c r="C49" i="72"/>
  <c r="C49" i="73"/>
  <c r="I12" i="63"/>
  <c r="E28" i="63"/>
  <c r="H26" i="63"/>
  <c r="E56" i="77"/>
  <c r="H54" i="77"/>
  <c r="E56" i="76"/>
  <c r="H54" i="76"/>
  <c r="D118" i="59" l="1"/>
  <c r="C50" i="73"/>
  <c r="C31" i="73" s="1"/>
  <c r="C71" i="63"/>
  <c r="C70" i="76"/>
  <c r="C44" i="76" s="1"/>
  <c r="I44" i="76" s="1"/>
  <c r="C70" i="77"/>
  <c r="C44" i="77" s="1"/>
  <c r="I44" i="77" s="1"/>
  <c r="C70" i="75"/>
  <c r="C44" i="75" s="1"/>
  <c r="I44" i="75" s="1"/>
  <c r="C14" i="76"/>
  <c r="I14" i="76" s="1"/>
  <c r="C14" i="75"/>
  <c r="I14" i="75" s="1"/>
  <c r="C14" i="77"/>
  <c r="I14" i="77" s="1"/>
  <c r="C42" i="63"/>
  <c r="I42" i="63" s="1"/>
  <c r="C15" i="63"/>
  <c r="I15" i="63" s="1"/>
  <c r="C51" i="62"/>
  <c r="C51" i="74"/>
  <c r="C51" i="73"/>
  <c r="C51" i="72"/>
  <c r="C71" i="76"/>
  <c r="C45" i="76" s="1"/>
  <c r="I45" i="76" s="1"/>
  <c r="C71" i="75"/>
  <c r="C45" i="75" s="1"/>
  <c r="I45" i="75" s="1"/>
  <c r="C72" i="63"/>
  <c r="C71" i="77"/>
  <c r="C45" i="77" s="1"/>
  <c r="I45" i="77" s="1"/>
  <c r="B66" i="59"/>
  <c r="B67" i="59" s="1"/>
  <c r="D119" i="59"/>
  <c r="C50" i="62"/>
  <c r="C31" i="62" s="1"/>
  <c r="C52" i="74" l="1"/>
  <c r="C52" i="72"/>
  <c r="C52" i="73"/>
  <c r="C52" i="62"/>
  <c r="C73" i="63"/>
  <c r="C72" i="76"/>
  <c r="C46" i="76" s="1"/>
  <c r="I46" i="76" s="1"/>
  <c r="C72" i="77"/>
  <c r="C46" i="77" s="1"/>
  <c r="I46" i="77" s="1"/>
  <c r="C72" i="75"/>
  <c r="C46" i="75" s="1"/>
  <c r="I46" i="75" s="1"/>
  <c r="B68" i="59"/>
  <c r="B69" i="59" s="1"/>
  <c r="B70" i="59" s="1"/>
  <c r="D120" i="59"/>
  <c r="C16" i="77"/>
  <c r="I16" i="77" s="1"/>
  <c r="C16" i="75"/>
  <c r="I16" i="75" s="1"/>
  <c r="C16" i="76"/>
  <c r="I16" i="76" s="1"/>
  <c r="C17" i="63"/>
  <c r="I17" i="63" s="1"/>
  <c r="C44" i="63"/>
  <c r="I44" i="63" s="1"/>
  <c r="C15" i="75"/>
  <c r="I15" i="75" s="1"/>
  <c r="C15" i="77"/>
  <c r="I15" i="77" s="1"/>
  <c r="C43" i="63"/>
  <c r="I43" i="63" s="1"/>
  <c r="C16" i="63"/>
  <c r="I16" i="63" s="1"/>
  <c r="C15" i="76"/>
  <c r="I15" i="76" s="1"/>
  <c r="C53" i="62" l="1"/>
  <c r="C53" i="74"/>
  <c r="C53" i="73"/>
  <c r="C53" i="72"/>
  <c r="C73" i="76"/>
  <c r="C47" i="76" s="1"/>
  <c r="I47" i="76" s="1"/>
  <c r="C73" i="77"/>
  <c r="C47" i="77" s="1"/>
  <c r="I47" i="77" s="1"/>
  <c r="C74" i="63"/>
  <c r="C73" i="75"/>
  <c r="C47" i="75" s="1"/>
  <c r="I47" i="75" s="1"/>
  <c r="C17" i="76"/>
  <c r="I17" i="76" s="1"/>
  <c r="C17" i="75"/>
  <c r="I17" i="75" s="1"/>
  <c r="C17" i="77"/>
  <c r="I17" i="77" s="1"/>
  <c r="C45" i="63"/>
  <c r="I45" i="63" s="1"/>
  <c r="C18" i="63"/>
  <c r="I18" i="63" s="1"/>
  <c r="B71" i="59"/>
  <c r="B72" i="59" s="1"/>
  <c r="B73" i="59" s="1"/>
  <c r="B74" i="59" s="1"/>
  <c r="D121" i="59" l="1"/>
  <c r="B75" i="59"/>
  <c r="B76" i="59" s="1"/>
  <c r="B77" i="59" s="1"/>
  <c r="B78" i="59" s="1"/>
  <c r="C74" i="76"/>
  <c r="C48" i="76" s="1"/>
  <c r="I48" i="76" s="1"/>
  <c r="C74" i="75"/>
  <c r="C48" i="75" s="1"/>
  <c r="I48" i="75" s="1"/>
  <c r="C75" i="63"/>
  <c r="C74" i="77"/>
  <c r="C48" i="77" s="1"/>
  <c r="I48" i="77" s="1"/>
  <c r="C18" i="76"/>
  <c r="I18" i="76" s="1"/>
  <c r="C46" i="63"/>
  <c r="I46" i="63" s="1"/>
  <c r="C18" i="77"/>
  <c r="I18" i="77" s="1"/>
  <c r="C19" i="63"/>
  <c r="I19" i="63" s="1"/>
  <c r="C18" i="75"/>
  <c r="I18" i="75" s="1"/>
  <c r="D122" i="59" l="1"/>
  <c r="C55" i="62" s="1"/>
  <c r="C55" i="74"/>
  <c r="B79" i="59"/>
  <c r="B80" i="59" s="1"/>
  <c r="B81" i="59" s="1"/>
  <c r="B82" i="59" s="1"/>
  <c r="B83" i="59" s="1"/>
  <c r="C54" i="62"/>
  <c r="C54" i="74"/>
  <c r="C54" i="73"/>
  <c r="C54" i="72"/>
  <c r="C19" i="77"/>
  <c r="I19" i="77" s="1"/>
  <c r="C20" i="63"/>
  <c r="I20" i="63" s="1"/>
  <c r="C19" i="75"/>
  <c r="I19" i="75" s="1"/>
  <c r="C47" i="63"/>
  <c r="I47" i="63" s="1"/>
  <c r="C19" i="76"/>
  <c r="I19" i="76" s="1"/>
  <c r="C55" i="72" l="1"/>
  <c r="C55" i="73"/>
  <c r="C75" i="76"/>
  <c r="C49" i="76" s="1"/>
  <c r="I49" i="76" s="1"/>
  <c r="C76" i="63"/>
  <c r="C75" i="75"/>
  <c r="C49" i="75" s="1"/>
  <c r="I49" i="75" s="1"/>
  <c r="C75" i="77"/>
  <c r="C49" i="77" s="1"/>
  <c r="I49" i="77" s="1"/>
  <c r="B84" i="59"/>
  <c r="B85" i="59" s="1"/>
  <c r="B86" i="59" s="1"/>
  <c r="D123" i="59"/>
  <c r="C76" i="75"/>
  <c r="C50" i="75" s="1"/>
  <c r="I50" i="75" s="1"/>
  <c r="C76" i="77"/>
  <c r="C50" i="77" s="1"/>
  <c r="I50" i="77" s="1"/>
  <c r="C77" i="63"/>
  <c r="C76" i="76"/>
  <c r="C50" i="76" s="1"/>
  <c r="I50" i="76" s="1"/>
  <c r="B87" i="59" l="1"/>
  <c r="B88" i="59" s="1"/>
  <c r="B89" i="59" s="1"/>
  <c r="D125" i="59"/>
  <c r="C22" i="63"/>
  <c r="I22" i="63" s="1"/>
  <c r="C49" i="63"/>
  <c r="I49" i="63" s="1"/>
  <c r="C21" i="77"/>
  <c r="I21" i="77" s="1"/>
  <c r="C21" i="76"/>
  <c r="I21" i="76" s="1"/>
  <c r="C21" i="75"/>
  <c r="I21" i="75" s="1"/>
  <c r="C20" i="75"/>
  <c r="I20" i="75" s="1"/>
  <c r="C48" i="63"/>
  <c r="I48" i="63" s="1"/>
  <c r="C21" i="63"/>
  <c r="I21" i="63" s="1"/>
  <c r="C20" i="76"/>
  <c r="I20" i="76" s="1"/>
  <c r="C20" i="77"/>
  <c r="I20" i="77" s="1"/>
  <c r="C56" i="74"/>
  <c r="C57" i="74" s="1"/>
  <c r="C32" i="74" s="1"/>
  <c r="C56" i="62"/>
  <c r="C56" i="73"/>
  <c r="C57" i="73" s="1"/>
  <c r="C32" i="73" s="1"/>
  <c r="C56" i="72"/>
  <c r="C57" i="72" s="1"/>
  <c r="C32" i="72" s="1"/>
  <c r="D124" i="59"/>
  <c r="C78" i="63" l="1"/>
  <c r="C77" i="76"/>
  <c r="C51" i="76" s="1"/>
  <c r="I51" i="76" s="1"/>
  <c r="C77" i="75"/>
  <c r="C51" i="75" s="1"/>
  <c r="I51" i="75" s="1"/>
  <c r="C77" i="77"/>
  <c r="C51" i="77" s="1"/>
  <c r="I51" i="77" s="1"/>
  <c r="C57" i="62"/>
  <c r="C32" i="62" s="1"/>
  <c r="C58" i="74"/>
  <c r="C58" i="73"/>
  <c r="C58" i="62"/>
  <c r="C58" i="72"/>
  <c r="C45" i="73"/>
  <c r="C46" i="73" s="1"/>
  <c r="C30" i="73" s="1"/>
  <c r="C45" i="62"/>
  <c r="C45" i="74"/>
  <c r="C46" i="74" s="1"/>
  <c r="C30" i="74" s="1"/>
  <c r="C45" i="72"/>
  <c r="C46" i="72" s="1"/>
  <c r="C30" i="72" s="1"/>
  <c r="B90" i="59"/>
  <c r="B91" i="59" s="1"/>
  <c r="B92" i="59" s="1"/>
  <c r="B93" i="59" s="1"/>
  <c r="B94" i="59" s="1"/>
  <c r="B95" i="59" s="1"/>
  <c r="B96" i="59" s="1"/>
  <c r="B97" i="59" s="1"/>
  <c r="B98" i="59" s="1"/>
  <c r="B99" i="59" s="1"/>
  <c r="B100" i="59" s="1"/>
  <c r="B101" i="59" s="1"/>
  <c r="B102" i="59" s="1"/>
  <c r="B103" i="59" s="1"/>
  <c r="B104" i="59" s="1"/>
  <c r="B105" i="59" s="1"/>
  <c r="B106" i="59" s="1"/>
  <c r="C78" i="75" l="1"/>
  <c r="C52" i="75" s="1"/>
  <c r="I52" i="75" s="1"/>
  <c r="C78" i="77"/>
  <c r="C52" i="77" s="1"/>
  <c r="I52" i="77" s="1"/>
  <c r="C79" i="63"/>
  <c r="C78" i="76"/>
  <c r="C52" i="76" s="1"/>
  <c r="I52" i="76" s="1"/>
  <c r="C68" i="76"/>
  <c r="C68" i="75"/>
  <c r="C68" i="77"/>
  <c r="C69" i="63"/>
  <c r="C46" i="62"/>
  <c r="C30" i="62" s="1"/>
  <c r="D126" i="59"/>
  <c r="C22" i="76"/>
  <c r="I22" i="76" s="1"/>
  <c r="C50" i="63"/>
  <c r="I50" i="63" s="1"/>
  <c r="C22" i="77"/>
  <c r="I22" i="77" s="1"/>
  <c r="C22" i="75"/>
  <c r="I22" i="75" s="1"/>
  <c r="C23" i="63"/>
  <c r="I23" i="63" s="1"/>
  <c r="C13" i="77" l="1"/>
  <c r="C13" i="75"/>
  <c r="C14" i="63"/>
  <c r="C13" i="76"/>
  <c r="I13" i="76" s="1"/>
  <c r="C41" i="63"/>
  <c r="C42" i="77"/>
  <c r="C51" i="63"/>
  <c r="I51" i="63" s="1"/>
  <c r="C23" i="77"/>
  <c r="I23" i="77" s="1"/>
  <c r="C23" i="76"/>
  <c r="I23" i="76" s="1"/>
  <c r="C23" i="75"/>
  <c r="I23" i="75" s="1"/>
  <c r="C24" i="63"/>
  <c r="I24" i="63" s="1"/>
  <c r="C42" i="75"/>
  <c r="C59" i="62"/>
  <c r="C59" i="74"/>
  <c r="C60" i="74" s="1"/>
  <c r="C59" i="72"/>
  <c r="C60" i="72" s="1"/>
  <c r="C59" i="73"/>
  <c r="C60" i="73" s="1"/>
  <c r="D127" i="59"/>
  <c r="C42" i="76"/>
  <c r="I42" i="77" l="1"/>
  <c r="I42" i="75"/>
  <c r="I41" i="63"/>
  <c r="C33" i="73"/>
  <c r="C34" i="73" s="1"/>
  <c r="C62" i="73"/>
  <c r="I14" i="63"/>
  <c r="C33" i="72"/>
  <c r="C34" i="72" s="1"/>
  <c r="C62" i="72"/>
  <c r="I13" i="75"/>
  <c r="I42" i="76"/>
  <c r="C62" i="74"/>
  <c r="C33" i="74"/>
  <c r="C34" i="74" s="1"/>
  <c r="I13" i="77"/>
  <c r="C79" i="77"/>
  <c r="C79" i="76"/>
  <c r="C80" i="63"/>
  <c r="C79" i="75"/>
  <c r="C60" i="62"/>
  <c r="C53" i="75" l="1"/>
  <c r="C80" i="75"/>
  <c r="C53" i="76"/>
  <c r="C80" i="76"/>
  <c r="C24" i="76"/>
  <c r="C24" i="75"/>
  <c r="C25" i="63"/>
  <c r="C52" i="63"/>
  <c r="C24" i="77"/>
  <c r="C81" i="63"/>
  <c r="C53" i="77"/>
  <c r="C80" i="77"/>
  <c r="C33" i="62"/>
  <c r="C34" i="62" s="1"/>
  <c r="C62" i="62"/>
  <c r="I24" i="75" l="1"/>
  <c r="C25" i="75"/>
  <c r="I25" i="75" s="1"/>
  <c r="I25" i="63"/>
  <c r="C26" i="63"/>
  <c r="I26" i="63" s="1"/>
  <c r="I52" i="63"/>
  <c r="C53" i="63"/>
  <c r="I53" i="63" s="1"/>
  <c r="I24" i="76"/>
  <c r="C25" i="76"/>
  <c r="I25" i="76" s="1"/>
  <c r="I53" i="77"/>
  <c r="C54" i="77"/>
  <c r="I54" i="77" s="1"/>
  <c r="I53" i="76"/>
  <c r="C54" i="76"/>
  <c r="I54" i="76" s="1"/>
  <c r="I24" i="77"/>
  <c r="C25" i="77"/>
  <c r="I25" i="77" s="1"/>
  <c r="I53" i="75"/>
  <c r="C54" i="75"/>
  <c r="I54" i="7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1"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0"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9"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1"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8"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6"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1"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93"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6"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19"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6"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4"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3"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2"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2"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70"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<sst xmlns="http://schemas.openxmlformats.org/spreadsheetml/2006/main" count="4849" uniqueCount="1196">
  <si>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</si>
  <si>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</si>
  <si>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</si>
  <si>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</si>
  <si>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</si>
  <si>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</si>
  <si>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</si>
  <si>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</si>
  <si>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</si>
  <si>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</si>
  <si>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</si>
  <si>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</si>
  <si>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</si>
  <si>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</si>
  <si>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</si>
  <si>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</si>
  <si>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</si>
  <si>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</si>
  <si>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</si>
  <si>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</si>
  <si>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</si>
  <si>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</si>
  <si>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</si>
  <si>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</si>
  <si>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</si>
  <si>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</si>
  <si>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</si>
  <si>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</si>
  <si>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</si>
  <si>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</si>
  <si>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</si>
  <si>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</si>
  <si>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</si>
  <si>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</si>
  <si>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</si>
  <si>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</si>
  <si>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</si>
  <si>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</si>
  <si>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</si>
  <si>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</si>
  <si>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</si>
  <si>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</si>
  <si>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</si>
  <si>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</si>
  <si>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</si>
  <si>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</si>
  <si>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</si>
  <si>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</si>
  <si>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</si>
  <si>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</si>
  <si>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</si>
  <si>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</si>
  <si>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</si>
  <si>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</si>
  <si>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</si>
  <si>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</si>
  <si>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</si>
  <si>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</si>
  <si>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</si>
  <si>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</si>
  <si>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</si>
  <si>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</si>
  <si>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</si>
  <si>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</si>
  <si>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</si>
  <si>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</si>
  <si>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</si>
  <si>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</si>
  <si>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</si>
  <si>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</si>
  <si>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</si>
  <si>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</si>
  <si>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</si>
  <si>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</si>
  <si>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</si>
  <si>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</si>
  <si>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</si>
  <si>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</si>
  <si>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</si>
  <si>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</si>
  <si>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</si>
  <si>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</si>
  <si>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</si>
  <si>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</si>
  <si>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</si>
  <si>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</si>
  <si>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</si>
  <si>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</si>
  <si>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</si>
  <si>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</si>
  <si>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</si>
  <si>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</si>
  <si>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</si>
  <si>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</si>
  <si>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</si>
  <si>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</si>
  <si>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</si>
  <si>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</si>
  <si>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</si>
  <si>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</si>
  <si>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</si>
  <si>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</si>
  <si>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</si>
  <si>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</si>
  <si>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</si>
  <si>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</si>
  <si>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</si>
  <si>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</si>
  <si>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</si>
  <si>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</si>
  <si>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</si>
  <si>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</si>
  <si>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</si>
  <si>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</si>
  <si>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</si>
  <si>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</si>
  <si>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</si>
  <si>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</si>
  <si>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</si>
  <si>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</si>
  <si>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</si>
  <si>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</si>
  <si>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</si>
  <si>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</si>
  <si>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</si>
  <si>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</si>
  <si>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</si>
  <si>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</si>
  <si>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</si>
  <si>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</si>
  <si>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</si>
  <si>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</si>
  <si>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</si>
  <si>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</si>
  <si>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</si>
  <si>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</si>
  <si>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2.2. Fortalecer la moralidad publica realizando  880 acciones de prevención y control a la función pública.</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</si>
  <si>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</si>
  <si>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</si>
  <si>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</si>
  <si>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</si>
  <si>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</si>
  <si>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</si>
  <si>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</si>
  <si>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</si>
  <si>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</si>
  <si>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</si>
  <si>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</si>
  <si>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</si>
  <si>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</si>
  <si>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</si>
  <si>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</si>
  <si>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</si>
  <si>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</si>
  <si>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</si>
  <si>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</si>
  <si>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</si>
  <si>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</si>
  <si>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</si>
  <si>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</si>
  <si>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</si>
  <si>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</si>
  <si>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</si>
  <si>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</si>
  <si>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</si>
  <si>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</si>
  <si>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</si>
  <si>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</si>
  <si>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Intervenciones realizadas en defensa de los derechos</t>
  </si>
  <si>
    <t>Personas orientadas en garantía de derechos</t>
  </si>
  <si>
    <t>Personas asistidas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</si>
  <si>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</si>
  <si>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</si>
  <si>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</si>
  <si>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</si>
  <si>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</si>
  <si>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&gt;=95%</t>
  </si>
  <si>
    <t>Estados de vulneración establecidos</t>
  </si>
  <si>
    <t>Personas sensibilizadas en el Distrito Capital</t>
  </si>
  <si>
    <t>Acciones en favor de las víctimas del conflicto armado interno adelantadas</t>
  </si>
  <si>
    <t>Acciones constitucionales elaboradas para prevenir vulneración de derechos</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</si>
  <si>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</si>
  <si>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</si>
  <si>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</si>
  <si>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</si>
  <si>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</si>
  <si>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</si>
  <si>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</si>
  <si>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</si>
  <si>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</si>
  <si>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</si>
  <si>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</si>
  <si>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</si>
  <si>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</si>
  <si>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</si>
  <si>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</si>
  <si>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</si>
  <si>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</si>
  <si>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</si>
  <si>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</si>
  <si>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</si>
  <si>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</si>
  <si>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</si>
  <si>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</si>
  <si>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1. Recibir las solicitudes de conciliación y unión marital de hecho.
2. Realizar registro de la solicitud en el aplicativo SICAAC.  
3. Atender las solicitudes de conciliación y unión marital de hecho según lineamientos institucionales.</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</si>
  <si>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</si>
  <si>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</si>
  <si>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</si>
  <si>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</si>
  <si>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</si>
  <si>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</si>
  <si>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</si>
  <si>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</si>
  <si>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</si>
  <si>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</si>
  <si>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</si>
  <si>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</si>
  <si>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</si>
  <si>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</si>
  <si>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</si>
  <si>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</si>
  <si>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</si>
  <si>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</si>
  <si>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</si>
  <si>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</si>
  <si>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</si>
  <si>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</si>
  <si>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</si>
  <si>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</si>
  <si>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</si>
  <si>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</si>
  <si>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</si>
  <si>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</si>
  <si>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</si>
  <si>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</si>
  <si>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</si>
  <si>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</si>
  <si>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</si>
  <si>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</si>
  <si>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</si>
  <si>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</si>
  <si>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</si>
  <si>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</si>
  <si>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</si>
  <si>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</si>
  <si>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</si>
  <si>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</si>
  <si>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</si>
  <si>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</si>
  <si>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</si>
  <si>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</si>
  <si>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</si>
  <si>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</si>
  <si>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</si>
  <si>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</si>
  <si>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</si>
  <si>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</si>
  <si>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</si>
  <si>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</si>
  <si>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</si>
  <si>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</si>
  <si>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</si>
  <si>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</si>
  <si>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</si>
  <si>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</si>
  <si>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</si>
  <si>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</si>
  <si>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</si>
  <si>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</si>
  <si>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</si>
  <si>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</si>
  <si>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</si>
  <si>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</si>
  <si>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1 Informe de seguimiento a los resultados de  acciones de prevención y control a la función publica en los cuales se evaluaron políticas ambientales, manejo de recursos hídricos, protección y bienestar animal y desarrollo urbano, en el Distrito Capital.</t>
  </si>
  <si>
    <t>Acciones de Prevención y Control a la Función Pública realizadas, con informe.</t>
  </si>
  <si>
    <t>Seguimientos realizados sobre acciones previas, con informe</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</si>
  <si>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</si>
  <si>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</si>
  <si>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 Descongestionar 4500 procesos disciplinarios con criterios de calidad, efectividad y garantía del debido proceso.</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</si>
  <si>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</si>
  <si>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</si>
  <si>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</si>
  <si>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</si>
  <si>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</si>
  <si>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</si>
  <si>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</si>
  <si>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</si>
  <si>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</si>
  <si>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</si>
  <si>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</si>
  <si>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</si>
  <si>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</si>
  <si>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</si>
  <si>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</si>
  <si>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</si>
  <si>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</si>
  <si>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</si>
  <si>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</si>
  <si>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</si>
  <si>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</si>
  <si>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</si>
  <si>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</si>
  <si>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</si>
  <si>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</si>
  <si>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</si>
  <si>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</si>
  <si>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</si>
  <si>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</si>
  <si>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</si>
  <si>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</si>
  <si>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</si>
  <si>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</si>
  <si>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</si>
  <si>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</si>
  <si>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</si>
  <si>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</si>
  <si>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</si>
  <si>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</si>
  <si>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</si>
  <si>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</si>
  <si>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</si>
  <si>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</si>
  <si>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</si>
  <si>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</si>
  <si>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</si>
  <si>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</si>
  <si>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</si>
  <si>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</si>
  <si>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</si>
  <si>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</si>
  <si>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</si>
  <si>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</si>
  <si>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</si>
  <si>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</si>
  <si>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</si>
  <si>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</si>
  <si>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</si>
  <si>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</si>
  <si>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</si>
  <si>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</si>
  <si>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</si>
  <si>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</si>
  <si>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</si>
  <si>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</si>
  <si>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</si>
  <si>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</si>
  <si>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</si>
  <si>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</si>
  <si>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</si>
  <si>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</si>
  <si>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</si>
  <si>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</si>
  <si>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</si>
  <si>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</si>
  <si>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</si>
  <si>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</si>
  <si>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</si>
  <si>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</si>
  <si>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</si>
  <si>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</si>
  <si>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</si>
  <si>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Avance en la implementación del MIPG en por lo menos el 23%</t>
  </si>
  <si>
    <t>Direccionamiento estratégico y Planeación
Evaluación de Resultados</t>
  </si>
  <si>
    <t>Tecnológicos
Talento Humano</t>
  </si>
  <si>
    <t>Tecnológicos
Financieros
Talento Humano</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</si>
  <si>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</si>
  <si>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</si>
  <si>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</si>
  <si>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</si>
  <si>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</si>
  <si>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</si>
  <si>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</si>
  <si>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</si>
  <si>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</si>
  <si>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</si>
  <si>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</si>
  <si>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</si>
  <si>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</si>
  <si>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</si>
  <si>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</si>
  <si>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</si>
  <si>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</si>
  <si>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</si>
  <si>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</si>
  <si>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</si>
  <si>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</si>
  <si>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</si>
  <si>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</si>
  <si>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</si>
  <si>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</si>
  <si>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</si>
  <si>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</si>
  <si>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</si>
  <si>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</si>
  <si>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</si>
  <si>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</si>
  <si>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</si>
  <si>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</si>
  <si>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</si>
  <si>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</si>
  <si>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</si>
  <si>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</si>
  <si>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</si>
  <si>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</si>
  <si>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</si>
  <si>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</si>
  <si>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</si>
  <si>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</si>
  <si>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</si>
  <si>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</si>
  <si>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</si>
  <si>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</si>
  <si>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</si>
  <si>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</si>
  <si>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</si>
  <si>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</si>
  <si>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</si>
  <si>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</si>
  <si>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</si>
  <si>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</si>
  <si>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</si>
  <si>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</si>
  <si>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</si>
  <si>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</si>
  <si>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</si>
  <si>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</si>
  <si>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</si>
  <si>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</si>
  <si>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</si>
  <si>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</si>
  <si>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</si>
  <si>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</si>
  <si>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</si>
  <si>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</si>
  <si>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</si>
  <si>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</si>
  <si>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</si>
  <si>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</si>
  <si>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</si>
  <si>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</si>
  <si>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</si>
  <si>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</si>
  <si>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</si>
  <si>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</si>
  <si>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</si>
  <si>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</si>
  <si>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</si>
  <si>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</si>
  <si>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</si>
  <si>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</si>
  <si>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</si>
  <si>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</si>
  <si>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</si>
  <si>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</si>
  <si>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</si>
  <si>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</si>
  <si>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</si>
  <si>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</si>
  <si>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</si>
  <si>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</si>
  <si>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</si>
  <si>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</si>
  <si>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</si>
  <si>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</si>
  <si>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</si>
  <si>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</si>
  <si>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</si>
  <si>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</si>
  <si>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</si>
  <si>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</si>
  <si>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</si>
  <si>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</si>
  <si>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</si>
  <si>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</si>
  <si>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</si>
  <si>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</si>
  <si>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</si>
  <si>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</si>
  <si>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</si>
  <si>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</si>
  <si>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</si>
  <si>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</si>
  <si>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</si>
  <si>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</si>
  <si>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</si>
  <si>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</si>
  <si>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</si>
  <si>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</si>
  <si>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</si>
  <si>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</si>
  <si>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</si>
  <si>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</si>
  <si>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</si>
  <si>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</si>
  <si>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</si>
  <si>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</si>
  <si>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</si>
  <si>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</si>
  <si>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</si>
  <si>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</si>
  <si>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</si>
  <si>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</si>
  <si>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</si>
  <si>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</si>
  <si>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</si>
  <si>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</si>
  <si>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</si>
  <si>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</si>
  <si>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</si>
  <si>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</si>
  <si>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</si>
  <si>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</si>
  <si>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</si>
  <si>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</si>
  <si>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</si>
  <si>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</si>
  <si>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</si>
  <si>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</si>
  <si>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</si>
  <si>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</si>
  <si>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</si>
  <si>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</si>
  <si>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</si>
  <si>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</si>
  <si>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</si>
  <si>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</si>
  <si>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</si>
  <si>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</si>
  <si>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</si>
  <si>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</si>
  <si>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</si>
  <si>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</si>
  <si>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</si>
  <si>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</si>
  <si>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</si>
  <si>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</si>
  <si>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</si>
  <si>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</si>
  <si>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</si>
  <si>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</si>
  <si>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</si>
  <si>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</si>
  <si>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</si>
  <si>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</si>
  <si>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</si>
  <si>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</si>
  <si>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</si>
  <si>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</si>
  <si>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</si>
  <si>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</si>
  <si>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</si>
  <si>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</si>
  <si>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</si>
  <si>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</si>
  <si>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</si>
  <si>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</si>
  <si>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</si>
  <si>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</si>
  <si>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</si>
  <si>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</si>
  <si>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</si>
  <si>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</si>
  <si>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</si>
  <si>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</si>
  <si>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</si>
  <si>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</si>
  <si>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</si>
  <si>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</si>
  <si>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</si>
  <si>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</si>
  <si>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</si>
  <si>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</si>
  <si>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</si>
  <si>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</si>
  <si>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</si>
  <si>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</si>
  <si>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</si>
  <si>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</si>
  <si>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</si>
  <si>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</si>
  <si>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</si>
  <si>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</si>
  <si>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</si>
  <si>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</si>
  <si>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</si>
  <si>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</si>
  <si>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</si>
  <si>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</si>
  <si>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</si>
  <si>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</si>
  <si>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</si>
  <si>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</si>
  <si>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</si>
  <si>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</si>
  <si>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</si>
  <si>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</si>
  <si>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</si>
  <si>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</si>
  <si>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</si>
  <si>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</si>
  <si>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</si>
  <si>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</si>
  <si>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</si>
  <si>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</si>
  <si>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</si>
  <si>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</si>
  <si>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</si>
  <si>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</si>
  <si>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Dirección de Conciliación y M.A.S.C.</t>
  </si>
  <si>
    <t>NOTA: Si este documento se encuentra impreso se considera Copia no Controlada. La versión vigente esta publicada en la intranet de la Personería de Bogotá D.C.</t>
  </si>
  <si>
    <t>PLAN OPERATIVO ANUAL 
2021</t>
  </si>
  <si>
    <r>
      <t xml:space="preserve">Código: </t>
    </r>
    <r>
      <rPr>
        <sz val="10"/>
        <rFont val="Arial"/>
        <family val="2"/>
      </rPr>
      <t>01-PL-09</t>
    </r>
  </si>
  <si>
    <r>
      <t xml:space="preserve">Página: 
</t>
    </r>
    <r>
      <rPr>
        <sz val="10"/>
        <rFont val="Arial"/>
        <family val="2"/>
      </rPr>
      <t>1 de 2</t>
    </r>
  </si>
  <si>
    <r>
      <t xml:space="preserve">Vigencia desde: 
</t>
    </r>
    <r>
      <rPr>
        <sz val="10"/>
        <rFont val="Arial"/>
        <family val="2"/>
      </rPr>
      <t>30-01-2021</t>
    </r>
  </si>
  <si>
    <t>CONTROL DE CAMBIOS</t>
  </si>
  <si>
    <t>VERSIÓN</t>
  </si>
  <si>
    <t>FECHA</t>
  </si>
  <si>
    <t>DESCRIPCIÓN DE LA MODIFICACIÓN</t>
  </si>
  <si>
    <t>Versión inicial del documento.</t>
  </si>
  <si>
    <t>Responsables de Procesos
Referentes de Gestión
Procesos Institucionales</t>
  </si>
  <si>
    <t>Elaboró</t>
  </si>
  <si>
    <t>Revisó</t>
  </si>
  <si>
    <t>Aprobó</t>
  </si>
  <si>
    <t>Germán Uriel Rojas
Director de Planeación ( E )</t>
  </si>
  <si>
    <t>Comité Institucional de Gestión y Desempeño</t>
  </si>
  <si>
    <r>
      <t xml:space="preserve">Página: 
</t>
    </r>
    <r>
      <rPr>
        <sz val="10"/>
        <rFont val="Arial"/>
        <family val="2"/>
      </rPr>
      <t>2 de 2</t>
    </r>
  </si>
  <si>
    <r>
      <t xml:space="preserve">Versión: </t>
    </r>
    <r>
      <rPr>
        <sz val="10"/>
        <rFont val="Arial"/>
        <family val="2"/>
      </rPr>
      <t>1</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</si>
  <si>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</si>
  <si>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</si>
  <si>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</si>
  <si>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</si>
  <si>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</si>
  <si>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</si>
  <si>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</si>
  <si>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</si>
  <si>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</si>
  <si>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</si>
  <si>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</si>
  <si>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</si>
  <si>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</si>
  <si>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</si>
  <si>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</si>
  <si>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</si>
  <si>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</si>
  <si>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</si>
  <si>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</si>
  <si>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</si>
  <si>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</si>
  <si>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</si>
  <si>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</si>
  <si>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</si>
  <si>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</si>
  <si>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</si>
  <si>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</si>
  <si>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</si>
  <si>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4.1.3 Realizar el 100% de las actividades definidas en la estrategia de servicios ciudadanos digitales, que permitan acceder a los tramites y servicios de la Entidad a través de canales digitales rápidos, fiables y seguros</t>
  </si>
  <si>
    <t xml:space="preserve">3.4.2 Diseñar e implementar un sistema de información misional que generé el expediente electrónico  </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</si>
  <si>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</si>
  <si>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</si>
  <si>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</si>
  <si>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</si>
  <si>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</si>
  <si>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</si>
  <si>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</si>
  <si>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</si>
  <si>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</si>
  <si>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</si>
  <si>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</si>
  <si>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</si>
  <si>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</si>
  <si>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</si>
  <si>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</si>
  <si>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</si>
  <si>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</si>
  <si>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</si>
  <si>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</si>
  <si>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</si>
  <si>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</si>
  <si>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</si>
  <si>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</si>
  <si>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</si>
  <si>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</si>
  <si>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</si>
  <si>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</si>
  <si>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</si>
  <si>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</si>
  <si>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</si>
  <si>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</si>
  <si>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</si>
  <si>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</si>
  <si>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</si>
  <si>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</si>
  <si>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</si>
  <si>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</si>
  <si>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</si>
  <si>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</si>
  <si>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HÉCTOR HERNÁN GONZÁLEZ NARANJO / DIRECTOR DE PLANEACIÓN</t>
  </si>
  <si>
    <t>PROGRAMADO</t>
  </si>
  <si>
    <t>EJECUTADO</t>
  </si>
  <si>
    <t>CUMPLIMIENTO ACUMULADO EN EL CUATRIENIO</t>
  </si>
  <si>
    <t>TOTAL EJECUTADO AÑO</t>
  </si>
  <si>
    <t>CONTRIBUCIÓN A META ESTRATEGICA EN EL CUATRIENIO</t>
  </si>
  <si>
    <t>CUATRIENIO</t>
  </si>
  <si>
    <t>GRADO DE CUMPLIMIENTO META ESTRATÉGICA</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</si>
  <si>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</si>
  <si>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</si>
  <si>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</si>
  <si>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</si>
  <si>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</si>
  <si>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</si>
  <si>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</si>
  <si>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</si>
  <si>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</si>
  <si>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</si>
  <si>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</si>
  <si>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</si>
  <si>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</si>
  <si>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</si>
  <si>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</si>
  <si>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</si>
  <si>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</si>
  <si>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</si>
  <si>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</si>
  <si>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</si>
  <si>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</si>
  <si>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</si>
  <si>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</si>
  <si>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</si>
  <si>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</si>
  <si>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</si>
  <si>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</si>
  <si>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</si>
  <si>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</si>
  <si>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</si>
  <si>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</si>
  <si>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</si>
  <si>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</si>
  <si>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</si>
  <si>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</si>
  <si>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</si>
  <si>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</si>
  <si>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</si>
  <si>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</si>
  <si>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</si>
  <si>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</si>
  <si>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</si>
  <si>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</si>
  <si>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</si>
  <si>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</si>
  <si>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</si>
  <si>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</si>
  <si>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</si>
  <si>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</si>
  <si>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</si>
  <si>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</si>
  <si>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</si>
  <si>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</si>
  <si>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</si>
  <si>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</si>
  <si>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</si>
  <si>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</si>
  <si>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</si>
  <si>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</si>
  <si>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</si>
  <si>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</si>
  <si>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</si>
  <si>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</si>
  <si>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</si>
  <si>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</si>
  <si>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</si>
  <si>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</si>
  <si>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</si>
  <si>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</si>
  <si>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</si>
  <si>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</si>
  <si>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</si>
  <si>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</si>
  <si>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</si>
  <si>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</si>
  <si>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</si>
  <si>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</si>
  <si>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</si>
  <si>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</si>
  <si>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</si>
  <si>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</si>
  <si>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</si>
  <si>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</si>
  <si>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</si>
  <si>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</si>
  <si>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</si>
  <si>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</si>
  <si>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</si>
  <si>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</si>
  <si>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</si>
  <si>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</si>
  <si>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</si>
  <si>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</si>
  <si>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</si>
  <si>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</si>
  <si>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</si>
  <si>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</si>
  <si>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</si>
  <si>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</si>
  <si>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</si>
  <si>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</si>
  <si>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</si>
  <si>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</si>
  <si>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</si>
  <si>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</si>
  <si>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</si>
  <si>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</si>
  <si>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</si>
  <si>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</si>
  <si>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</si>
  <si>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</si>
  <si>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</si>
  <si>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</si>
  <si>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</si>
  <si>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</si>
  <si>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</si>
  <si>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</si>
  <si>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</si>
  <si>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</si>
  <si>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</si>
  <si>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</si>
  <si>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</si>
  <si>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</si>
  <si>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</si>
  <si>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</si>
  <si>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</si>
  <si>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</si>
  <si>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</si>
  <si>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</si>
  <si>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</si>
  <si>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</si>
  <si>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</si>
  <si>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</si>
  <si>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</si>
  <si>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</si>
  <si>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</si>
  <si>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</si>
  <si>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</si>
  <si>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</si>
  <si>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</si>
  <si>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</si>
  <si>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</si>
  <si>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</si>
  <si>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</si>
  <si>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</si>
  <si>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</si>
  <si>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</si>
  <si>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</si>
  <si>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</si>
  <si>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</si>
  <si>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</si>
  <si>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</si>
  <si>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</si>
  <si>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</si>
  <si>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</si>
  <si>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</si>
  <si>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</si>
  <si>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</si>
  <si>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</si>
  <si>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Acumulada Año</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</si>
  <si>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</si>
  <si>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</si>
  <si>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</si>
  <si>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</si>
  <si>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</si>
  <si>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</si>
  <si>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</si>
  <si>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</si>
  <si>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</si>
  <si>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</si>
  <si>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</si>
  <si>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</si>
  <si>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</si>
  <si>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</si>
  <si>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</si>
  <si>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</si>
  <si>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</si>
  <si>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</si>
  <si>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Observaciones / Recomendaciones</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</si>
  <si>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</si>
  <si>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</si>
  <si>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</si>
  <si>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</si>
  <si>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</si>
  <si>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</si>
  <si>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</si>
  <si>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</si>
  <si>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</si>
  <si>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</si>
  <si>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</si>
  <si>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</si>
  <si>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</si>
  <si>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</si>
  <si>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</si>
  <si>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 xml:space="preserve">No de Indicadores con ejecución menor a la programada </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</si>
  <si>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</si>
  <si>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</si>
  <si>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</si>
  <si>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</si>
  <si>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</si>
  <si>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</si>
  <si>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</si>
  <si>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</si>
  <si>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</si>
  <si>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</si>
  <si>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</si>
  <si>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</si>
  <si>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</si>
  <si>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</si>
  <si>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</si>
  <si>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</si>
  <si>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</si>
  <si>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Nota: Si este documento se encuentra impreso se considera Copia no Controlada. La versión vigente está publicada en el repositorio oficial de la Personería de Bogotá, D. C.</t>
  </si>
  <si>
    <t>No de indicadores sin programar en el periodo</t>
  </si>
  <si>
    <t xml:space="preserve">Anual </t>
  </si>
  <si>
    <t xml:space="preserve">Procesos Estratégicos </t>
  </si>
  <si>
    <t xml:space="preserve">Procesos Misionales </t>
  </si>
  <si>
    <t xml:space="preserve">Procesos Apoyo </t>
  </si>
  <si>
    <t>Procesos de Evaluación, Seguimiento y Control</t>
  </si>
  <si>
    <t>Total General</t>
  </si>
  <si>
    <t>Tipo de Proceso</t>
  </si>
  <si>
    <t>Porcentaje Promedio de Cumplimiento 
por tipo de Proceso</t>
  </si>
  <si>
    <t>Acumulado al corte</t>
  </si>
  <si>
    <t>CUMPLIMIENTO ACUMULADO
POA AÑO
POR INDICADOR</t>
  </si>
  <si>
    <t>MAGNITUD CUATRIENIO</t>
  </si>
  <si>
    <t>PESO PORCENTUAL
META ESTRATÉGICA</t>
  </si>
  <si>
    <t>INDICADOR
META ESTRATÉGICA</t>
  </si>
  <si>
    <t>FORMULA INDICADOR</t>
  </si>
  <si>
    <t>CUMPLIMIENTO ACUMULADO AÑO</t>
  </si>
  <si>
    <t>GRADO DE CUMPLIMIENTO POR META ESTRATÉGICA</t>
  </si>
  <si>
    <t>Acciones realizadas que propendan por la efectiva defensa y garantía de los derechos de los sujetos de especial protección constitucional</t>
  </si>
  <si>
    <t>∑ Número de acciones realizadas que propendan por la efectiva defensa y garantía de los derechos de los sujetos de especial protección constitucional</t>
  </si>
  <si>
    <t>Estrategias construidas e implementadas</t>
  </si>
  <si>
    <t>∑ Número de estrategias construidas e implementadas</t>
  </si>
  <si>
    <t>Acciones realizadas de prevención y control a la función pública en temas priorizados</t>
  </si>
  <si>
    <t>∑ Número de acciones realizadas de prevención y control a la función pública en temas priorizados</t>
  </si>
  <si>
    <t>Acciones realizadas de prevención y control a la función pública para fortalecer la moralidad pública</t>
  </si>
  <si>
    <t>∑ Número de acciones realizadas de prevención y control a la función pública para fortalecer la moralidad pública</t>
  </si>
  <si>
    <t>Espacios de participación ciudadana fortalecidos</t>
  </si>
  <si>
    <t>∑ Número de espacios de participación ciudadana fortalecidos</t>
  </si>
  <si>
    <t xml:space="preserve">Procesos disciplinarios descongestionados </t>
  </si>
  <si>
    <t>∑ Número de procesos disciplinarios descongestionados</t>
  </si>
  <si>
    <t>∑ Número de noticias disciplinarias evaluadas y con impulso procesal/ Número de noticias disciplinaria comisionadas a las Delegadas</t>
  </si>
  <si>
    <t>∑ Número de visitas de seguimiento a OCID realizadas</t>
  </si>
  <si>
    <t>Escenarios generados que fortalezcan el conocimiento</t>
  </si>
  <si>
    <t>∑ Número de escenarios generados</t>
  </si>
  <si>
    <t>Grado de avance de implementación de las soluciones</t>
  </si>
  <si>
    <t>Acciones implementadas que impulsan el crecimiento del modelo de la Entidad</t>
  </si>
  <si>
    <t>Promedio de grado de avance de implementación de las acciones</t>
  </si>
  <si>
    <t>Estrategias desarrolladas para la comunicación en la Entidad</t>
  </si>
  <si>
    <t>Promedio de grado de cumplimiento de estrategias desarrolladas para la comunicación en la Entidad</t>
  </si>
  <si>
    <t>Acciones articuladas de trabajo interinstitucional y de cooperación</t>
  </si>
  <si>
    <t>Grado de avance de acciones articuladas de trabajo interinstitucional y de cooperación</t>
  </si>
  <si>
    <t>Grado de cumplimiento de los Proyectos de Investigación, Desarrollo e Innovación (I+D+I) elaborados</t>
  </si>
  <si>
    <t xml:space="preserve">Herramientas y acciones formuladas </t>
  </si>
  <si>
    <t>Grado de cumplimiento en la formulación de Informes de investigación e innovación construidos</t>
  </si>
  <si>
    <t>Espacios y mecanismos desarrollados para la difusión de conocimiento</t>
  </si>
  <si>
    <t>Grado de cumplimiento de las actividades de apropiación social del conocimiento desarrolladas</t>
  </si>
  <si>
    <r>
      <t xml:space="preserve">INFORME DE SEGUIMIENTO 
PLAN ESTRATÉGICO INSTITUCIONAL - PEI-
</t>
    </r>
    <r>
      <rPr>
        <b/>
        <sz val="18"/>
        <rFont val="Arial"/>
        <family val="2"/>
      </rPr>
      <t>2021-2024</t>
    </r>
  </si>
  <si>
    <t>MATRIZ PLAN ESTRATÉGICO INSTITUCIONAL</t>
  </si>
  <si>
    <t>PERIODO: 2021-2024</t>
  </si>
  <si>
    <t xml:space="preserve">META ESTRATÉGICA </t>
  </si>
  <si>
    <t>PESO PORCENTUAL</t>
  </si>
  <si>
    <t>INDICADOR</t>
  </si>
  <si>
    <t>PROCESO(S) RESPONSABLE(S)</t>
  </si>
  <si>
    <t>PLANIFICACIÓN CUATRIENIO</t>
  </si>
  <si>
    <t>CUMPLIMIENTO ACUMULADO 
META ESTRATÉGICA</t>
  </si>
  <si>
    <t>TOTAL CUATRIENIO</t>
  </si>
  <si>
    <t>Cumplimiento Acumulado 
Objetivos Estratégicos</t>
  </si>
  <si>
    <t>ACUMULADO HASTA LA FECHA DE CORTE</t>
  </si>
  <si>
    <t>% Cumplimiento al corte</t>
  </si>
  <si>
    <r>
      <t xml:space="preserve">DIRECCIONAMIENTO ESTRATÉGICO
SERVICIO AL USUARIO
</t>
    </r>
    <r>
      <rPr>
        <sz val="10"/>
        <color theme="1"/>
        <rFont val="Arial"/>
        <family val="2"/>
      </rPr>
      <t>APORTAN: TODOS LOS PROCESOS</t>
    </r>
  </si>
  <si>
    <t>GESTIÓN ADMINISTRATIVA
GESTIÓN FINANCIERA
GESTIÓN CONTRACTUAL
GESTIÓN DOCUMENTAL
GESTIÓN JURÍDICA</t>
  </si>
  <si>
    <t>CONTROL DISCIPLINARIO INTERNO
EVALUACIÓN Y SEGUIMIENTO</t>
  </si>
  <si>
    <t>Código:</t>
  </si>
  <si>
    <t>01-FR-04</t>
  </si>
  <si>
    <t>Página:
1 de 2</t>
  </si>
  <si>
    <t>LINÉA DE BASE</t>
  </si>
  <si>
    <t>Acciones realizadas que promueven la defensa, garantía y restablecimiento de los derechos</t>
  </si>
  <si>
    <t xml:space="preserve">Productos generados
</t>
  </si>
  <si>
    <t>∑ (Número de acciones realizadas que promueven la defensa, garantía y restablecimiento de los derechos)</t>
  </si>
  <si>
    <t>Grado de avance en la implementación de acciones para la sostenibilidad y mejora del SGC</t>
  </si>
  <si>
    <t xml:space="preserve">CUMPLIMIENTO ACUMULADO EN EL CUATRIENIO
</t>
  </si>
  <si>
    <t>GRADO DE CUMPLIMIENTO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</si>
  <si>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</si>
  <si>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</si>
  <si>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</si>
  <si>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</si>
  <si>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</si>
  <si>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</si>
  <si>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</si>
  <si>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</si>
  <si>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</si>
  <si>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</si>
  <si>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3.4</t>
  </si>
  <si>
    <t>Meta Estratégica 4.1</t>
  </si>
  <si>
    <t>Meta Estratégica 4.2</t>
  </si>
  <si>
    <t>Meta Estratégica 4.3</t>
  </si>
  <si>
    <t>Meta Estratégica 4.4</t>
  </si>
  <si>
    <t>Meta Estratégica 4.5</t>
  </si>
  <si>
    <t>Meta Estratégica 4.6</t>
  </si>
  <si>
    <t>Meta Estratégica 4.7</t>
  </si>
  <si>
    <t>Meta Estratégica 5.1</t>
  </si>
  <si>
    <t>Meta Estratégica 5.2</t>
  </si>
  <si>
    <t>Meta Estratégica 5.3</t>
  </si>
  <si>
    <t>Objetivo Estratégico 1</t>
  </si>
  <si>
    <t>Objetivo Estratégico 2</t>
  </si>
  <si>
    <t>Objetivo Estratégico 3</t>
  </si>
  <si>
    <t>Objetivo Estratégico 4</t>
  </si>
  <si>
    <t>Objetivo Estratégico 5</t>
  </si>
  <si>
    <t>Promedio General</t>
  </si>
  <si>
    <t>CUATRIENIO 2021 -2024</t>
  </si>
  <si>
    <t>GRADO DE CUMPLIMIENTO POR META ESTRATÉGICA
EN EL CUATRIENIO</t>
  </si>
  <si>
    <t>GRADO DE CUMPLIMIENTO POR OBJETIVO ESTRATÉGICO Y DE LA CALIDAD
EN EL CUATRIENIO</t>
  </si>
  <si>
    <t>Avance en la ejecución de los planes que desarrollan la gestión del talento humano</t>
  </si>
  <si>
    <t>Promedio de grado avance de la ejecución de  los planes que desarrollan la gestión del talento humano</t>
  </si>
  <si>
    <t>Acciones implementadas para la modernización de la gestión institucional en el proceso Gestión Administrativa</t>
  </si>
  <si>
    <t>Promedio de grado de avance de las acciones implementadas por el proceso Gestión Administrativa para la modernización de la gestión institucional</t>
  </si>
  <si>
    <t>Acciones implementadas para la modernización de la gestión institucional en el proceso Gestión Financiera</t>
  </si>
  <si>
    <t>Promedio de grado de avance de las acciones implementadas por el proceso Gestión Financiera para la modernización de la gestión institucional</t>
  </si>
  <si>
    <t xml:space="preserve">∑ Número de actividades de actualización o ajuste+ actividades de implementación </t>
  </si>
  <si>
    <t>Acciones implementadas para la modernización de la gestión institucional en el proceso Gestión Jurídica</t>
  </si>
  <si>
    <t>Fuente: Consolidación de reportes entregados por los procesos en hojas de vida de indicadores de gestión.</t>
  </si>
  <si>
    <t>INFORME DE SEGUIMIENTO 
GRADO DE CUMPLIMIENTO DE METAS ESTARTÉGICAS
PLAN ESTRATÉGICO INSTITUCIONAL - PEI-
2021-2024</t>
  </si>
  <si>
    <t>Promedio de ejecución de procesos en las diferentes modalidades de contratación del periodo, realizados dentro del tiempo óptimo</t>
  </si>
  <si>
    <t>INFORME DE SEGUIMIENTO
RESUMEN EJECUCIÓN METAS ESTRATÉGICAS 
PLAN ESTRATÉGICO INSTITUCIONAL - PEI- 
2021-2024</t>
  </si>
  <si>
    <t>INFORME DE SEGUIMIENTO
GRADO DE CUMPLIMIENTO DE LOS OBJETIVOS ESTRATÉGICOS Y DE LA CALIDAD
PLAN ESTRATÉGICO INSTITUCIONAL - PEI-
2021-2024</t>
  </si>
  <si>
    <t>Porcentaje de Acciones de Tutela, Desacatos e Impugnaciones entregadas en un Termino Menor a Cinco (5) Días Hábiles</t>
  </si>
  <si>
    <t>GRADO DE CUMPLIMIENTO PROMEDIO POR OBJETIVO ESTRATÉGICO Y DE LA CALIDAD</t>
  </si>
  <si>
    <t>GRADO DE CUMPLIMIENTO PROMEDIO POR META ESTRATÉGICA</t>
  </si>
  <si>
    <t>Soluciones informáticas implementadas</t>
  </si>
  <si>
    <t>Número total de encuestas con calificación excelente y bueno/Número total de encuestas registradas</t>
  </si>
  <si>
    <t xml:space="preserve">Acciones implementadas para la modernización de la gestión institucional en actualización e  implementación de instrumentos archivísticos </t>
  </si>
  <si>
    <t xml:space="preserve">Porcentaje de contratos en las diferentes modalidades de contratación elaborados en los tiempos óptimos </t>
  </si>
  <si>
    <t>Acciones desarrolladas relacionadas con el fomento de la cultura del autocontrol, autoregulación y autogestión</t>
  </si>
  <si>
    <t>Promedio de grado de cumplimiento de las acciones desarrolladas relacionadas con el fomento de la cultura del autocontrol, autoregulación y autogestión</t>
  </si>
  <si>
    <t>2.3.1 Realizar 60 audiencias públicas y/o mesas de trabajo, las cuales permitan la participación ciudadana, con énfasis en los Derechos e intereses colectivos.</t>
  </si>
  <si>
    <t xml:space="preserve">3.1.1 Identificar y decidir de fondo 6,700  procesos, priorizando aquellos que se encuentren con riesgo de prescripción y/o vencidos en su etapa procesal (indagación, investigación y juzgamiento). </t>
  </si>
  <si>
    <t>3.1. Descongestionar 6.700 procesos disciplinarios con criterios de calidad, efectividad y garantía del debido proceso.</t>
  </si>
  <si>
    <t>5.480 acciones en favor de las víctimas del conflicto armado interno realizadas</t>
  </si>
  <si>
    <t>4.790 Acciones constitucionales elaboradas</t>
  </si>
  <si>
    <t>*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t>
  </si>
  <si>
    <t>Cuarto Trimestre</t>
  </si>
  <si>
    <t>CUMPLIMIENTO PROGRAMACIÓN EN EL PERIODO 
Cuarto Trimestre de 2021</t>
  </si>
  <si>
    <t>Versión:
7</t>
  </si>
  <si>
    <r>
      <t xml:space="preserve">Código: </t>
    </r>
    <r>
      <rPr>
        <sz val="12"/>
        <color theme="1"/>
        <rFont val="Arial"/>
        <family val="2"/>
      </rPr>
      <t>01-FR-04</t>
    </r>
  </si>
  <si>
    <t>2 de 2</t>
  </si>
  <si>
    <t>INSTRUCCIONES PARA EL DILIGENCIAMIENTO DE LA MATRIZ DEL PLAN ESTRATÉGICO INSTITUCIONAL</t>
  </si>
  <si>
    <t>OBJETIVO ESTRATÉGICO:</t>
  </si>
  <si>
    <r>
      <t xml:space="preserve">Registre el </t>
    </r>
    <r>
      <rPr>
        <b/>
        <sz val="12"/>
        <rFont val="Arial"/>
        <family val="2"/>
      </rPr>
      <t>objetivo</t>
    </r>
    <r>
      <rPr>
        <sz val="12"/>
        <rFont val="Arial"/>
        <family val="2"/>
      </rPr>
      <t xml:space="preserve"> estratégico definido en la plataforma estratégica de la Entidad. </t>
    </r>
  </si>
  <si>
    <t>META ESTRATÉGICA:</t>
  </si>
  <si>
    <r>
      <t xml:space="preserve">Registre </t>
    </r>
    <r>
      <rPr>
        <b/>
        <sz val="12"/>
        <rFont val="Arial"/>
        <family val="2"/>
      </rPr>
      <t>la(s) meta(s)</t>
    </r>
    <r>
      <rPr>
        <sz val="12"/>
        <rFont val="Arial"/>
        <family val="2"/>
      </rPr>
      <t xml:space="preserve"> que permitirá(n) la consecución del objetivo estratégico correspondiente. Utilice una fila diferente por cada meta.</t>
    </r>
  </si>
  <si>
    <t>Registre el valor porcentual de aporte de la Meta Estratégica al cumplimiento del Objetivo Estratégico relacionado.</t>
  </si>
  <si>
    <t>MAGNITUD PROGRAMADA CUATRIENIO:</t>
  </si>
  <si>
    <r>
      <t>Indique el</t>
    </r>
    <r>
      <rPr>
        <b/>
        <sz val="12"/>
        <rFont val="Arial"/>
        <family val="2"/>
      </rPr>
      <t xml:space="preserve"> valor</t>
    </r>
    <r>
      <rPr>
        <sz val="12"/>
        <rFont val="Arial"/>
        <family val="2"/>
      </rPr>
      <t xml:space="preserve"> (cantidad) que se espera alcance la meta en el cuatrienio.</t>
    </r>
  </si>
  <si>
    <t>Registre el valor que se tiene como nivel de referencia para adelantar la medición. Únicamente en el caso de no disponer de información histórica ingrese S.I. (sin información).</t>
  </si>
  <si>
    <t>PROCESO(S) RESPONSABLE(S):</t>
  </si>
  <si>
    <t>Registre el nombre del (de los) procesos responsable(s) en la consecución de las meta establecida.</t>
  </si>
  <si>
    <r>
      <t xml:space="preserve">En esta sección encontrará los años del cuatrienio. En cada año registre en la celda correspondiente la magnitud programada de la meta correspondiente a cada período. 
</t>
    </r>
    <r>
      <rPr>
        <i/>
        <sz val="12"/>
        <rFont val="Arial"/>
        <family val="2"/>
      </rPr>
      <t>Nota: Si se requiere se puede agregar o eliminar un año.</t>
    </r>
  </si>
  <si>
    <t>Espacio de cálculo del total acumulado a la fecha de corte, diligenciado por la Dirección de Planeación.</t>
  </si>
  <si>
    <t>TOTAL CUATRIENIO:</t>
  </si>
  <si>
    <t>Espacio de cálculo del total programado, ejecución y grado de cumplimiento del Objetivo Estratégico. Este campo es diligenciado por la Dirección de Planeación, según los valores aportados de forma anual por cada proceso.</t>
  </si>
  <si>
    <t>1.1. Realizar 884.203 acciones que promuevan la defensa, garantía y restablecimiento de los derechos de las personas en el Distrito Capital.</t>
  </si>
  <si>
    <t>1.1.1 Realizar 356.610 intervenciones dentro del ejercicio del Ministerio Público para prevenir la vulneración de derechos y/o lograr el  restablecimiento de los mismos.</t>
  </si>
  <si>
    <t>1.1.2 Orientar 292.755 personas en garantía de derechos.</t>
  </si>
  <si>
    <t>1.1.3 Asistir 117.610 personas en garantía de derechos.</t>
  </si>
  <si>
    <t>1.1.4 Asistir a 28.586 personas en mecanismos alternativos de solución de conflictos.</t>
  </si>
  <si>
    <t>1.1.5 Atender y gestionar 55.722 peticiones y/o requerimientos presentados por la comunidad en garantía de derechos.</t>
  </si>
  <si>
    <t>1.1.8 Asistir a 19.500 audiencias públicas y realizar las actuaciones que se requieran en protección de los derechos y defensa del interés público, en temas de urbanismo, espacio público, actividad económica y de los comportamientos contrarios a la convivencia (Ley 1801 de 2016)</t>
  </si>
  <si>
    <t>1.1.9 Realizar 11.000 intervenciones de manera oportuna para evitar situaciones de caducidad y perdida de fuerza ejecutoria en las actuaciones administrativas y policivas</t>
  </si>
  <si>
    <t>1.1.10 Impulsar 2.300 expedientes que contengan orden de policía (MULTA) en firme y ejecutoriada, para que se efectúen cobros persuasivos y/o se de traslado para el cobro coactivo.</t>
  </si>
  <si>
    <t>1.1.11 Establecer de forma periódica, 40 estados de la vulneración de  los derechos humanos en las localidades, dando a conocer a las Entidades correspondientes los hechos observados que requieren su intervención.</t>
  </si>
  <si>
    <t>1.2. Realizar 260.709 acciones que propendan por la efectiva defensa y garantía de los derechos de los sujetos de especial protección constitucional, con énfasis en las personas mayores, mujeres y la población migrante en el Distrito Capital.</t>
  </si>
  <si>
    <t>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</si>
  <si>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1.2.2 Adelantar 23.910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</si>
  <si>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18.880 acciones constitucionales, la vulneración de derechos  con énfasis en sujetos de especial protección constitucional.</t>
  </si>
  <si>
    <t>1.2.5 Participar en 7.711 comités, mesas y consejos interinstitucionales en garantía de derechos, con énfasis en temas relacionados con sujetos de especial protección constitucional, en particular, persona mayor, mujer y población migrante.</t>
  </si>
  <si>
    <t>1.2.6 Realizar 738 seguimientos a la amenaza y vulneración de los derechos, con énfasis en sujetos de especial protección constitucional, en particular, persona mayor, mujer y población migrante</t>
  </si>
  <si>
    <t>2.2.1 Realizar 817 acciones de prevención y control a la función pública para fortalecer la moralidad pública.</t>
  </si>
  <si>
    <t>2.2.2 Realizar 135 acciones de prevención y control a la función pública - seguimientos, para fortalecer la moralidad pública en el Distrito Capital.</t>
  </si>
  <si>
    <t>2.3.2 Realizar 160 acompañamientos a los ciudadanos que intervienen en los diferentes espacios de participación ciudadana.</t>
  </si>
  <si>
    <t xml:space="preserve">4.3.2 Incluir el 97,8% de las Novedades en la nómina oportunamente, para liquidación y pago </t>
  </si>
  <si>
    <t xml:space="preserve">4.3.3 Lograr el 94,5 % de usuarios internos  satisfechos con las solicitudes de servicios atendidas de la SGTH (Certificaciones laborales, bonos pensionales y autorizaciones de retiro de cesantías). </t>
  </si>
  <si>
    <t>4.3.8 Realizar 21 capacitaciones sobre los Sistemas de Gestión y Evaluación del Desempeño Laboral de la Entidad.</t>
  </si>
  <si>
    <t>4.5.2 Realizar 20 jornadas de sensibilización a funcionarios de la Personería de Bogotá D.C. sobre la prevención de las faltas disciplinarias más recurrentes en la Entidad.</t>
  </si>
  <si>
    <t>5.1.2. Entregar dos (2) productos resultado de los proyectos de investigación, desarrollo e innovación (I+D+I) realizados en la Entidad para la comunidad</t>
  </si>
  <si>
    <t>Productos resultado de investigaciones, entregadas para la comunidad</t>
  </si>
  <si>
    <t>5.3.1 Desarrollar ochenta (80) actividades de apropiación social del conocimiento para la creación de la cultura de la investigación e innovación.</t>
  </si>
  <si>
    <t>1.3. Construir e Implementar 35 estrategias que permitan incrementar la oferta y cobertura de los servicios prestados por la Entidad.</t>
  </si>
  <si>
    <t>2.2. Fortalecer la moralidad publica realizando  952 acciones de prevención y control a la función pública.</t>
  </si>
  <si>
    <t>2.3. Fortalecer 320 espacios de participación ciudadana en la Personería de Bogotá</t>
  </si>
  <si>
    <t>1. Analizar informe del plan de Acción del SGC de la vigencia anterior
2. Elaborar el Plan de Acción del SGC para la sostenibilidad y mejora de la vigencia 
3. Socializar Plan de Acción del SGC aprobado por el CIGD
4. Ejecutar el Plan de Acción del SGC para la sostenibilidad y mejora.
5. Hacer seguimiento a la ejecución del Plan y generar informe de avance.</t>
  </si>
  <si>
    <t>1.  Definir el plan de Acciondel SGA
2. Ejecutar el Plan de Acción
3. Hacer seguimiento al avance</t>
  </si>
  <si>
    <t>Avance en la implementación del Sisema de Gestión Ambiental en un 33%</t>
  </si>
  <si>
    <t>106.660 Intervenciones realizadas de oficio o a petición de parte por los Agentes del Ministerio Público</t>
  </si>
  <si>
    <t>97.105 Peticiones atendidas y clasificadas como Orientación</t>
  </si>
  <si>
    <t>26.115 Peticiones atendidas y clasificadas como Asistencia</t>
  </si>
  <si>
    <t>6.900 Solicitudes de conciliación y uniones maritales de hecho atendidas</t>
  </si>
  <si>
    <t>16.115 Peticiones o requerimientos ciudadanos atendidos en garantía de derecho o intervención</t>
  </si>
  <si>
    <t>6.000 Audiencias asistidas con actuaciones</t>
  </si>
  <si>
    <t>500 Expedientes de policía impulsados</t>
  </si>
  <si>
    <t>71.570 personas sensibilizadas</t>
  </si>
  <si>
    <t>1. Identificar las medidas de protección establecidas por la Comisaría de Familia
2. Realizar las verificaciones de cumplimiento a las medidas de protección.
3. Registrar en el sistema de información misional el seguimiento realizado y las actuaciones que éste generó.</t>
  </si>
  <si>
    <t>800 verificaciones de cumplimiento realizadas por los Agentes del Ministerio Público a las medidas de protección establecidas por las Comisarias de Familia</t>
  </si>
  <si>
    <t>2.771 espacios de participación interinstitucional con presencia y acompañamiento de la Entidad</t>
  </si>
  <si>
    <t xml:space="preserve">208 Seguimientos realizados a la amenaza y vulneración de los derechos </t>
  </si>
  <si>
    <t>17 Actividades realizadas para acercar la Entidad a la comunidad</t>
  </si>
  <si>
    <t>SANDRA ELIZABETH GARCIA ANGARITA
Personera Delegada para la Coordinación de Prevención y Control a la Función Pública
WILLIAM AUGUSTO SUAREZ SUAREZ
PERSONERO DELEGADO PARA LA COORDINACIÓN DE GESTIÓN DE PERSONERÍAS LOCALES</t>
  </si>
  <si>
    <t>7 Informes de Prevención y Control a la Función Publica en los cuales se evaluaron políticas ambientales, manejo de recursos hídricos, protección y bienestar animal y desarrollo urbano, en el Distrito Capital.</t>
  </si>
  <si>
    <t>286 Informes de Acción de Prevención y Control a la Función Publica en el Distrito Capital, para fortalecer la moralidad pública</t>
  </si>
  <si>
    <t>67 Informes de seguimientos realizados para fortalecer la moralidad pública en el Distrito Capital</t>
  </si>
  <si>
    <t>21 Audiencias públicas y/o mesas de trabajo realizadas.</t>
  </si>
  <si>
    <t xml:space="preserve">60 Acompañamientos a los ciudadanos realizados. </t>
  </si>
  <si>
    <t>30 Espacios de dialogo realizados</t>
  </si>
  <si>
    <t xml:space="preserve">Recibir, revisar y radicar las comunicaciones oficiales externas o internas en el Grupo de Correspodencia.
Distribuir las comunicaciones recibidas a los destinatarios internos (dependencias).
Realizar el registro en las planilas o controles correspondientes.
</t>
  </si>
  <si>
    <t>3 Lineamientos Implementados en la vigencia</t>
  </si>
  <si>
    <t>6 Jornadas de sensibilización realizadas</t>
  </si>
  <si>
    <t>TRIMESTRE</t>
  </si>
  <si>
    <t>TRIMESTRE 1</t>
  </si>
  <si>
    <t>TRIMESTRE 2</t>
  </si>
  <si>
    <t>TRIMESTRE 3</t>
  </si>
  <si>
    <t>TRIMESTRE 4</t>
  </si>
  <si>
    <t>SELECCIONE EL TRIMESTRE</t>
  </si>
  <si>
    <t>02-RI-04</t>
  </si>
  <si>
    <t>Primer Trimestre</t>
  </si>
  <si>
    <t>Segundo Trimestre</t>
  </si>
  <si>
    <t>Tercer Trimestre</t>
  </si>
  <si>
    <t>Seleccione el trimestre</t>
  </si>
  <si>
    <t>Ejecución Primer Trimestre</t>
  </si>
  <si>
    <t xml:space="preserve">Ejecución Corte
30/06/2022 </t>
  </si>
  <si>
    <t>Acumulado Corte 
30/06/2022</t>
  </si>
  <si>
    <t>Acumulado
Corte 
31/03/2022</t>
  </si>
  <si>
    <t xml:space="preserve">Ejecución 
Corte
31/03/2022 </t>
  </si>
  <si>
    <t>Acumulado Corte 
30/09/2022</t>
  </si>
  <si>
    <t xml:space="preserve">Ejecución Corte
30/09/2022 </t>
  </si>
  <si>
    <t>Acumulado Corte 
31/12/2022</t>
  </si>
  <si>
    <t xml:space="preserve">Fecha de corte: </t>
  </si>
  <si>
    <t>Ejecución segundo Trimestre</t>
  </si>
  <si>
    <t>Ejecución tercer Trimestre</t>
  </si>
  <si>
    <t>Año 2022</t>
  </si>
  <si>
    <t>PLAN OPERATIVO ANUAL 2022</t>
  </si>
  <si>
    <t>Desempeño Promedio 
Año 2022</t>
  </si>
  <si>
    <t>Sobre ejecución (Respecto de lo programado al corte)</t>
  </si>
  <si>
    <t>CUMPLIMIENTO PROGRAMACIÓN EN EL PERIODO 
Primer Trimestre de 2022</t>
  </si>
  <si>
    <t>CUMPLIMIENTO PROGRAMACIÓN - ACUMULADO</t>
  </si>
  <si>
    <t>Corte</t>
  </si>
  <si>
    <t>No de Indicadores con Meta Cumplida según progrLación</t>
  </si>
  <si>
    <t>CUMPLIMIENTO PROGRAMACIÓN EN EL PERIODO 
Segundo Trimestre de 2022</t>
  </si>
  <si>
    <t>CUMPLIMIENTO PROGRAMACIÓN EN EL PERIODO 
Tercer Trimestre de 2022</t>
  </si>
  <si>
    <t>No programado</t>
  </si>
  <si>
    <t>GRADO DE CUMPLIMIENTO 
AÑO 2022</t>
  </si>
  <si>
    <t>Verificaciones de cumplimiento realizadas por el Ministerio Público a las medidas de protección impuestas por las Comisarías de Familia</t>
  </si>
  <si>
    <t>1.2.4 Fortalecer el ejercicio del ministerio público ante las comisarías de familia, verificando el cumplimiento a 3.540 medidas de protección que se imponen.</t>
  </si>
  <si>
    <t>Corte Acumulado</t>
  </si>
  <si>
    <t>CUMPLIMIENTO ACUMULADO POA AÑO
POR INDICADOR</t>
  </si>
  <si>
    <t>GRADO DE CUMPLIMIENTO META ESTRATÉGICA AÑO</t>
  </si>
  <si>
    <t>Identificación del Indicador</t>
  </si>
  <si>
    <t>Fuente: Reportes suministrados por los procesos.</t>
  </si>
  <si>
    <t>CUMPLIMIENTO PROMEDIO AÑO 30-09-2022
POR INDICADOR</t>
  </si>
  <si>
    <t>Acumulado Corte 
30/11/2022</t>
  </si>
  <si>
    <t xml:space="preserve">Ejecución Corte
01/11/2022 </t>
  </si>
  <si>
    <t>Cuarto Trimestre
30-11-2022</t>
  </si>
  <si>
    <t>Ejecución Cuarto Trimestre
30-11-2022</t>
  </si>
  <si>
    <t xml:space="preserve">SEMESTRE 2 </t>
  </si>
  <si>
    <t>1. Revisar el autodiagnóstico del año anterior y verificar los avances en la ejecución con los responsables
2. Actualizar el Plan de acción para la implementación y sostenimiento del MIPG en la actual vigencia, de acuerdo con las actividades pendientes por ejecutar a diciembre año anterior.
3. Ejecutar el Plan de Acción 2022 (las actividades del Plan se ejecutarán de manera mensual de acuerdo con programación que permitirá cumplir % programado para la actual vigencia)
4. Realizar seguimiento a las actividades ejecutadas por los referentes de manera mensual
5. Generar un informe de avance de la implementación de las actividades del MIPG</t>
  </si>
  <si>
    <t>TOTAL PROGAMADO 
31-12-2022</t>
  </si>
  <si>
    <t>Corte:31-12-2022</t>
  </si>
  <si>
    <t>Cuarto Trimestre
31-12-2022</t>
  </si>
  <si>
    <t>Ejecución Cuarto Trimestre
31-12-2022</t>
  </si>
  <si>
    <t>Ejecución Corte
31/12/2022</t>
  </si>
  <si>
    <t>Meta cumplida según programación total del año.</t>
  </si>
  <si>
    <t>Meta cumplida a satisfacción según programación del año.</t>
  </si>
  <si>
    <t>Meta cumplida, supera la programación del año.</t>
  </si>
  <si>
    <t>Meta programada a partir del año 2023.</t>
  </si>
  <si>
    <t>Esta meta alanza un 96.6% de cumplimiento frente a la programación en el año. Sin embargo alcanza el rango de cumplimiento satisfactorio de acuerdo con lo definido en el proceso.</t>
  </si>
  <si>
    <t>Esta meta alanza un 96.9% de cumplimiento frente a la programación en el año. Sin embargo alcanza el rango de cumplimiento satisfactorio de acuerdo con lo definido en el proceso.</t>
  </si>
  <si>
    <t>Esta meta alanza un 98.9% de cumplimiento frente a la programación en el año. Sin embargo alcanza el rango de cumplimiento satisfactorio de acuerdo con lo definido en el proceso.</t>
  </si>
  <si>
    <t>Esta meta alanza un 98% de cumplimiento frente a la programación en el año. Sin embargo alcanza el rango de cumplimiento satisfactorio de acuerdo con lo definido en el proceso.</t>
  </si>
  <si>
    <t>Esta meta alanza un 95% de cumplimiento frente a la programación en el año. Sin embargo alcanza el rango de cumplimiento satisfactorio de acuerdo con lo definido en el proceso.</t>
  </si>
  <si>
    <t>Esta meta alanza un 98.8% de cumplimiento frente a la programación en el año. Sin embargo alcanza el rango de cumplimiento satisfactorio de acuerdo con lo definido en el proceso.</t>
  </si>
  <si>
    <t>Esta meta alanza un 99.4% de cumplimiento frente a la programación en el año. Sin embargo se ubica en el rango de cumplimiento aceptable de acuerdo con lo definido en el proceso.</t>
  </si>
  <si>
    <t>Acumulado Corte: 31 de diciembre de 2022</t>
  </si>
  <si>
    <t>Lineamientos implementados en el periodo</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</si>
  <si>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</si>
  <si>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Gestionar la adquisición de los bienes y servicios programados en el plan anual de adquisiciones de la Entidad, con el propósito de cumplirlos objetivos establecidos en los planes, programas y proyectos institucionales de acuerdo con la normatividad vigente.</t>
  </si>
  <si>
    <t>VÍCTOR ORLANDO SANCHEZ BELTRÁN / Subdirector de Gestión Financiera</t>
  </si>
  <si>
    <t>SANDRA ELIZABETH GARCIA ANGARITA
Personera Delegada para la Coordinación de Potestad Disciplinaria (E)</t>
  </si>
  <si>
    <t>ÁNDRES RODRIGUEZ BECERRA
PERSONERO DELEGADO PARA LA COORDINACIÓN DEL MINISTERIO PÚBLICO Y LOS DERECHOS HUMANOS
WILLIAM AUGUSTO SUAREZ SUAREZ
PERSONERO DELEGADO PARA LA COORDINACIÓN DE GESTIÓN DE PERSONERÍAS LOCALES</t>
  </si>
  <si>
    <t>SANDRA PUREZA GÓMEZ LÓPEZ / JEFE DE OFICINA ASESORA DE COMUNICACIONES</t>
  </si>
  <si>
    <t>JAIME ALFONSO CUBIDES CÁRDENAS - DIRECTOR DE GESTIÓN DEL CONOCIMIENTO E INNOVACIÓN</t>
  </si>
  <si>
    <t>GRADO DE CUMPLIMIENTO CUATRIENIO
ACUMULADO CORTE 31/12/2022</t>
  </si>
  <si>
    <t>CUMPLIMIENTO ACUMULADO
PROMEDIO POR INDICADOR
CORTE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</si>
</sst>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
    <numFmt numFmtId="165" formatCode="dd/mm/yyyy;@"/>
    <numFmt numFmtId="166" formatCode="#,##0.0"/>
    <numFmt numFmtId="167" formatCode="0;[Red]0"/>
    <numFmt numFmtId="168" formatCode="dd\-mm\-yyyy"/>
    <numFmt numFmtId="169" formatCode="#,##0%"/>
    <numFmt numFmtId="170" formatCode="#,##0.0%"/>
    <numFmt numFmtId="171" formatCode="[$-240A]d&quot; de &quot;mmmm&quot; de &quot;yyyy;@"/>
    <numFmt numFmtId="172" formatCode="#,##0.000"/>
    <numFmt numFmtId="173" formatCode="0.0"/>
    <numFmt numFmtId="174" formatCode="0.000%"/>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sz val="18"/>
      <color rgb="FFFF0000"/>
      <name val="Arial"/>
      <family val="2"/>
    </font>
    <font>
      <b/>
      <sz val="10"/>
      <color rgb="FFFF0000"/>
      <name val="Century Gothic"/>
      <family val="2"/>
    </font>
    <font>
      <sz val="18"/>
      <color theme="1"/>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
      <b/>
      <sz val="18"/>
      <color theme="1"/>
      <name val="Arial"/>
      <family val="2"/>
    </font>
    <font>
      <b/>
      <sz val="12"/>
      <color indexed="9"/>
      <name val="Arial"/>
      <family val="2"/>
    </font>
    <font>
      <b/>
      <sz val="19"/>
      <color theme="1"/>
      <name val="Arial"/>
      <family val="2"/>
    </font>
    <font>
      <b/>
      <sz val="14"/>
      <name val="Century Gothic"/>
      <family val="2"/>
    </font>
    <font>
      <sz val="20"/>
      <color theme="1"/>
      <name val="Arial"/>
      <family val="2"/>
    </font>
    <font>
      <b/>
      <sz val="16"/>
      <color theme="0"/>
      <name val="Arial"/>
      <family val="2"/>
    </font>
    <font>
      <sz val="12"/>
      <color theme="0"/>
      <name val="Century Gothic"/>
      <family val="2"/>
    </font>
    <font>
      <sz val="10"/>
      <color theme="0"/>
      <name val="Century Gothic"/>
      <family val="2"/>
    </font>
    <font>
      <b/>
      <sz val="17"/>
      <name val="Arial"/>
      <family val="2"/>
    </font>
    <font>
      <sz val="12"/>
      <color rgb="FFFF0000"/>
      <name val="Arial"/>
      <family val="2"/>
    </font>
    <font>
      <sz val="8"/>
      <color theme="0"/>
      <name val="Arial"/>
      <family val="2"/>
    </font>
    <font>
      <sz val="14"/>
      <name val="Century Gothic"/>
      <family val="2"/>
    </font>
    <font>
      <sz val="12"/>
      <color theme="1" tint="4.9989318521683403E-2"/>
      <name val="Century Gothic"/>
      <family val="2"/>
    </font>
    <font>
      <sz val="10"/>
      <color theme="1" tint="4.9989318521683403E-2"/>
      <name val="Century Gothic"/>
      <family val="2"/>
    </font>
    <font>
      <b/>
      <sz val="13"/>
      <name val="Arial"/>
      <family val="2"/>
    </font>
    <font>
      <b/>
      <sz val="10"/>
      <color rgb="FFFF0000"/>
      <name val="Arial"/>
      <family val="2"/>
    </font>
    <font>
      <b/>
      <sz val="15"/>
      <name val="Arial"/>
      <family val="2"/>
    </font>
    <font>
      <b/>
      <sz val="12"/>
      <color rgb="FFFF0000"/>
      <name val="Arial"/>
      <family val="2"/>
    </font>
    <font>
      <sz val="12"/>
      <color rgb="FF7030A0"/>
      <name val="Arial"/>
      <family val="2"/>
    </font>
    <font>
      <b/>
      <sz val="14"/>
      <color theme="0" tint="-0.34998626667073579"/>
      <name val="Arial"/>
      <family val="2"/>
    </font>
  </fonts>
  <fills count="4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2" tint="-9.9978637043366805E-2"/>
        <bgColor rgb="FFFBD4B4"/>
      </patternFill>
    </fill>
    <fill>
      <patternFill patternType="solid">
        <fgColor indexed="65"/>
        <bgColor indexed="64"/>
      </patternFill>
    </fill>
    <fill>
      <patternFill patternType="solid">
        <fgColor theme="2" tint="-0.249977111117893"/>
        <bgColor indexed="64"/>
      </patternFill>
    </fill>
    <fill>
      <patternFill patternType="solid">
        <fgColor theme="1" tint="0.34998626667073579"/>
        <bgColor rgb="FFFBD4B4"/>
      </patternFill>
    </fill>
    <fill>
      <patternFill patternType="solid">
        <fgColor rgb="FF002060"/>
        <bgColor rgb="FFFBD4B4"/>
      </patternFill>
    </fill>
    <fill>
      <patternFill patternType="solid">
        <fgColor theme="0"/>
        <bgColor rgb="FFFBD4B4"/>
      </patternFill>
    </fill>
    <fill>
      <patternFill patternType="solid">
        <fgColor rgb="FF66FF33"/>
        <bgColor indexed="64"/>
      </patternFill>
    </fill>
    <fill>
      <patternFill patternType="solid">
        <fgColor theme="1" tint="0.249977111117893"/>
        <bgColor rgb="FFFBD4B4"/>
      </patternFill>
    </fill>
    <fill>
      <patternFill patternType="solid">
        <fgColor theme="2"/>
        <bgColor indexed="64"/>
      </patternFill>
    </fill>
    <fill>
      <patternFill patternType="solid">
        <fgColor theme="0" tint="-0.249977111117893"/>
        <bgColor rgb="FFFBD4B4"/>
      </patternFill>
    </fill>
  </fills>
  <borders count="8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68">
    <xf numFmtId="0" fontId="0" fillId="0" borderId="0"/>
    <xf numFmtId="0" fontId="8" fillId="0" borderId="1"/>
    <xf numFmtId="0" fontId="10" fillId="0" borderId="1"/>
    <xf numFmtId="9" fontId="8" fillId="0" borderId="1" applyFill="0" applyBorder="0" applyAlignment="0" applyProtection="0"/>
    <xf numFmtId="0" fontId="8" fillId="0" borderId="1"/>
    <xf numFmtId="43" fontId="16" fillId="0" borderId="0" applyFont="0" applyFill="0" applyBorder="0" applyAlignment="0" applyProtection="0"/>
    <xf numFmtId="9" fontId="16" fillId="0" borderId="0" applyFont="0" applyFill="0" applyBorder="0" applyAlignment="0" applyProtection="0"/>
    <xf numFmtId="43" fontId="8" fillId="0" borderId="1" applyFont="0" applyFill="0" applyBorder="0" applyAlignment="0" applyProtection="0"/>
    <xf numFmtId="9" fontId="8" fillId="0" borderId="1" applyFont="0" applyFill="0" applyBorder="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 fillId="0" borderId="1"/>
    <xf numFmtId="9" fontId="17" fillId="0" borderId="1" applyBorder="0" applyProtection="0"/>
    <xf numFmtId="0" fontId="18" fillId="0" borderId="1" applyNumberFormat="0" applyBorder="0" applyProtection="0"/>
    <xf numFmtId="0" fontId="7" fillId="0" borderId="1"/>
    <xf numFmtId="0" fontId="7" fillId="0" borderId="1"/>
    <xf numFmtId="0" fontId="19" fillId="0" borderId="1"/>
    <xf numFmtId="0" fontId="6" fillId="0" borderId="1"/>
    <xf numFmtId="43" fontId="6" fillId="0" borderId="1" applyFont="0" applyFill="0" applyBorder="0" applyAlignment="0" applyProtection="0"/>
    <xf numFmtId="0" fontId="8" fillId="0" borderId="1"/>
    <xf numFmtId="43" fontId="8" fillId="0" borderId="1" applyFont="0" applyFill="0" applyBorder="0" applyAlignment="0" applyProtection="0"/>
    <xf numFmtId="43" fontId="8" fillId="0" borderId="1" applyFont="0" applyFill="0" applyBorder="0" applyAlignment="0" applyProtection="0"/>
    <xf numFmtId="0" fontId="5" fillId="0" borderId="1"/>
    <xf numFmtId="0" fontId="5" fillId="0" borderId="1"/>
    <xf numFmtId="0" fontId="5" fillId="0" borderId="1"/>
    <xf numFmtId="0" fontId="8" fillId="0" borderId="1"/>
    <xf numFmtId="0" fontId="5" fillId="0" borderId="1"/>
    <xf numFmtId="43" fontId="5" fillId="0" borderId="1" applyFont="0" applyFill="0" applyBorder="0" applyAlignment="0" applyProtection="0"/>
    <xf numFmtId="0" fontId="5" fillId="0" borderId="1"/>
    <xf numFmtId="9" fontId="5"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0" fontId="8" fillId="0" borderId="1"/>
    <xf numFmtId="0" fontId="8" fillId="0" borderId="1"/>
    <xf numFmtId="43" fontId="8" fillId="0" borderId="1" applyFont="0" applyFill="0" applyBorder="0" applyAlignment="0" applyProtection="0"/>
    <xf numFmtId="41" fontId="8" fillId="0" borderId="1" applyFont="0" applyFill="0" applyBorder="0" applyAlignment="0" applyProtection="0"/>
    <xf numFmtId="0" fontId="4" fillId="0" borderId="1"/>
    <xf numFmtId="0" fontId="8" fillId="0" borderId="1" applyNumberFormat="0" applyFont="0" applyFill="0" applyBorder="0" applyAlignment="0" applyProtection="0">
      <alignment vertical="top"/>
    </xf>
    <xf numFmtId="0" fontId="4" fillId="0" borderId="1"/>
    <xf numFmtId="9" fontId="4" fillId="0" borderId="1" applyFont="0" applyFill="0" applyBorder="0" applyAlignment="0" applyProtection="0"/>
    <xf numFmtId="41" fontId="4" fillId="0" borderId="1" applyFont="0" applyFill="0" applyBorder="0" applyAlignment="0" applyProtection="0"/>
    <xf numFmtId="43" fontId="8" fillId="0" borderId="1" applyFont="0" applyFill="0" applyBorder="0" applyAlignment="0" applyProtection="0"/>
    <xf numFmtId="43" fontId="8" fillId="0" borderId="1" applyFont="0" applyFill="0" applyBorder="0" applyAlignment="0" applyProtection="0"/>
    <xf numFmtId="0" fontId="3" fillId="0" borderId="1"/>
    <xf numFmtId="0" fontId="3" fillId="0" borderId="1"/>
    <xf numFmtId="9" fontId="3"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739">
    <xf numFmtId="0" fontId="0" fillId="0" borderId="0" xfId="0"/>
    <xf numFmtId="0" fontId="9" fillId="0" borderId="0" xfId="0" applyFont="1" applyAlignment="1">
      <alignment vertical="center"/>
    </xf>
    <xf numFmtId="0" fontId="15" fillId="0" borderId="1" xfId="0" applyFont="1" applyBorder="1" applyAlignment="1">
      <alignment vertical="center"/>
    </xf>
    <xf numFmtId="0" fontId="15" fillId="0" borderId="0" xfId="0" applyFont="1" applyAlignment="1">
      <alignment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8" fillId="0" borderId="1" xfId="23" applyAlignment="1">
      <alignment vertical="center"/>
    </xf>
    <xf numFmtId="0" fontId="25" fillId="3" borderId="3" xfId="23" applyFont="1" applyFill="1" applyBorder="1" applyAlignment="1">
      <alignment horizontal="left"/>
    </xf>
    <xf numFmtId="0" fontId="25" fillId="3" borderId="18" xfId="23" applyFont="1" applyFill="1" applyBorder="1" applyAlignment="1">
      <alignment horizontal="left"/>
    </xf>
    <xf numFmtId="0" fontId="24" fillId="3" borderId="5" xfId="23" applyFont="1" applyFill="1" applyBorder="1" applyAlignment="1">
      <alignment horizontal="left"/>
    </xf>
    <xf numFmtId="0" fontId="24" fillId="3" borderId="19" xfId="23" applyFont="1" applyFill="1" applyBorder="1" applyAlignment="1">
      <alignment horizontal="center"/>
    </xf>
    <xf numFmtId="0" fontId="9" fillId="0" borderId="1" xfId="0" applyFont="1" applyBorder="1" applyAlignment="1">
      <alignment vertical="center"/>
    </xf>
    <xf numFmtId="0" fontId="35" fillId="0" borderId="0" xfId="0" applyFont="1"/>
    <xf numFmtId="0" fontId="8" fillId="0" borderId="0" xfId="0" applyFont="1"/>
    <xf numFmtId="0" fontId="11" fillId="7" borderId="2" xfId="23" applyFont="1" applyFill="1" applyBorder="1" applyAlignment="1">
      <alignment horizontal="left" vertical="center" wrapText="1"/>
    </xf>
    <xf numFmtId="0" fontId="21" fillId="0" borderId="0" xfId="0" applyFont="1"/>
    <xf numFmtId="3" fontId="21" fillId="7" borderId="3" xfId="5" applyNumberFormat="1" applyFont="1" applyFill="1" applyBorder="1" applyAlignment="1" applyProtection="1">
      <alignment horizontal="center" vertical="center"/>
    </xf>
    <xf numFmtId="0" fontId="11" fillId="7" borderId="2" xfId="23" applyFont="1" applyFill="1" applyBorder="1" applyAlignment="1">
      <alignment vertical="center" wrapText="1"/>
    </xf>
    <xf numFmtId="0" fontId="11" fillId="7" borderId="2" xfId="9" applyFont="1" applyFill="1" applyBorder="1" applyAlignment="1">
      <alignment horizontal="left" vertical="center" wrapText="1"/>
    </xf>
    <xf numFmtId="0" fontId="11" fillId="7" borderId="2" xfId="9" applyFont="1" applyFill="1" applyBorder="1" applyAlignment="1">
      <alignment horizontal="left" vertical="center"/>
    </xf>
    <xf numFmtId="0" fontId="33" fillId="7" borderId="2" xfId="9" applyFont="1" applyFill="1" applyBorder="1" applyAlignment="1">
      <alignment horizontal="left" vertical="center" wrapText="1"/>
    </xf>
    <xf numFmtId="3" fontId="21" fillId="7" borderId="3" xfId="0" applyNumberFormat="1" applyFont="1" applyFill="1" applyBorder="1" applyAlignment="1" applyProtection="1">
      <alignment horizontal="center" vertical="center"/>
    </xf>
    <xf numFmtId="3" fontId="21" fillId="7" borderId="3" xfId="6" applyNumberFormat="1" applyFont="1" applyFill="1" applyBorder="1" applyAlignment="1" applyProtection="1">
      <alignment horizontal="center" vertical="center"/>
    </xf>
    <xf numFmtId="0" fontId="25" fillId="3" borderId="3" xfId="0" applyFont="1" applyFill="1" applyBorder="1" applyAlignment="1" applyProtection="1">
      <alignment horizontal="left"/>
    </xf>
    <xf numFmtId="0" fontId="25" fillId="3" borderId="18" xfId="0" applyFont="1" applyFill="1" applyBorder="1" applyAlignment="1" applyProtection="1">
      <alignment horizontal="left"/>
    </xf>
    <xf numFmtId="0" fontId="24" fillId="3" borderId="5" xfId="0" applyFont="1" applyFill="1" applyBorder="1" applyAlignment="1" applyProtection="1">
      <alignment horizontal="left"/>
    </xf>
    <xf numFmtId="0" fontId="24" fillId="3" borderId="19" xfId="0" applyFont="1" applyFill="1" applyBorder="1" applyAlignment="1" applyProtection="1">
      <alignment horizontal="center"/>
    </xf>
    <xf numFmtId="0" fontId="20" fillId="0" borderId="2" xfId="0" applyFont="1" applyBorder="1" applyAlignment="1" applyProtection="1">
      <alignment horizontal="justify" vertical="center" wrapText="1"/>
    </xf>
    <xf numFmtId="9" fontId="20" fillId="0" borderId="2" xfId="6" applyFont="1" applyBorder="1" applyAlignment="1" applyProtection="1">
      <alignment horizontal="center" vertical="center" wrapText="1"/>
    </xf>
    <xf numFmtId="9" fontId="20" fillId="0" borderId="3" xfId="0" applyNumberFormat="1" applyFont="1" applyBorder="1" applyAlignment="1" applyProtection="1">
      <alignment horizontal="center" vertical="center" wrapText="1"/>
    </xf>
    <xf numFmtId="0" fontId="23" fillId="0" borderId="6" xfId="20" applyFont="1" applyBorder="1" applyAlignment="1" applyProtection="1">
      <alignment horizontal="left" vertical="center" wrapText="1"/>
    </xf>
    <xf numFmtId="3" fontId="39" fillId="11" borderId="3" xfId="0" applyNumberFormat="1" applyFont="1" applyFill="1" applyBorder="1" applyAlignment="1" applyProtection="1">
      <alignment horizontal="center" vertical="center"/>
    </xf>
    <xf numFmtId="9" fontId="39" fillId="11" borderId="3" xfId="6" applyFont="1" applyFill="1" applyBorder="1" applyAlignment="1" applyProtection="1">
      <alignment horizontal="center" vertical="center"/>
    </xf>
    <xf numFmtId="3" fontId="21" fillId="7" borderId="3" xfId="7" applyNumberFormat="1" applyFont="1" applyFill="1" applyBorder="1" applyAlignment="1" applyProtection="1">
      <alignment horizontal="center" vertical="center"/>
    </xf>
    <xf numFmtId="9" fontId="21" fillId="5" borderId="3" xfId="8" applyFont="1" applyFill="1" applyBorder="1" applyAlignment="1" applyProtection="1">
      <alignment horizontal="center" vertical="center"/>
    </xf>
    <xf numFmtId="0" fontId="15" fillId="0" borderId="1" xfId="1" applyFont="1" applyAlignment="1">
      <alignment vertical="center"/>
    </xf>
    <xf numFmtId="0" fontId="15" fillId="0" borderId="1" xfId="1" applyFont="1" applyAlignment="1">
      <alignment horizontal="center" vertical="center"/>
    </xf>
    <xf numFmtId="0" fontId="20" fillId="0" borderId="2" xfId="0" applyFont="1" applyBorder="1" applyAlignment="1">
      <alignment horizontal="justify" vertical="center" wrapText="1"/>
    </xf>
    <xf numFmtId="9" fontId="20" fillId="0" borderId="2" xfId="8" applyFont="1" applyBorder="1" applyAlignment="1" applyProtection="1">
      <alignment horizontal="center" vertical="center" wrapText="1"/>
    </xf>
    <xf numFmtId="3" fontId="44" fillId="7" borderId="3" xfId="7" applyNumberFormat="1" applyFont="1" applyFill="1" applyBorder="1" applyAlignment="1" applyProtection="1">
      <alignment horizontal="center" vertical="center"/>
    </xf>
    <xf numFmtId="3" fontId="39" fillId="11" borderId="31" xfId="0" applyNumberFormat="1" applyFont="1" applyFill="1" applyBorder="1" applyAlignment="1" applyProtection="1">
      <alignment horizontal="center" vertical="center"/>
    </xf>
    <xf numFmtId="9" fontId="39" fillId="11" borderId="31" xfId="6" applyFont="1" applyFill="1" applyBorder="1" applyAlignment="1" applyProtection="1">
      <alignment horizontal="center" vertical="center"/>
    </xf>
    <xf numFmtId="9" fontId="39" fillId="11" borderId="2" xfId="6" applyFont="1" applyFill="1" applyBorder="1" applyAlignment="1" applyProtection="1">
      <alignment horizontal="center" vertical="center"/>
    </xf>
    <xf numFmtId="1" fontId="39" fillId="11" borderId="3" xfId="6" applyNumberFormat="1" applyFont="1" applyFill="1" applyBorder="1" applyAlignment="1" applyProtection="1">
      <alignment horizontal="center" vertical="center"/>
    </xf>
    <xf numFmtId="9" fontId="21" fillId="7" borderId="3" xfId="6" applyFont="1" applyFill="1" applyBorder="1" applyAlignment="1" applyProtection="1">
      <alignment horizontal="center" vertical="center"/>
    </xf>
    <xf numFmtId="9" fontId="39" fillId="7" borderId="3" xfId="6" applyFont="1" applyFill="1" applyBorder="1" applyAlignment="1" applyProtection="1">
      <alignment horizontal="center" vertical="center"/>
    </xf>
    <xf numFmtId="3" fontId="39" fillId="7" borderId="3" xfId="7" applyNumberFormat="1" applyFont="1" applyFill="1" applyBorder="1" applyAlignment="1" applyProtection="1">
      <alignment horizontal="center" vertical="center"/>
    </xf>
    <xf numFmtId="0" fontId="20" fillId="0" borderId="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9" fontId="22" fillId="4" borderId="9" xfId="3" applyFont="1" applyFill="1" applyBorder="1" applyAlignment="1" applyProtection="1">
      <alignment horizontal="center" vertical="center"/>
    </xf>
    <xf numFmtId="0" fontId="26" fillId="0" borderId="2" xfId="1" applyFont="1" applyFill="1" applyBorder="1" applyAlignment="1" applyProtection="1">
      <alignment horizontal="center" vertical="top" wrapText="1"/>
    </xf>
    <xf numFmtId="0" fontId="27" fillId="0" borderId="2" xfId="1" applyFont="1" applyFill="1" applyBorder="1" applyAlignment="1" applyProtection="1">
      <alignment horizontal="center" vertical="top" wrapText="1"/>
    </xf>
    <xf numFmtId="0" fontId="26" fillId="7" borderId="2" xfId="1" applyFont="1" applyFill="1" applyBorder="1" applyAlignment="1" applyProtection="1">
      <alignment horizontal="center" vertical="top" wrapText="1"/>
    </xf>
    <xf numFmtId="0" fontId="27" fillId="7" borderId="2" xfId="1" applyFont="1" applyFill="1" applyBorder="1" applyAlignment="1" applyProtection="1">
      <alignment horizontal="center" vertical="top" wrapText="1"/>
    </xf>
    <xf numFmtId="0" fontId="11" fillId="7" borderId="2" xfId="1" applyFont="1" applyFill="1" applyBorder="1" applyAlignment="1" applyProtection="1">
      <alignment vertical="center" wrapText="1"/>
    </xf>
    <xf numFmtId="0" fontId="23" fillId="0" borderId="6" xfId="34" applyFont="1" applyBorder="1" applyAlignment="1" applyProtection="1">
      <alignment horizontal="left" vertical="center"/>
    </xf>
    <xf numFmtId="165" fontId="11" fillId="0" borderId="2" xfId="1" applyNumberFormat="1" applyFont="1" applyFill="1" applyBorder="1" applyAlignment="1" applyProtection="1">
      <alignment horizontal="center" vertical="center" wrapText="1"/>
    </xf>
    <xf numFmtId="3" fontId="21" fillId="7" borderId="3" xfId="8" applyNumberFormat="1" applyFont="1" applyFill="1" applyBorder="1" applyAlignment="1" applyProtection="1">
      <alignment horizontal="center" vertical="center"/>
    </xf>
    <xf numFmtId="9" fontId="21" fillId="7" borderId="3" xfId="8" applyFont="1" applyFill="1" applyBorder="1" applyAlignment="1" applyProtection="1">
      <alignment horizontal="center" vertical="center" wrapText="1"/>
    </xf>
    <xf numFmtId="1" fontId="39" fillId="18" borderId="3" xfId="6" applyNumberFormat="1" applyFont="1" applyFill="1" applyBorder="1" applyAlignment="1" applyProtection="1">
      <alignment horizontal="center" vertical="center"/>
    </xf>
    <xf numFmtId="9" fontId="39" fillId="18" borderId="3" xfId="6" applyFont="1" applyFill="1" applyBorder="1" applyAlignment="1" applyProtection="1">
      <alignment horizontal="center" vertical="center"/>
    </xf>
    <xf numFmtId="1" fontId="20" fillId="0" borderId="2" xfId="8" applyNumberFormat="1" applyFont="1" applyBorder="1" applyAlignment="1" applyProtection="1">
      <alignment horizontal="center" vertical="center" wrapText="1"/>
    </xf>
    <xf numFmtId="9" fontId="39" fillId="7" borderId="3" xfId="8" applyFont="1" applyFill="1" applyBorder="1" applyAlignment="1" applyProtection="1">
      <alignment horizontal="center" vertical="center"/>
    </xf>
    <xf numFmtId="1" fontId="39" fillId="7" borderId="3" xfId="38" applyNumberFormat="1" applyFont="1" applyFill="1" applyBorder="1" applyAlignment="1" applyProtection="1">
      <alignment horizontal="center" vertical="center"/>
    </xf>
    <xf numFmtId="3" fontId="39" fillId="7" borderId="3" xfId="36" applyNumberFormat="1" applyFont="1" applyFill="1" applyBorder="1" applyAlignment="1" applyProtection="1">
      <alignment horizontal="center" vertical="center"/>
    </xf>
    <xf numFmtId="4" fontId="39" fillId="7" borderId="3" xfId="36" applyNumberFormat="1" applyFont="1" applyFill="1" applyBorder="1" applyAlignment="1" applyProtection="1">
      <alignment horizontal="center" vertical="center"/>
    </xf>
    <xf numFmtId="0" fontId="0" fillId="0" borderId="0" xfId="0" applyProtection="1"/>
    <xf numFmtId="0" fontId="35" fillId="0" borderId="2" xfId="0" applyFont="1" applyBorder="1" applyAlignment="1" applyProtection="1">
      <alignment vertical="center"/>
    </xf>
    <xf numFmtId="0" fontId="35"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9" fillId="0" borderId="34" xfId="0" applyFont="1" applyBorder="1" applyAlignment="1" applyProtection="1">
      <alignment vertical="center"/>
    </xf>
    <xf numFmtId="0" fontId="49" fillId="0" borderId="1" xfId="0" applyFont="1" applyBorder="1" applyAlignment="1" applyProtection="1">
      <alignment vertical="center"/>
    </xf>
    <xf numFmtId="0" fontId="49" fillId="0" borderId="36" xfId="0" applyFont="1" applyBorder="1" applyAlignment="1" applyProtection="1">
      <alignment vertical="center"/>
    </xf>
    <xf numFmtId="0" fontId="50" fillId="0" borderId="34" xfId="0" applyFont="1" applyBorder="1" applyAlignment="1" applyProtection="1">
      <alignment vertical="center"/>
    </xf>
    <xf numFmtId="0" fontId="33" fillId="0" borderId="36" xfId="0" applyFont="1" applyFill="1" applyBorder="1" applyAlignment="1" applyProtection="1">
      <alignment vertical="center" wrapText="1"/>
    </xf>
    <xf numFmtId="0" fontId="50" fillId="0" borderId="36" xfId="0" applyFont="1" applyBorder="1" applyAlignment="1" applyProtection="1">
      <alignment vertical="center"/>
    </xf>
    <xf numFmtId="0" fontId="47" fillId="0" borderId="34" xfId="0" applyFont="1" applyBorder="1" applyAlignment="1" applyProtection="1"/>
    <xf numFmtId="14" fontId="20"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7" fillId="0" borderId="1" xfId="0" applyFont="1" applyBorder="1" applyAlignment="1" applyProtection="1">
      <alignment vertical="center"/>
    </xf>
    <xf numFmtId="0" fontId="0" fillId="0" borderId="1" xfId="0" applyBorder="1" applyAlignment="1" applyProtection="1">
      <alignment vertical="center"/>
    </xf>
    <xf numFmtId="0" fontId="47" fillId="0" borderId="36" xfId="0" applyFont="1" applyBorder="1" applyAlignment="1" applyProtection="1">
      <alignment vertical="center"/>
    </xf>
    <xf numFmtId="0" fontId="0" fillId="0" borderId="1" xfId="0" applyBorder="1" applyAlignment="1" applyProtection="1">
      <alignment horizontal="center"/>
    </xf>
    <xf numFmtId="0" fontId="0" fillId="0" borderId="36" xfId="0" applyBorder="1" applyAlignment="1" applyProtection="1">
      <alignment horizontal="center"/>
    </xf>
    <xf numFmtId="0" fontId="47"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52" fillId="9" borderId="2" xfId="0" applyFont="1" applyFill="1" applyBorder="1" applyAlignment="1" applyProtection="1">
      <alignment vertical="center"/>
    </xf>
    <xf numFmtId="0" fontId="24"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7" fillId="0" borderId="1" xfId="0" applyFont="1" applyBorder="1" applyAlignment="1" applyProtection="1"/>
    <xf numFmtId="0" fontId="47" fillId="0" borderId="1" xfId="0" applyFont="1" applyBorder="1" applyProtection="1"/>
    <xf numFmtId="0" fontId="47" fillId="0" borderId="1" xfId="0" applyFont="1" applyBorder="1" applyAlignment="1" applyProtection="1">
      <alignment horizontal="center"/>
    </xf>
    <xf numFmtId="0" fontId="51" fillId="0" borderId="1" xfId="0" applyFont="1" applyBorder="1" applyAlignment="1" applyProtection="1"/>
    <xf numFmtId="0" fontId="52" fillId="0" borderId="1" xfId="0" applyFont="1" applyFill="1" applyBorder="1" applyAlignment="1" applyProtection="1">
      <alignment vertical="center"/>
    </xf>
    <xf numFmtId="0" fontId="24" fillId="0" borderId="1"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vertical="center"/>
    </xf>
    <xf numFmtId="0" fontId="9" fillId="0" borderId="0" xfId="0" applyFont="1" applyAlignment="1" applyProtection="1">
      <alignment vertical="center"/>
    </xf>
    <xf numFmtId="0" fontId="15" fillId="0" borderId="1" xfId="0" applyFont="1" applyBorder="1" applyAlignment="1" applyProtection="1">
      <alignment vertical="center"/>
    </xf>
    <xf numFmtId="0" fontId="15" fillId="0" borderId="1" xfId="0" applyFont="1" applyBorder="1" applyAlignment="1" applyProtection="1">
      <alignment horizontal="center" vertical="center"/>
    </xf>
    <xf numFmtId="0" fontId="9" fillId="0" borderId="1" xfId="0" applyFont="1" applyBorder="1" applyAlignment="1" applyProtection="1">
      <alignment vertical="center"/>
    </xf>
    <xf numFmtId="3" fontId="20" fillId="0" borderId="2" xfId="0"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3" xfId="0" applyNumberFormat="1" applyFont="1" applyBorder="1" applyAlignment="1" applyProtection="1">
      <alignment horizontal="justify" vertical="center" wrapText="1"/>
    </xf>
    <xf numFmtId="0" fontId="20" fillId="0" borderId="31" xfId="0" applyFont="1" applyBorder="1" applyAlignment="1" applyProtection="1">
      <alignment horizontal="justify" vertical="center" wrapText="1"/>
    </xf>
    <xf numFmtId="0" fontId="20" fillId="0" borderId="6" xfId="20" applyFont="1" applyBorder="1" applyAlignment="1" applyProtection="1">
      <alignment horizontal="justify" vertical="center" wrapText="1"/>
    </xf>
    <xf numFmtId="3" fontId="39" fillId="0" borderId="3" xfId="5" applyNumberFormat="1" applyFont="1" applyBorder="1" applyAlignment="1" applyProtection="1">
      <alignment horizontal="center" vertical="center" wrapText="1"/>
    </xf>
    <xf numFmtId="9" fontId="39" fillId="0" borderId="3" xfId="6" applyFont="1" applyBorder="1" applyAlignment="1" applyProtection="1">
      <alignment horizontal="center" vertical="center" wrapText="1"/>
    </xf>
    <xf numFmtId="0" fontId="20" fillId="0" borderId="31" xfId="20" applyFont="1" applyBorder="1" applyAlignment="1" applyProtection="1">
      <alignment horizontal="justify" vertical="center" wrapText="1"/>
    </xf>
    <xf numFmtId="9" fontId="20" fillId="0" borderId="2" xfId="8" applyFont="1" applyFill="1" applyBorder="1" applyAlignment="1" applyProtection="1">
      <alignment horizontal="center" vertical="center" wrapText="1"/>
    </xf>
    <xf numFmtId="0" fontId="20" fillId="0" borderId="2" xfId="2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0" xfId="20" applyFont="1" applyBorder="1" applyAlignment="1" applyProtection="1">
      <alignment horizontal="justify" vertical="center" wrapText="1"/>
    </xf>
    <xf numFmtId="0" fontId="20" fillId="18" borderId="2" xfId="0" applyFont="1" applyFill="1" applyBorder="1" applyAlignment="1" applyProtection="1">
      <alignment horizontal="justify" vertical="center" wrapText="1"/>
    </xf>
    <xf numFmtId="9" fontId="20" fillId="18" borderId="2" xfId="8" applyFont="1" applyFill="1" applyBorder="1" applyAlignment="1" applyProtection="1">
      <alignment horizontal="center" vertical="center" wrapText="1"/>
    </xf>
    <xf numFmtId="3" fontId="20" fillId="18" borderId="2" xfId="0" applyNumberFormat="1" applyFont="1" applyFill="1" applyBorder="1" applyAlignment="1" applyProtection="1">
      <alignment horizontal="center" vertical="center" wrapText="1"/>
    </xf>
    <xf numFmtId="0" fontId="20" fillId="18" borderId="3" xfId="0" applyFont="1" applyFill="1" applyBorder="1" applyAlignment="1" applyProtection="1">
      <alignment horizontal="center" vertical="center" wrapText="1"/>
    </xf>
    <xf numFmtId="0" fontId="20" fillId="18" borderId="3" xfId="0" applyFont="1" applyFill="1" applyBorder="1" applyAlignment="1" applyProtection="1">
      <alignment horizontal="justify" vertical="center" wrapText="1"/>
    </xf>
    <xf numFmtId="0" fontId="20" fillId="18" borderId="31" xfId="0" applyFont="1" applyFill="1" applyBorder="1" applyAlignment="1" applyProtection="1">
      <alignment horizontal="justify" vertical="center" wrapText="1"/>
    </xf>
    <xf numFmtId="0" fontId="20" fillId="18" borderId="6" xfId="20" applyFont="1" applyFill="1" applyBorder="1" applyAlignment="1" applyProtection="1">
      <alignment horizontal="justify" vertical="center" wrapText="1"/>
    </xf>
    <xf numFmtId="3" fontId="39" fillId="18" borderId="3" xfId="5" applyNumberFormat="1" applyFont="1" applyFill="1" applyBorder="1" applyAlignment="1" applyProtection="1">
      <alignment horizontal="center" vertical="center" wrapText="1"/>
    </xf>
    <xf numFmtId="0" fontId="20" fillId="0" borderId="11" xfId="20" applyFont="1" applyBorder="1" applyAlignment="1" applyProtection="1">
      <alignment horizontal="justify" vertical="center" wrapText="1"/>
    </xf>
    <xf numFmtId="9" fontId="20" fillId="0" borderId="2" xfId="0" applyNumberFormat="1" applyFont="1" applyBorder="1" applyAlignment="1" applyProtection="1">
      <alignment horizontal="center" vertical="center" wrapText="1"/>
    </xf>
    <xf numFmtId="9" fontId="41" fillId="0" borderId="2" xfId="0" applyNumberFormat="1" applyFont="1" applyBorder="1" applyAlignment="1" applyProtection="1">
      <alignment horizontal="center" vertical="center" wrapText="1" readingOrder="1"/>
    </xf>
    <xf numFmtId="0" fontId="42" fillId="0" borderId="2" xfId="0" applyFont="1" applyBorder="1" applyAlignment="1" applyProtection="1">
      <alignment horizontal="center" vertical="center" wrapText="1" readingOrder="1"/>
    </xf>
    <xf numFmtId="0" fontId="39" fillId="0" borderId="2" xfId="0" applyFont="1" applyBorder="1" applyAlignment="1" applyProtection="1">
      <alignment horizontal="justify" vertical="top" wrapText="1" readingOrder="1"/>
    </xf>
    <xf numFmtId="9" fontId="20" fillId="18" borderId="2" xfId="6" applyFont="1" applyFill="1" applyBorder="1" applyAlignment="1" applyProtection="1">
      <alignment horizontal="center" vertical="center" wrapText="1"/>
    </xf>
    <xf numFmtId="9" fontId="20" fillId="18" borderId="2" xfId="0" applyNumberFormat="1" applyFont="1" applyFill="1" applyBorder="1" applyAlignment="1" applyProtection="1">
      <alignment horizontal="center" vertical="center" wrapText="1"/>
    </xf>
    <xf numFmtId="0" fontId="20" fillId="18" borderId="2" xfId="0" applyNumberFormat="1" applyFont="1" applyFill="1" applyBorder="1" applyAlignment="1" applyProtection="1">
      <alignment horizontal="justify" vertical="center" wrapText="1"/>
    </xf>
    <xf numFmtId="0" fontId="20" fillId="18" borderId="2" xfId="20" applyFont="1" applyFill="1" applyBorder="1" applyAlignment="1" applyProtection="1">
      <alignment horizontal="justify" vertical="center" wrapText="1"/>
    </xf>
    <xf numFmtId="9" fontId="39" fillId="18" borderId="2" xfId="5" applyNumberFormat="1" applyFont="1" applyFill="1" applyBorder="1" applyAlignment="1" applyProtection="1">
      <alignment horizontal="center" vertical="center" wrapText="1"/>
    </xf>
    <xf numFmtId="9" fontId="20" fillId="0" borderId="2" xfId="6" applyFont="1" applyBorder="1" applyAlignment="1" applyProtection="1">
      <alignment horizontal="justify" vertical="center" wrapText="1"/>
    </xf>
    <xf numFmtId="9" fontId="39" fillId="0" borderId="3" xfId="5" applyNumberFormat="1" applyFont="1" applyBorder="1" applyAlignment="1" applyProtection="1">
      <alignment horizontal="center" vertical="center" wrapText="1"/>
    </xf>
    <xf numFmtId="0" fontId="20" fillId="0" borderId="3" xfId="0" applyNumberFormat="1" applyFont="1" applyBorder="1" applyAlignment="1" applyProtection="1">
      <alignment horizontal="center" vertical="center" wrapText="1"/>
    </xf>
    <xf numFmtId="1" fontId="20" fillId="0" borderId="2" xfId="0" applyNumberFormat="1" applyFont="1" applyBorder="1" applyAlignment="1" applyProtection="1">
      <alignment horizontal="center" vertical="center" wrapText="1"/>
    </xf>
    <xf numFmtId="1" fontId="39" fillId="0" borderId="3" xfId="5" applyNumberFormat="1" applyFont="1" applyBorder="1" applyAlignment="1" applyProtection="1">
      <alignment horizontal="center" vertical="center" wrapText="1"/>
    </xf>
    <xf numFmtId="9" fontId="20" fillId="0" borderId="3" xfId="6" applyFont="1" applyBorder="1" applyAlignment="1" applyProtection="1">
      <alignment horizontal="center" vertical="center" wrapText="1"/>
    </xf>
    <xf numFmtId="9" fontId="20" fillId="0" borderId="3" xfId="6" applyFont="1" applyBorder="1" applyAlignment="1" applyProtection="1">
      <alignment horizontal="justify" vertical="center" wrapText="1"/>
    </xf>
    <xf numFmtId="9" fontId="20" fillId="18" borderId="3" xfId="0" applyNumberFormat="1" applyFont="1" applyFill="1" applyBorder="1" applyAlignment="1" applyProtection="1">
      <alignment horizontal="center" vertical="center" wrapText="1"/>
    </xf>
    <xf numFmtId="0" fontId="20" fillId="18" borderId="3" xfId="9" applyFont="1" applyFill="1" applyBorder="1" applyAlignment="1" applyProtection="1">
      <alignment horizontal="justify" vertical="center" wrapText="1"/>
    </xf>
    <xf numFmtId="0" fontId="20" fillId="18" borderId="31" xfId="9" applyFont="1" applyFill="1" applyBorder="1" applyAlignment="1" applyProtection="1">
      <alignment horizontal="justify" vertical="center" wrapText="1"/>
    </xf>
    <xf numFmtId="0" fontId="20" fillId="18" borderId="2" xfId="34" applyFont="1" applyFill="1" applyBorder="1" applyAlignment="1" applyProtection="1">
      <alignment horizontal="justify" vertical="center" wrapText="1"/>
    </xf>
    <xf numFmtId="9" fontId="39" fillId="18" borderId="3" xfId="5" applyNumberFormat="1" applyFont="1" applyFill="1" applyBorder="1" applyAlignment="1" applyProtection="1">
      <alignment horizontal="center" vertical="center" wrapText="1"/>
    </xf>
    <xf numFmtId="9" fontId="20" fillId="18" borderId="2" xfId="34" applyNumberFormat="1" applyFont="1" applyFill="1" applyBorder="1" applyAlignment="1" applyProtection="1">
      <alignment horizontal="center" vertical="center" wrapText="1"/>
    </xf>
    <xf numFmtId="0" fontId="20" fillId="18" borderId="2" xfId="9" applyFont="1" applyFill="1" applyBorder="1" applyAlignment="1" applyProtection="1">
      <alignment horizontal="justify" vertical="center" wrapText="1"/>
    </xf>
    <xf numFmtId="0" fontId="20" fillId="18" borderId="2" xfId="9" applyFont="1" applyFill="1" applyBorder="1" applyAlignment="1" applyProtection="1">
      <alignment horizontal="center" vertical="center" wrapText="1"/>
    </xf>
    <xf numFmtId="0" fontId="20" fillId="18" borderId="3" xfId="9" applyFont="1" applyFill="1" applyBorder="1" applyAlignment="1" applyProtection="1">
      <alignment horizontal="center" vertical="center" wrapText="1"/>
    </xf>
    <xf numFmtId="1" fontId="39" fillId="18" borderId="3" xfId="5" applyNumberFormat="1" applyFont="1" applyFill="1" applyBorder="1" applyAlignment="1" applyProtection="1">
      <alignment horizontal="center" vertical="center" wrapText="1"/>
    </xf>
    <xf numFmtId="10" fontId="20" fillId="0" borderId="3" xfId="0" applyNumberFormat="1" applyFont="1" applyBorder="1" applyAlignment="1" applyProtection="1">
      <alignment horizontal="center" vertical="center" wrapText="1"/>
    </xf>
    <xf numFmtId="0" fontId="20" fillId="0" borderId="3" xfId="32" applyFont="1" applyBorder="1" applyAlignment="1" applyProtection="1">
      <alignment horizontal="justify" vertical="center" wrapText="1"/>
    </xf>
    <xf numFmtId="1" fontId="44" fillId="0" borderId="3" xfId="36" applyNumberFormat="1" applyFont="1" applyFill="1" applyBorder="1" applyAlignment="1" applyProtection="1">
      <alignment horizontal="center" vertical="center" wrapText="1"/>
    </xf>
    <xf numFmtId="0" fontId="20" fillId="0" borderId="6" xfId="34" applyFont="1" applyBorder="1" applyAlignment="1" applyProtection="1">
      <alignment horizontal="justify" vertical="center" wrapText="1"/>
    </xf>
    <xf numFmtId="9" fontId="20" fillId="0" borderId="3" xfId="36" applyNumberFormat="1" applyFont="1" applyBorder="1" applyAlignment="1" applyProtection="1">
      <alignment horizontal="center" vertical="center" wrapText="1"/>
    </xf>
    <xf numFmtId="1" fontId="20" fillId="18" borderId="2" xfId="0" applyNumberFormat="1" applyFont="1" applyFill="1" applyBorder="1" applyAlignment="1" applyProtection="1">
      <alignment horizontal="center" vertical="center" wrapText="1"/>
    </xf>
    <xf numFmtId="167" fontId="20" fillId="18" borderId="3" xfId="36" applyNumberFormat="1" applyFont="1" applyFill="1" applyBorder="1" applyAlignment="1" applyProtection="1">
      <alignment horizontal="center" vertical="center" wrapText="1"/>
    </xf>
    <xf numFmtId="0" fontId="20" fillId="18" borderId="2" xfId="0" applyFont="1" applyFill="1" applyBorder="1" applyAlignment="1" applyProtection="1">
      <alignment horizontal="center" vertical="center" wrapText="1"/>
    </xf>
    <xf numFmtId="0" fontId="20" fillId="18" borderId="3" xfId="36" applyNumberFormat="1" applyFont="1" applyFill="1" applyBorder="1" applyAlignment="1" applyProtection="1">
      <alignment horizontal="center" vertical="center" wrapText="1"/>
    </xf>
    <xf numFmtId="0" fontId="45" fillId="18" borderId="2" xfId="0" applyFont="1" applyFill="1" applyBorder="1" applyAlignment="1" applyProtection="1">
      <alignment horizontal="justify" vertical="center" wrapText="1"/>
    </xf>
    <xf numFmtId="0" fontId="20" fillId="0" borderId="3" xfId="34" applyFont="1" applyBorder="1" applyAlignment="1" applyProtection="1">
      <alignment horizontal="justify" vertical="center" wrapText="1"/>
    </xf>
    <xf numFmtId="0" fontId="39" fillId="18" borderId="2" xfId="0" applyFont="1" applyFill="1" applyBorder="1" applyAlignment="1" applyProtection="1">
      <alignment horizontal="justify" vertical="top" wrapText="1" readingOrder="1"/>
    </xf>
    <xf numFmtId="0" fontId="20" fillId="18" borderId="6" xfId="34" applyFont="1" applyFill="1" applyBorder="1" applyAlignment="1" applyProtection="1">
      <alignment horizontal="justify" vertical="center" wrapText="1"/>
    </xf>
    <xf numFmtId="1" fontId="20" fillId="18" borderId="3" xfId="5" applyNumberFormat="1" applyFont="1" applyFill="1" applyBorder="1" applyAlignment="1" applyProtection="1">
      <alignment horizontal="center" vertical="center" wrapText="1"/>
    </xf>
    <xf numFmtId="0" fontId="20" fillId="0" borderId="3" xfId="36" applyNumberFormat="1" applyFont="1" applyBorder="1" applyAlignment="1" applyProtection="1">
      <alignment horizontal="center" vertical="center" wrapText="1"/>
    </xf>
    <xf numFmtId="0" fontId="42" fillId="0" borderId="2" xfId="0" applyFont="1" applyBorder="1" applyAlignment="1" applyProtection="1">
      <alignment horizontal="justify" vertical="top" wrapText="1"/>
    </xf>
    <xf numFmtId="0" fontId="42" fillId="3" borderId="2" xfId="0" applyFont="1" applyFill="1" applyBorder="1" applyAlignment="1" applyProtection="1">
      <alignment horizontal="justify" vertical="top" wrapText="1"/>
    </xf>
    <xf numFmtId="0" fontId="15" fillId="0" borderId="1" xfId="1" applyFont="1" applyBorder="1" applyAlignment="1" applyProtection="1">
      <alignment horizontal="center" vertical="center"/>
    </xf>
    <xf numFmtId="0" fontId="15" fillId="0" borderId="1" xfId="1" applyFont="1" applyBorder="1" applyAlignment="1" applyProtection="1">
      <alignment vertical="center"/>
    </xf>
    <xf numFmtId="0" fontId="25" fillId="3" borderId="32" xfId="0" applyFont="1" applyFill="1" applyBorder="1" applyAlignment="1" applyProtection="1"/>
    <xf numFmtId="0" fontId="24" fillId="3" borderId="17" xfId="0" applyFont="1" applyFill="1" applyBorder="1" applyAlignment="1" applyProtection="1"/>
    <xf numFmtId="0" fontId="25" fillId="3" borderId="31" xfId="0" applyFont="1" applyFill="1" applyBorder="1" applyAlignment="1" applyProtection="1">
      <alignment horizontal="left"/>
    </xf>
    <xf numFmtId="0" fontId="24" fillId="3" borderId="10" xfId="0" applyFont="1" applyFill="1" applyBorder="1" applyAlignment="1" applyProtection="1">
      <alignment horizontal="left"/>
    </xf>
    <xf numFmtId="0" fontId="25" fillId="3" borderId="33" xfId="0" applyFont="1" applyFill="1" applyBorder="1" applyAlignment="1" applyProtection="1"/>
    <xf numFmtId="0" fontId="24" fillId="3" borderId="21" xfId="0" applyFont="1" applyFill="1" applyBorder="1" applyAlignment="1" applyProtection="1"/>
    <xf numFmtId="0" fontId="37" fillId="0" borderId="2" xfId="0" applyFont="1" applyBorder="1" applyAlignment="1" applyProtection="1">
      <alignment vertical="center"/>
    </xf>
    <xf numFmtId="0" fontId="20" fillId="0" borderId="1" xfId="0" applyFont="1" applyBorder="1" applyAlignment="1" applyProtection="1">
      <alignment vertical="center"/>
    </xf>
    <xf numFmtId="0" fontId="20" fillId="2" borderId="2" xfId="1" applyFont="1" applyFill="1" applyBorder="1" applyAlignment="1" applyProtection="1">
      <alignment horizontal="center" vertical="center" wrapText="1"/>
    </xf>
    <xf numFmtId="0" fontId="20" fillId="0" borderId="6" xfId="20" applyFont="1" applyBorder="1" applyAlignment="1" applyProtection="1">
      <alignment horizontal="left" vertical="center" wrapText="1"/>
    </xf>
    <xf numFmtId="0" fontId="20" fillId="0" borderId="6" xfId="34" applyFont="1" applyBorder="1" applyAlignment="1" applyProtection="1">
      <alignment horizontal="left" vertical="center" wrapText="1"/>
    </xf>
    <xf numFmtId="9" fontId="21" fillId="0" borderId="3" xfId="6" applyFont="1" applyBorder="1" applyAlignment="1" applyProtection="1">
      <alignment horizontal="center" vertical="center" wrapText="1"/>
    </xf>
    <xf numFmtId="9" fontId="21" fillId="0" borderId="3" xfId="6" applyFont="1" applyFill="1" applyBorder="1" applyAlignment="1" applyProtection="1">
      <alignment horizontal="center" vertical="center" wrapText="1"/>
    </xf>
    <xf numFmtId="0" fontId="20" fillId="0" borderId="2" xfId="34" applyNumberFormat="1" applyFont="1" applyBorder="1" applyAlignment="1" applyProtection="1">
      <alignment horizontal="left" vertical="center" wrapText="1"/>
    </xf>
    <xf numFmtId="9" fontId="21" fillId="0" borderId="3" xfId="8" applyFont="1" applyBorder="1" applyAlignment="1" applyProtection="1">
      <alignment horizontal="center" vertical="center" wrapText="1"/>
    </xf>
    <xf numFmtId="0" fontId="21" fillId="0" borderId="3" xfId="5" applyNumberFormat="1" applyFont="1" applyBorder="1" applyAlignment="1" applyProtection="1">
      <alignment horizontal="center" vertical="center" wrapText="1"/>
    </xf>
    <xf numFmtId="0" fontId="21" fillId="0" borderId="3" xfId="5" applyNumberFormat="1" applyFont="1" applyFill="1" applyBorder="1" applyAlignment="1" applyProtection="1">
      <alignment horizontal="center" vertical="center" wrapText="1"/>
    </xf>
    <xf numFmtId="0" fontId="20" fillId="0" borderId="3" xfId="0" applyFont="1" applyBorder="1" applyAlignment="1" applyProtection="1">
      <alignment horizontal="left" vertical="center" wrapText="1"/>
    </xf>
    <xf numFmtId="14" fontId="20" fillId="0" borderId="1" xfId="1" applyNumberFormat="1" applyFont="1" applyBorder="1" applyAlignment="1" applyProtection="1">
      <alignment vertical="center"/>
    </xf>
    <xf numFmtId="0" fontId="11" fillId="0" borderId="1" xfId="1" applyFont="1" applyFill="1" applyBorder="1" applyAlignment="1" applyProtection="1">
      <alignment horizontal="center" vertical="center"/>
    </xf>
    <xf numFmtId="0" fontId="15" fillId="0" borderId="1" xfId="1" applyFont="1" applyFill="1" applyBorder="1" applyAlignment="1" applyProtection="1">
      <alignment vertical="center"/>
    </xf>
    <xf numFmtId="0" fontId="15" fillId="0" borderId="1" xfId="1" applyFont="1" applyBorder="1" applyAlignment="1" applyProtection="1">
      <alignment vertical="center" wrapText="1"/>
    </xf>
    <xf numFmtId="0" fontId="25" fillId="3" borderId="32" xfId="0" applyFont="1" applyFill="1" applyBorder="1" applyProtection="1"/>
    <xf numFmtId="0" fontId="24" fillId="3" borderId="17" xfId="0" applyFont="1" applyFill="1" applyBorder="1" applyProtection="1"/>
    <xf numFmtId="0" fontId="20" fillId="0" borderId="1" xfId="1" applyFont="1" applyAlignment="1" applyProtection="1">
      <alignment horizontal="left" vertical="center"/>
    </xf>
    <xf numFmtId="0" fontId="26" fillId="0" borderId="2" xfId="1" applyFont="1" applyBorder="1" applyAlignment="1" applyProtection="1">
      <alignment horizontal="center" vertical="top" wrapText="1"/>
    </xf>
    <xf numFmtId="0" fontId="27" fillId="0" borderId="2" xfId="1" applyFont="1" applyBorder="1" applyAlignment="1" applyProtection="1">
      <alignment horizontal="center" vertical="top" wrapText="1"/>
    </xf>
    <xf numFmtId="0" fontId="20" fillId="0" borderId="2" xfId="34" applyFont="1" applyBorder="1" applyAlignment="1" applyProtection="1">
      <alignment horizontal="left" vertical="center" wrapText="1"/>
    </xf>
    <xf numFmtId="0" fontId="20" fillId="0" borderId="6" xfId="34" applyFont="1" applyBorder="1" applyAlignment="1" applyProtection="1">
      <alignment horizontal="center" vertical="center" wrapText="1"/>
    </xf>
    <xf numFmtId="3" fontId="39" fillId="7" borderId="3" xfId="0" applyNumberFormat="1" applyFont="1" applyFill="1" applyBorder="1" applyAlignment="1" applyProtection="1">
      <alignment horizontal="center" vertical="center"/>
    </xf>
    <xf numFmtId="0" fontId="20" fillId="0" borderId="2" xfId="1" applyFont="1" applyBorder="1" applyAlignment="1" applyProtection="1">
      <alignment horizontal="center" vertical="center" wrapText="1"/>
    </xf>
    <xf numFmtId="0" fontId="15" fillId="0" borderId="1" xfId="1" applyFont="1" applyAlignment="1" applyProtection="1">
      <alignment horizontal="center" vertical="center"/>
    </xf>
    <xf numFmtId="0" fontId="15" fillId="0" borderId="1" xfId="1" applyFont="1" applyAlignment="1" applyProtection="1">
      <alignment vertical="center"/>
    </xf>
    <xf numFmtId="165" fontId="11" fillId="0" borderId="2" xfId="1" applyNumberFormat="1" applyFont="1" applyBorder="1" applyAlignment="1" applyProtection="1">
      <alignment horizontal="center" vertical="center" wrapText="1"/>
    </xf>
    <xf numFmtId="14" fontId="20" fillId="0" borderId="1" xfId="1" applyNumberFormat="1" applyFont="1" applyAlignment="1" applyProtection="1">
      <alignment vertical="center"/>
    </xf>
    <xf numFmtId="0" fontId="11" fillId="0" borderId="1" xfId="1" applyFont="1" applyAlignment="1" applyProtection="1">
      <alignment horizontal="center" vertical="center"/>
    </xf>
    <xf numFmtId="0" fontId="9" fillId="0" borderId="1" xfId="1" applyFont="1" applyAlignment="1" applyProtection="1">
      <alignment horizontal="left" vertical="center"/>
    </xf>
    <xf numFmtId="0" fontId="15" fillId="0" borderId="1" xfId="1" applyFont="1" applyAlignment="1" applyProtection="1">
      <alignment vertical="center" wrapText="1"/>
    </xf>
    <xf numFmtId="0" fontId="20" fillId="0" borderId="2" xfId="34" applyFont="1" applyBorder="1" applyAlignment="1" applyProtection="1">
      <alignment horizontal="center" vertical="center" wrapText="1"/>
    </xf>
    <xf numFmtId="0" fontId="20" fillId="0" borderId="2" xfId="0" applyFont="1" applyBorder="1" applyAlignment="1" applyProtection="1">
      <alignment vertical="center" wrapText="1"/>
    </xf>
    <xf numFmtId="0" fontId="26" fillId="0" borderId="2" xfId="1" applyFont="1" applyBorder="1" applyAlignment="1" applyProtection="1">
      <alignment horizontal="center" vertical="center" wrapText="1"/>
    </xf>
    <xf numFmtId="0" fontId="27" fillId="0" borderId="2" xfId="1" applyFont="1" applyBorder="1" applyAlignment="1" applyProtection="1">
      <alignment horizontal="center" vertical="center" wrapText="1"/>
    </xf>
    <xf numFmtId="0" fontId="26" fillId="7" borderId="2" xfId="1" applyFont="1" applyFill="1" applyBorder="1" applyAlignment="1" applyProtection="1">
      <alignment horizontal="center" vertical="center" wrapText="1"/>
    </xf>
    <xf numFmtId="0" fontId="27" fillId="7" borderId="2" xfId="1" applyFont="1" applyFill="1" applyBorder="1" applyAlignment="1" applyProtection="1">
      <alignment horizontal="center" vertical="center" wrapText="1"/>
    </xf>
    <xf numFmtId="3" fontId="44" fillId="7" borderId="3" xfId="0" applyNumberFormat="1" applyFont="1" applyFill="1" applyBorder="1" applyAlignment="1" applyProtection="1">
      <alignment horizontal="center" vertical="center"/>
    </xf>
    <xf numFmtId="0" fontId="23" fillId="0" borderId="6" xfId="20" applyFont="1" applyBorder="1" applyAlignment="1" applyProtection="1">
      <alignment horizontal="center" vertical="center" wrapText="1"/>
    </xf>
    <xf numFmtId="0" fontId="46" fillId="0" borderId="0" xfId="0" applyFont="1" applyAlignment="1" applyProtection="1">
      <alignment horizontal="center" vertical="center" wrapText="1"/>
    </xf>
    <xf numFmtId="4" fontId="39" fillId="7" borderId="3" xfId="7" applyNumberFormat="1" applyFont="1" applyFill="1" applyBorder="1" applyAlignment="1" applyProtection="1">
      <alignment horizontal="center" vertical="center"/>
    </xf>
    <xf numFmtId="3" fontId="20" fillId="0" borderId="3" xfId="0" applyNumberFormat="1" applyFont="1" applyBorder="1" applyAlignment="1" applyProtection="1">
      <alignment horizontal="center" vertical="center" wrapText="1"/>
    </xf>
    <xf numFmtId="166" fontId="20" fillId="0" borderId="3" xfId="0" applyNumberFormat="1" applyFont="1" applyBorder="1" applyAlignment="1" applyProtection="1">
      <alignment horizontal="center" vertical="center" wrapText="1"/>
    </xf>
    <xf numFmtId="166" fontId="39" fillId="7" borderId="3" xfId="0" applyNumberFormat="1" applyFont="1" applyFill="1" applyBorder="1" applyAlignment="1" applyProtection="1">
      <alignment horizontal="center" vertical="center"/>
    </xf>
    <xf numFmtId="4" fontId="39" fillId="7" borderId="3" xfId="0" applyNumberFormat="1" applyFont="1" applyFill="1" applyBorder="1" applyAlignment="1" applyProtection="1">
      <alignment horizontal="center"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11" fillId="3" borderId="32" xfId="0" applyFont="1" applyFill="1" applyBorder="1" applyProtection="1"/>
    <xf numFmtId="0" fontId="20" fillId="3" borderId="17" xfId="0" applyFont="1" applyFill="1" applyBorder="1" applyProtection="1"/>
    <xf numFmtId="0" fontId="11" fillId="3" borderId="31" xfId="0" applyFont="1" applyFill="1" applyBorder="1" applyAlignment="1" applyProtection="1">
      <alignment horizontal="left"/>
    </xf>
    <xf numFmtId="0" fontId="11" fillId="3" borderId="18" xfId="0" applyFont="1" applyFill="1" applyBorder="1" applyAlignment="1" applyProtection="1">
      <alignment horizontal="left"/>
    </xf>
    <xf numFmtId="0" fontId="20" fillId="0" borderId="1" xfId="0" applyFont="1" applyBorder="1" applyAlignment="1" applyProtection="1">
      <alignment horizontal="center" vertical="center"/>
    </xf>
    <xf numFmtId="0" fontId="11" fillId="0" borderId="2" xfId="0" applyFont="1" applyBorder="1" applyAlignment="1" applyProtection="1">
      <alignment vertical="center"/>
    </xf>
    <xf numFmtId="0" fontId="11" fillId="0" borderId="2" xfId="1" applyFont="1" applyBorder="1" applyAlignment="1" applyProtection="1">
      <alignment horizontal="center" vertical="top" wrapText="1"/>
    </xf>
    <xf numFmtId="0" fontId="11" fillId="7" borderId="2" xfId="1" applyFont="1" applyFill="1" applyBorder="1" applyAlignment="1" applyProtection="1">
      <alignment horizontal="center" vertical="top" wrapText="1"/>
    </xf>
    <xf numFmtId="0" fontId="20" fillId="0" borderId="3" xfId="35" applyFont="1" applyBorder="1" applyAlignment="1" applyProtection="1">
      <alignment horizontal="center" vertical="center" wrapText="1"/>
    </xf>
    <xf numFmtId="0" fontId="8" fillId="0" borderId="37" xfId="34" applyBorder="1" applyAlignment="1" applyProtection="1">
      <alignment horizontal="left" vertical="center" wrapText="1"/>
    </xf>
    <xf numFmtId="0" fontId="20" fillId="0" borderId="37" xfId="34" applyFont="1" applyBorder="1" applyAlignment="1" applyProtection="1">
      <alignment horizontal="left" vertical="center" wrapText="1"/>
    </xf>
    <xf numFmtId="0" fontId="20" fillId="0" borderId="2" xfId="23" applyFont="1" applyBorder="1" applyAlignment="1" applyProtection="1">
      <alignment horizontal="left" vertical="center" wrapText="1"/>
    </xf>
    <xf numFmtId="0" fontId="8" fillId="0" borderId="2" xfId="34" applyBorder="1" applyAlignment="1" applyProtection="1">
      <alignment horizontal="justify" vertical="center" wrapText="1"/>
    </xf>
    <xf numFmtId="0" fontId="20" fillId="0" borderId="2" xfId="34" applyFont="1" applyBorder="1" applyAlignment="1" applyProtection="1">
      <alignment horizontal="justify" vertical="center" wrapText="1"/>
    </xf>
    <xf numFmtId="0" fontId="20" fillId="0" borderId="2" xfId="9" applyFont="1" applyBorder="1" applyAlignment="1" applyProtection="1">
      <alignment horizontal="center" vertical="center" wrapText="1"/>
    </xf>
    <xf numFmtId="0" fontId="23" fillId="0" borderId="2" xfId="34" applyFont="1" applyBorder="1" applyAlignment="1" applyProtection="1">
      <alignment horizontal="left" vertical="center" wrapText="1"/>
    </xf>
    <xf numFmtId="0" fontId="8" fillId="0" borderId="2" xfId="34" applyBorder="1" applyAlignment="1" applyProtection="1">
      <alignment horizontal="left" vertical="center" wrapText="1"/>
    </xf>
    <xf numFmtId="0" fontId="20" fillId="0" borderId="1" xfId="1" applyFont="1" applyAlignment="1" applyProtection="1">
      <alignment horizontal="center" vertical="center"/>
    </xf>
    <xf numFmtId="0" fontId="20" fillId="0" borderId="1" xfId="1" applyFont="1" applyAlignment="1" applyProtection="1">
      <alignment vertical="center" wrapText="1"/>
    </xf>
    <xf numFmtId="0" fontId="20" fillId="0" borderId="1" xfId="0" applyFont="1" applyBorder="1" applyAlignment="1" applyProtection="1">
      <alignment vertical="center" wrapText="1"/>
    </xf>
    <xf numFmtId="10" fontId="20" fillId="0" borderId="2" xfId="0" applyNumberFormat="1" applyFont="1" applyBorder="1" applyAlignment="1" applyProtection="1">
      <alignment horizontal="center" vertical="center" wrapText="1"/>
    </xf>
    <xf numFmtId="0" fontId="20" fillId="0" borderId="2" xfId="32" applyFont="1" applyBorder="1" applyAlignment="1" applyProtection="1">
      <alignment vertical="center" wrapText="1"/>
    </xf>
    <xf numFmtId="0" fontId="20" fillId="0" borderId="3" xfId="34" applyFont="1" applyBorder="1" applyAlignment="1" applyProtection="1">
      <alignment vertical="center" wrapText="1"/>
    </xf>
    <xf numFmtId="0" fontId="9" fillId="0" borderId="0" xfId="0" applyFont="1" applyAlignment="1" applyProtection="1">
      <alignment horizontal="center" vertical="center"/>
    </xf>
    <xf numFmtId="0" fontId="20" fillId="2" borderId="2" xfId="1" applyFont="1" applyFill="1" applyBorder="1" applyAlignment="1" applyProtection="1">
      <alignment vertical="center" wrapText="1"/>
    </xf>
    <xf numFmtId="0" fontId="20" fillId="2" borderId="3" xfId="1" applyFont="1" applyFill="1" applyBorder="1" applyAlignment="1" applyProtection="1">
      <alignment horizontal="center" vertical="center" wrapText="1"/>
    </xf>
    <xf numFmtId="0" fontId="20" fillId="0" borderId="3" xfId="34" applyFont="1" applyBorder="1" applyAlignment="1" applyProtection="1">
      <alignment horizontal="center" vertical="center" wrapText="1"/>
    </xf>
    <xf numFmtId="9" fontId="20" fillId="3" borderId="3" xfId="0" applyNumberFormat="1" applyFont="1" applyFill="1" applyBorder="1" applyAlignment="1" applyProtection="1">
      <alignment horizontal="center" vertical="center" wrapText="1"/>
    </xf>
    <xf numFmtId="0" fontId="15" fillId="0" borderId="0" xfId="0" applyFont="1" applyAlignment="1" applyProtection="1">
      <alignment horizontal="right" vertical="center"/>
    </xf>
    <xf numFmtId="0" fontId="15" fillId="0" borderId="1" xfId="1" applyFont="1" applyAlignment="1" applyProtection="1">
      <alignment horizontal="right" vertical="center"/>
    </xf>
    <xf numFmtId="0" fontId="15" fillId="0" borderId="1" xfId="1" applyFont="1" applyAlignment="1" applyProtection="1">
      <alignment horizontal="right" vertical="center" wrapText="1"/>
    </xf>
    <xf numFmtId="0" fontId="20" fillId="2" borderId="2" xfId="1" applyFont="1" applyFill="1" applyBorder="1" applyAlignment="1" applyProtection="1">
      <alignment horizontal="left" vertical="center" wrapText="1"/>
    </xf>
    <xf numFmtId="0" fontId="20" fillId="0" borderId="6" xfId="34" applyFont="1" applyBorder="1" applyAlignment="1" applyProtection="1">
      <alignment horizontal="left" vertical="center"/>
    </xf>
    <xf numFmtId="1" fontId="20" fillId="0" borderId="3" xfId="0" applyNumberFormat="1" applyFont="1" applyBorder="1" applyAlignment="1" applyProtection="1">
      <alignment horizontal="center" vertical="center" wrapText="1"/>
    </xf>
    <xf numFmtId="167" fontId="39" fillId="0" borderId="3" xfId="36" applyNumberFormat="1" applyFont="1" applyBorder="1" applyAlignment="1" applyProtection="1">
      <alignment horizontal="center" vertical="center" wrapText="1"/>
    </xf>
    <xf numFmtId="0" fontId="23" fillId="0" borderId="6" xfId="34" applyFont="1" applyBorder="1" applyAlignment="1" applyProtection="1">
      <alignment horizontal="center" vertical="center"/>
    </xf>
    <xf numFmtId="9" fontId="20" fillId="7" borderId="3" xfId="8" applyFont="1" applyFill="1" applyBorder="1" applyAlignment="1" applyProtection="1">
      <alignment horizontal="center" vertical="center"/>
    </xf>
    <xf numFmtId="3" fontId="20" fillId="7" borderId="3" xfId="7" applyNumberFormat="1" applyFont="1" applyFill="1" applyBorder="1" applyAlignment="1" applyProtection="1">
      <alignment horizontal="center" vertical="center"/>
    </xf>
    <xf numFmtId="3" fontId="20" fillId="7" borderId="3" xfId="0" applyNumberFormat="1" applyFont="1" applyFill="1" applyBorder="1" applyAlignment="1" applyProtection="1">
      <alignment horizontal="center" vertical="center"/>
    </xf>
    <xf numFmtId="0" fontId="20" fillId="0" borderId="2" xfId="0" applyFont="1" applyFill="1" applyBorder="1" applyAlignment="1" applyProtection="1">
      <alignment horizontal="justify" vertical="center" wrapText="1"/>
    </xf>
    <xf numFmtId="164" fontId="21" fillId="7" borderId="3" xfId="6" applyNumberFormat="1" applyFont="1" applyFill="1" applyBorder="1" applyAlignment="1" applyProtection="1">
      <alignment horizontal="center" vertical="center"/>
    </xf>
    <xf numFmtId="9" fontId="21" fillId="0" borderId="3" xfId="8" applyFont="1" applyFill="1" applyBorder="1" applyAlignment="1" applyProtection="1">
      <alignment horizontal="center" vertical="center"/>
    </xf>
    <xf numFmtId="9" fontId="39" fillId="7" borderId="2" xfId="6" applyFont="1" applyFill="1" applyBorder="1" applyAlignment="1" applyProtection="1">
      <alignment horizontal="center" vertical="center"/>
    </xf>
    <xf numFmtId="10" fontId="21" fillId="0" borderId="3" xfId="8" applyNumberFormat="1" applyFont="1" applyFill="1" applyBorder="1" applyAlignment="1" applyProtection="1">
      <alignment horizontal="center" vertical="center"/>
    </xf>
    <xf numFmtId="9" fontId="9" fillId="0" borderId="0" xfId="0" applyNumberFormat="1" applyFont="1" applyAlignment="1" applyProtection="1">
      <alignment vertical="center"/>
    </xf>
    <xf numFmtId="9" fontId="21" fillId="7" borderId="2" xfId="6"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9" fontId="21" fillId="0" borderId="3" xfId="6" applyFont="1" applyFill="1" applyBorder="1" applyAlignment="1" applyProtection="1">
      <alignment horizontal="center" vertical="center"/>
    </xf>
    <xf numFmtId="164" fontId="21" fillId="0" borderId="3" xfId="6" applyNumberFormat="1" applyFont="1" applyFill="1" applyBorder="1" applyAlignment="1" applyProtection="1">
      <alignment horizontal="center" vertical="center"/>
    </xf>
    <xf numFmtId="164" fontId="39" fillId="7" borderId="3" xfId="8" applyNumberFormat="1" applyFont="1" applyFill="1" applyBorder="1" applyAlignment="1" applyProtection="1">
      <alignment horizontal="center" vertical="center"/>
    </xf>
    <xf numFmtId="164" fontId="21" fillId="5" borderId="3" xfId="8" applyNumberFormat="1" applyFont="1" applyFill="1" applyBorder="1" applyAlignment="1" applyProtection="1">
      <alignment horizontal="center" vertical="center"/>
    </xf>
    <xf numFmtId="4" fontId="21" fillId="7" borderId="3" xfId="8" applyNumberFormat="1" applyFont="1" applyFill="1" applyBorder="1" applyAlignment="1" applyProtection="1">
      <alignment horizontal="center" vertical="center"/>
    </xf>
    <xf numFmtId="164" fontId="39" fillId="7" borderId="3" xfId="6" applyNumberFormat="1" applyFont="1" applyFill="1" applyBorder="1" applyAlignment="1" applyProtection="1">
      <alignment horizontal="center" vertical="center"/>
    </xf>
    <xf numFmtId="10" fontId="39" fillId="7" borderId="3" xfId="6" applyNumberFormat="1" applyFont="1" applyFill="1" applyBorder="1" applyAlignment="1" applyProtection="1">
      <alignment horizontal="center" vertical="center"/>
    </xf>
    <xf numFmtId="164" fontId="20" fillId="7" borderId="3" xfId="6" applyNumberFormat="1" applyFont="1" applyFill="1" applyBorder="1" applyAlignment="1" applyProtection="1">
      <alignment horizontal="center" vertical="center"/>
    </xf>
    <xf numFmtId="164" fontId="39" fillId="0" borderId="2" xfId="6" applyNumberFormat="1" applyFont="1" applyFill="1" applyBorder="1" applyAlignment="1" applyProtection="1">
      <alignment horizontal="center" vertical="center" wrapText="1"/>
    </xf>
    <xf numFmtId="164" fontId="39" fillId="0" borderId="2" xfId="6" applyNumberFormat="1" applyFont="1" applyBorder="1" applyAlignment="1" applyProtection="1">
      <alignment horizontal="center" vertical="center" wrapText="1"/>
    </xf>
    <xf numFmtId="10" fontId="21" fillId="7" borderId="3" xfId="6" applyNumberFormat="1" applyFont="1" applyFill="1" applyBorder="1" applyAlignment="1" applyProtection="1">
      <alignment horizontal="center" vertical="center"/>
    </xf>
    <xf numFmtId="164" fontId="44" fillId="7" borderId="3" xfId="6" applyNumberFormat="1" applyFont="1" applyFill="1" applyBorder="1" applyAlignment="1" applyProtection="1">
      <alignment horizontal="center" vertical="center"/>
    </xf>
    <xf numFmtId="0" fontId="11" fillId="7" borderId="2" xfId="1" applyFont="1" applyFill="1" applyBorder="1" applyAlignment="1" applyProtection="1">
      <alignment horizontal="center" vertical="center" wrapText="1"/>
    </xf>
    <xf numFmtId="0" fontId="29" fillId="15" borderId="2" xfId="23" applyFont="1" applyFill="1" applyBorder="1" applyAlignment="1">
      <alignment horizontal="center" vertical="center"/>
    </xf>
    <xf numFmtId="0" fontId="14" fillId="12" borderId="7" xfId="1" applyFont="1" applyFill="1" applyBorder="1" applyAlignment="1" applyProtection="1">
      <alignment vertical="center"/>
    </xf>
    <xf numFmtId="0" fontId="14" fillId="12" borderId="11" xfId="1" applyFont="1" applyFill="1" applyBorder="1" applyAlignment="1" applyProtection="1">
      <alignment vertical="center"/>
    </xf>
    <xf numFmtId="0" fontId="14" fillId="12" borderId="6" xfId="1" applyFont="1" applyFill="1" applyBorder="1" applyAlignment="1" applyProtection="1">
      <alignment vertical="center"/>
    </xf>
    <xf numFmtId="0" fontId="54" fillId="0" borderId="0" xfId="0" applyFont="1" applyFill="1" applyAlignment="1" applyProtection="1">
      <alignment horizontal="center" vertical="center"/>
    </xf>
    <xf numFmtId="0" fontId="8" fillId="0" borderId="1" xfId="23" applyAlignment="1">
      <alignment horizontal="center" vertical="center"/>
    </xf>
    <xf numFmtId="0" fontId="30" fillId="0" borderId="1" xfId="23" applyFont="1" applyAlignment="1">
      <alignment horizontal="center" vertical="center"/>
    </xf>
    <xf numFmtId="0" fontId="8" fillId="0" borderId="1" xfId="23"/>
    <xf numFmtId="164" fontId="39" fillId="5" borderId="3" xfId="8" applyNumberFormat="1" applyFont="1" applyFill="1" applyBorder="1" applyAlignment="1" applyProtection="1">
      <alignment horizontal="center" vertical="center"/>
    </xf>
    <xf numFmtId="9" fontId="39" fillId="5" borderId="3" xfId="8" applyFont="1" applyFill="1" applyBorder="1" applyAlignment="1" applyProtection="1">
      <alignment horizontal="center" vertical="center"/>
    </xf>
    <xf numFmtId="164" fontId="39" fillId="5" borderId="3" xfId="6" applyNumberFormat="1" applyFont="1" applyFill="1" applyBorder="1" applyAlignment="1" applyProtection="1">
      <alignment horizontal="center" vertical="center"/>
    </xf>
    <xf numFmtId="9" fontId="56" fillId="5" borderId="3" xfId="6" applyNumberFormat="1" applyFont="1" applyFill="1" applyBorder="1" applyAlignment="1" applyProtection="1">
      <alignment horizontal="center" vertical="center"/>
    </xf>
    <xf numFmtId="9" fontId="39" fillId="5" borderId="3" xfId="6" applyNumberFormat="1" applyFont="1" applyFill="1" applyBorder="1" applyAlignment="1" applyProtection="1">
      <alignment horizontal="center" vertical="center"/>
    </xf>
    <xf numFmtId="164" fontId="21" fillId="0" borderId="3" xfId="8" applyNumberFormat="1" applyFont="1" applyFill="1" applyBorder="1" applyAlignment="1" applyProtection="1">
      <alignment horizontal="center" vertical="center"/>
    </xf>
    <xf numFmtId="9" fontId="21" fillId="0" borderId="3" xfId="8" applyNumberFormat="1" applyFont="1" applyFill="1" applyBorder="1" applyAlignment="1" applyProtection="1">
      <alignment horizontal="center" vertical="center"/>
    </xf>
    <xf numFmtId="164" fontId="42" fillId="5" borderId="3" xfId="8" applyNumberFormat="1" applyFont="1" applyFill="1" applyBorder="1" applyAlignment="1" applyProtection="1">
      <alignment horizontal="center" vertical="center"/>
    </xf>
    <xf numFmtId="164" fontId="56" fillId="5" borderId="3" xfId="8" applyNumberFormat="1" applyFont="1" applyFill="1" applyBorder="1" applyAlignment="1" applyProtection="1">
      <alignment horizontal="center" vertical="center"/>
    </xf>
    <xf numFmtId="10" fontId="42" fillId="5" borderId="3" xfId="8" applyNumberFormat="1" applyFont="1" applyFill="1" applyBorder="1" applyAlignment="1" applyProtection="1">
      <alignment horizontal="center" vertical="center"/>
    </xf>
    <xf numFmtId="10" fontId="56" fillId="5" borderId="3" xfId="8" applyNumberFormat="1" applyFont="1" applyFill="1" applyBorder="1" applyAlignment="1" applyProtection="1">
      <alignment horizontal="center" vertical="center"/>
    </xf>
    <xf numFmtId="3" fontId="20" fillId="0" borderId="2" xfId="20" applyNumberFormat="1" applyFont="1" applyBorder="1" applyAlignment="1" applyProtection="1">
      <alignment horizontal="center" vertical="center" wrapText="1"/>
    </xf>
    <xf numFmtId="164" fontId="20" fillId="0" borderId="2" xfId="6" applyNumberFormat="1" applyFont="1" applyBorder="1" applyAlignment="1" applyProtection="1">
      <alignment horizontal="center" vertical="center" wrapText="1"/>
    </xf>
    <xf numFmtId="3" fontId="20" fillId="0" borderId="31" xfId="20" applyNumberFormat="1" applyFont="1" applyBorder="1" applyAlignment="1" applyProtection="1">
      <alignment horizontal="center" vertical="center" wrapText="1"/>
    </xf>
    <xf numFmtId="164" fontId="20" fillId="0" borderId="31" xfId="6" applyNumberFormat="1" applyFont="1" applyBorder="1" applyAlignment="1" applyProtection="1">
      <alignment horizontal="center" vertical="center" wrapText="1"/>
    </xf>
    <xf numFmtId="3" fontId="20" fillId="18" borderId="2" xfId="20" applyNumberFormat="1" applyFont="1" applyFill="1" applyBorder="1" applyAlignment="1" applyProtection="1">
      <alignment horizontal="center" vertical="center" wrapText="1"/>
    </xf>
    <xf numFmtId="164" fontId="9" fillId="0" borderId="0" xfId="6" applyNumberFormat="1" applyFont="1" applyAlignment="1" applyProtection="1">
      <alignment vertical="center"/>
    </xf>
    <xf numFmtId="164" fontId="32" fillId="0" borderId="0" xfId="6" applyNumberFormat="1" applyFont="1" applyAlignment="1" applyProtection="1">
      <alignment horizontal="center" vertical="center"/>
    </xf>
    <xf numFmtId="0" fontId="61" fillId="0" borderId="0" xfId="0" applyFont="1" applyAlignment="1" applyProtection="1">
      <alignment horizontal="center" vertical="center"/>
    </xf>
    <xf numFmtId="164" fontId="61" fillId="0" borderId="0" xfId="0" applyNumberFormat="1" applyFont="1" applyAlignment="1" applyProtection="1">
      <alignment horizontal="center" vertical="center"/>
    </xf>
    <xf numFmtId="164" fontId="20" fillId="0" borderId="31" xfId="20"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20" fillId="18" borderId="31" xfId="20" applyFont="1" applyFill="1" applyBorder="1" applyAlignment="1" applyProtection="1">
      <alignment horizontal="center" vertical="center" wrapText="1"/>
    </xf>
    <xf numFmtId="0" fontId="20" fillId="0" borderId="31" xfId="34" applyFont="1" applyBorder="1" applyAlignment="1" applyProtection="1">
      <alignment horizontal="center" vertical="center" wrapText="1"/>
    </xf>
    <xf numFmtId="0" fontId="20" fillId="18" borderId="31" xfId="0" applyFont="1" applyFill="1" applyBorder="1" applyAlignment="1" applyProtection="1">
      <alignment horizontal="center" vertical="center" wrapText="1"/>
    </xf>
    <xf numFmtId="164" fontId="20" fillId="18" borderId="31" xfId="6" applyNumberFormat="1" applyFont="1" applyFill="1" applyBorder="1" applyAlignment="1" applyProtection="1">
      <alignment horizontal="center" vertical="center" wrapText="1"/>
    </xf>
    <xf numFmtId="164" fontId="20" fillId="18" borderId="31" xfId="20" applyNumberFormat="1" applyFont="1" applyFill="1" applyBorder="1" applyAlignment="1" applyProtection="1">
      <alignment horizontal="center" vertical="center" wrapText="1"/>
    </xf>
    <xf numFmtId="166" fontId="20" fillId="0" borderId="2" xfId="20" applyNumberFormat="1" applyFont="1" applyBorder="1" applyAlignment="1" applyProtection="1">
      <alignment horizontal="center" vertical="center" wrapText="1"/>
    </xf>
    <xf numFmtId="4" fontId="20" fillId="0" borderId="2" xfId="20" applyNumberFormat="1" applyFont="1" applyBorder="1" applyAlignment="1" applyProtection="1">
      <alignment horizontal="center" vertical="center" wrapText="1"/>
    </xf>
    <xf numFmtId="166" fontId="20" fillId="0" borderId="31" xfId="20" applyNumberFormat="1" applyFont="1" applyBorder="1" applyAlignment="1" applyProtection="1">
      <alignment horizontal="center" vertical="center" wrapText="1"/>
    </xf>
    <xf numFmtId="4" fontId="20" fillId="0" borderId="31" xfId="20" applyNumberFormat="1" applyFont="1" applyBorder="1" applyAlignment="1" applyProtection="1">
      <alignment horizontal="center" vertical="center" wrapText="1"/>
    </xf>
    <xf numFmtId="164" fontId="20" fillId="18" borderId="2" xfId="6" applyNumberFormat="1" applyFont="1" applyFill="1" applyBorder="1" applyAlignment="1" applyProtection="1">
      <alignment horizontal="center" vertical="center" wrapText="1"/>
    </xf>
    <xf numFmtId="164" fontId="20" fillId="18" borderId="6" xfId="6" applyNumberFormat="1" applyFont="1" applyFill="1" applyBorder="1" applyAlignment="1" applyProtection="1">
      <alignment horizontal="center" vertical="center" wrapText="1"/>
    </xf>
    <xf numFmtId="164" fontId="55" fillId="5" borderId="3" xfId="8" applyNumberFormat="1" applyFont="1" applyFill="1" applyBorder="1" applyAlignment="1" applyProtection="1">
      <alignment horizontal="center" vertical="center"/>
    </xf>
    <xf numFmtId="164" fontId="53" fillId="5" borderId="3" xfId="8" applyNumberFormat="1" applyFont="1" applyFill="1" applyBorder="1" applyAlignment="1" applyProtection="1">
      <alignment horizontal="center" vertical="center"/>
    </xf>
    <xf numFmtId="9" fontId="20" fillId="0" borderId="2" xfId="20" applyNumberFormat="1" applyFont="1" applyBorder="1" applyAlignment="1" applyProtection="1">
      <alignment horizontal="center" vertical="center" wrapText="1"/>
    </xf>
    <xf numFmtId="9" fontId="20" fillId="0" borderId="31" xfId="6" applyFont="1" applyBorder="1" applyAlignment="1" applyProtection="1">
      <alignment horizontal="center" vertical="center" wrapText="1"/>
    </xf>
    <xf numFmtId="10" fontId="39" fillId="5" borderId="3" xfId="8" applyNumberFormat="1" applyFont="1" applyFill="1" applyBorder="1" applyAlignment="1" applyProtection="1">
      <alignment horizontal="center" vertical="center"/>
    </xf>
    <xf numFmtId="9" fontId="39" fillId="5" borderId="3" xfId="8" applyNumberFormat="1" applyFont="1" applyFill="1" applyBorder="1" applyAlignment="1" applyProtection="1">
      <alignment horizontal="center" vertical="center"/>
    </xf>
    <xf numFmtId="164" fontId="20" fillId="18" borderId="2" xfId="34" applyNumberFormat="1" applyFont="1" applyFill="1" applyBorder="1" applyAlignment="1" applyProtection="1">
      <alignment horizontal="center" vertical="center" wrapText="1"/>
    </xf>
    <xf numFmtId="164" fontId="20" fillId="18" borderId="3" xfId="6" applyNumberFormat="1" applyFont="1" applyFill="1" applyBorder="1" applyAlignment="1" applyProtection="1">
      <alignment horizontal="center" vertical="center" wrapText="1"/>
    </xf>
    <xf numFmtId="10" fontId="20" fillId="18" borderId="3" xfId="6" applyNumberFormat="1" applyFont="1" applyFill="1" applyBorder="1" applyAlignment="1" applyProtection="1">
      <alignment horizontal="center" vertical="center" wrapText="1"/>
    </xf>
    <xf numFmtId="10" fontId="32" fillId="0" borderId="0" xfId="6" applyNumberFormat="1" applyFont="1" applyAlignment="1" applyProtection="1">
      <alignment horizontal="center" vertical="center"/>
    </xf>
    <xf numFmtId="164" fontId="20" fillId="3" borderId="31" xfId="6" applyNumberFormat="1" applyFont="1" applyFill="1" applyBorder="1" applyAlignment="1" applyProtection="1">
      <alignment horizontal="center" vertical="center" wrapText="1"/>
    </xf>
    <xf numFmtId="164" fontId="20" fillId="3" borderId="6" xfId="6" applyNumberFormat="1" applyFont="1" applyFill="1" applyBorder="1" applyAlignment="1" applyProtection="1">
      <alignment horizontal="center" vertical="center" wrapText="1"/>
    </xf>
    <xf numFmtId="10" fontId="20" fillId="3" borderId="3" xfId="6" applyNumberFormat="1" applyFont="1" applyFill="1" applyBorder="1" applyAlignment="1" applyProtection="1">
      <alignment horizontal="center" vertical="center" wrapText="1"/>
    </xf>
    <xf numFmtId="164" fontId="20" fillId="3" borderId="3" xfId="6" applyNumberFormat="1" applyFont="1" applyFill="1" applyBorder="1" applyAlignment="1" applyProtection="1">
      <alignment horizontal="center" vertical="center" wrapText="1"/>
    </xf>
    <xf numFmtId="9" fontId="20" fillId="0" borderId="2" xfId="34" applyNumberFormat="1" applyFont="1" applyBorder="1" applyAlignment="1" applyProtection="1">
      <alignment horizontal="center" vertical="center" wrapText="1"/>
    </xf>
    <xf numFmtId="4" fontId="45" fillId="18" borderId="2" xfId="0" applyNumberFormat="1" applyFont="1" applyFill="1" applyBorder="1" applyAlignment="1" applyProtection="1">
      <alignment horizontal="center" vertical="center" wrapText="1"/>
    </xf>
    <xf numFmtId="3" fontId="45" fillId="18" borderId="2" xfId="0" applyNumberFormat="1" applyFont="1" applyFill="1" applyBorder="1" applyAlignment="1" applyProtection="1">
      <alignment horizontal="center" vertical="center" wrapText="1"/>
    </xf>
    <xf numFmtId="166" fontId="45" fillId="18" borderId="2" xfId="0" applyNumberFormat="1" applyFont="1" applyFill="1" applyBorder="1" applyAlignment="1" applyProtection="1">
      <alignment horizontal="center" vertical="center" wrapText="1"/>
    </xf>
    <xf numFmtId="3" fontId="20" fillId="18" borderId="2" xfId="34" applyNumberFormat="1" applyFont="1" applyFill="1" applyBorder="1" applyAlignment="1" applyProtection="1">
      <alignment horizontal="center" vertical="center" wrapText="1"/>
    </xf>
    <xf numFmtId="164" fontId="21" fillId="18" borderId="31" xfId="34" applyNumberFormat="1" applyFont="1" applyFill="1" applyBorder="1" applyAlignment="1" applyProtection="1">
      <alignment horizontal="center" vertical="center" wrapText="1"/>
    </xf>
    <xf numFmtId="3" fontId="20" fillId="0" borderId="2" xfId="34" applyNumberFormat="1" applyFont="1" applyBorder="1" applyAlignment="1" applyProtection="1">
      <alignment horizontal="center" vertical="center" wrapText="1"/>
    </xf>
    <xf numFmtId="10" fontId="20" fillId="0" borderId="31" xfId="6" applyNumberFormat="1" applyFont="1" applyBorder="1" applyAlignment="1" applyProtection="1">
      <alignment horizontal="center" vertical="center" wrapText="1"/>
    </xf>
    <xf numFmtId="10" fontId="21" fillId="0" borderId="31" xfId="34" applyNumberFormat="1" applyFont="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9" fontId="20" fillId="3" borderId="2" xfId="20" applyNumberFormat="1" applyFont="1" applyFill="1" applyBorder="1" applyAlignment="1" applyProtection="1">
      <alignment horizontal="center" vertical="center" wrapText="1"/>
    </xf>
    <xf numFmtId="164" fontId="20" fillId="3" borderId="2" xfId="20" applyNumberFormat="1" applyFont="1" applyFill="1" applyBorder="1" applyAlignment="1" applyProtection="1">
      <alignment horizontal="center" vertical="center" wrapText="1"/>
    </xf>
    <xf numFmtId="164" fontId="20" fillId="3" borderId="31" xfId="20" applyNumberFormat="1" applyFont="1" applyFill="1" applyBorder="1" applyAlignment="1" applyProtection="1">
      <alignment horizontal="center" vertical="center" wrapText="1"/>
    </xf>
    <xf numFmtId="1" fontId="39" fillId="3" borderId="3" xfId="5" applyNumberFormat="1" applyFont="1" applyFill="1" applyBorder="1" applyAlignment="1" applyProtection="1">
      <alignment horizontal="center" vertical="center" wrapText="1"/>
    </xf>
    <xf numFmtId="4" fontId="20" fillId="3" borderId="31" xfId="20" applyNumberFormat="1" applyFont="1" applyFill="1" applyBorder="1" applyAlignment="1" applyProtection="1">
      <alignment horizontal="center" vertical="center" wrapText="1"/>
    </xf>
    <xf numFmtId="0" fontId="62" fillId="0" borderId="53" xfId="0" applyFont="1" applyBorder="1" applyAlignment="1" applyProtection="1">
      <alignment horizontal="left" vertical="center"/>
    </xf>
    <xf numFmtId="0" fontId="62" fillId="0" borderId="52" xfId="0" applyFont="1" applyBorder="1" applyAlignment="1" applyProtection="1">
      <alignment horizontal="center" vertical="center"/>
    </xf>
    <xf numFmtId="0" fontId="62" fillId="0" borderId="51" xfId="0" applyFont="1" applyBorder="1" applyAlignment="1" applyProtection="1">
      <alignment horizontal="right" vertical="center"/>
    </xf>
    <xf numFmtId="0" fontId="62" fillId="0" borderId="1" xfId="0" applyFont="1" applyBorder="1" applyAlignment="1" applyProtection="1">
      <alignment vertical="center"/>
    </xf>
    <xf numFmtId="0" fontId="35" fillId="0" borderId="3" xfId="0" applyFont="1" applyBorder="1" applyAlignment="1">
      <alignment vertical="center"/>
    </xf>
    <xf numFmtId="0" fontId="35" fillId="0" borderId="3" xfId="0" applyFont="1" applyBorder="1" applyAlignment="1">
      <alignment vertical="center" wrapText="1"/>
    </xf>
    <xf numFmtId="0" fontId="35" fillId="0" borderId="5" xfId="0" applyFont="1" applyBorder="1" applyAlignment="1">
      <alignment horizontal="center" vertical="center"/>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0" fillId="0" borderId="2" xfId="0" applyBorder="1" applyAlignment="1">
      <alignment horizontal="center" vertical="center"/>
    </xf>
    <xf numFmtId="0" fontId="8" fillId="7" borderId="2" xfId="0" applyFont="1" applyFill="1" applyBorder="1" applyAlignment="1">
      <alignment horizontal="justify" vertical="center"/>
    </xf>
    <xf numFmtId="0" fontId="0" fillId="0" borderId="2" xfId="0" applyBorder="1" applyAlignment="1">
      <alignment horizontal="justify" vertical="center" wrapText="1"/>
    </xf>
    <xf numFmtId="9" fontId="40"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1" fontId="40" fillId="24" borderId="2" xfId="0" applyNumberFormat="1" applyFont="1" applyFill="1" applyBorder="1" applyAlignment="1" applyProtection="1">
      <alignment horizontal="center" vertical="center"/>
      <protection hidden="1"/>
    </xf>
    <xf numFmtId="1" fontId="40" fillId="0" borderId="2" xfId="0" applyNumberFormat="1" applyFont="1" applyBorder="1" applyAlignment="1">
      <alignment horizontal="center" vertical="center"/>
    </xf>
    <xf numFmtId="0" fontId="8" fillId="25" borderId="2" xfId="0" applyFont="1" applyFill="1" applyBorder="1" applyAlignment="1">
      <alignment horizontal="justify" vertical="center"/>
    </xf>
    <xf numFmtId="0" fontId="8" fillId="0" borderId="2" xfId="0" applyFont="1" applyBorder="1" applyAlignment="1">
      <alignment horizontal="center" vertical="center"/>
    </xf>
    <xf numFmtId="0" fontId="0" fillId="26" borderId="2" xfId="0" applyFill="1" applyBorder="1" applyAlignment="1">
      <alignment horizontal="justify" vertical="center"/>
    </xf>
    <xf numFmtId="0" fontId="0" fillId="7" borderId="2" xfId="0" applyFill="1" applyBorder="1" applyAlignment="1">
      <alignment horizontal="justify" vertical="center"/>
    </xf>
    <xf numFmtId="0" fontId="0" fillId="25"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8"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8" fillId="0" borderId="2" xfId="0" applyFont="1" applyBorder="1" applyAlignment="1">
      <alignment horizontal="center" vertical="center" wrapText="1"/>
    </xf>
    <xf numFmtId="9" fontId="0" fillId="0" borderId="2" xfId="6" applyFont="1" applyBorder="1" applyAlignment="1">
      <alignment horizontal="center" vertical="center"/>
    </xf>
    <xf numFmtId="0" fontId="66" fillId="0" borderId="2" xfId="0" applyFont="1" applyBorder="1" applyAlignment="1">
      <alignment horizontal="justify" vertical="center"/>
    </xf>
    <xf numFmtId="3" fontId="8" fillId="0" borderId="2" xfId="0" applyNumberFormat="1" applyFont="1" applyBorder="1" applyAlignment="1" applyProtection="1">
      <alignment horizontal="center" vertical="center" wrapText="1"/>
    </xf>
    <xf numFmtId="1" fontId="0" fillId="0" borderId="2" xfId="0" applyNumberFormat="1" applyBorder="1" applyAlignment="1">
      <alignment horizontal="center" vertical="center"/>
    </xf>
    <xf numFmtId="0" fontId="66" fillId="0" borderId="2" xfId="0" applyFont="1" applyBorder="1" applyAlignment="1">
      <alignment horizontal="justify" vertical="center" wrapText="1"/>
    </xf>
    <xf numFmtId="0" fontId="0" fillId="3" borderId="2" xfId="0" applyFill="1" applyBorder="1" applyAlignment="1">
      <alignment horizontal="justify" vertical="center"/>
    </xf>
    <xf numFmtId="0" fontId="66" fillId="0" borderId="0" xfId="0" applyFont="1" applyAlignment="1">
      <alignment horizontal="justify" vertical="center"/>
    </xf>
    <xf numFmtId="0" fontId="8" fillId="0" borderId="1" xfId="9"/>
    <xf numFmtId="0" fontId="20" fillId="0" borderId="2" xfId="34" applyFont="1" applyBorder="1" applyAlignment="1" applyProtection="1">
      <alignment horizontal="left" vertical="center" wrapText="1"/>
    </xf>
    <xf numFmtId="0" fontId="23" fillId="0" borderId="6" xfId="34" applyFont="1" applyBorder="1" applyAlignment="1" applyProtection="1">
      <alignment horizontal="left" vertical="center" wrapText="1"/>
    </xf>
    <xf numFmtId="0" fontId="50" fillId="0" borderId="1" xfId="52" applyFont="1" applyAlignment="1" applyProtection="1">
      <alignment horizontal="center" vertical="center" wrapText="1"/>
      <protection hidden="1"/>
    </xf>
    <xf numFmtId="0" fontId="50" fillId="0" borderId="1" xfId="52" applyFont="1" applyFill="1" applyAlignment="1" applyProtection="1">
      <alignment horizontal="center" vertical="center" wrapText="1"/>
      <protection hidden="1"/>
    </xf>
    <xf numFmtId="0" fontId="67" fillId="0" borderId="1" xfId="52" applyFont="1" applyProtection="1">
      <protection hidden="1"/>
    </xf>
    <xf numFmtId="49" fontId="67" fillId="0" borderId="1" xfId="52" applyNumberFormat="1" applyFont="1" applyProtection="1">
      <protection hidden="1"/>
    </xf>
    <xf numFmtId="0" fontId="67" fillId="0" borderId="1" xfId="52" applyFont="1" applyAlignment="1" applyProtection="1">
      <alignment horizontal="center" vertical="center"/>
      <protection hidden="1"/>
    </xf>
    <xf numFmtId="0" fontId="67" fillId="0" borderId="1" xfId="52" applyFont="1" applyFill="1" applyAlignment="1" applyProtection="1">
      <alignment horizontal="left" vertical="center"/>
      <protection hidden="1"/>
    </xf>
    <xf numFmtId="0" fontId="4" fillId="0" borderId="1" xfId="52" applyProtection="1">
      <protection hidden="1"/>
    </xf>
    <xf numFmtId="0" fontId="68" fillId="0" borderId="1" xfId="9" applyFont="1" applyProtection="1">
      <protection hidden="1"/>
    </xf>
    <xf numFmtId="0" fontId="50" fillId="0" borderId="1" xfId="52" applyFont="1" applyProtection="1">
      <protection hidden="1"/>
    </xf>
    <xf numFmtId="0" fontId="67" fillId="0" borderId="1" xfId="52" applyFont="1" applyFill="1" applyBorder="1" applyProtection="1">
      <protection hidden="1"/>
    </xf>
    <xf numFmtId="0" fontId="67" fillId="0" borderId="1" xfId="52" applyFont="1" applyFill="1" applyBorder="1" applyAlignment="1" applyProtection="1">
      <alignment horizontal="center" vertical="center"/>
      <protection hidden="1"/>
    </xf>
    <xf numFmtId="0" fontId="24" fillId="0" borderId="0" xfId="0" applyFont="1" applyProtection="1">
      <protection hidden="1"/>
    </xf>
    <xf numFmtId="0" fontId="24" fillId="0" borderId="1" xfId="0" applyFont="1" applyBorder="1" applyAlignment="1" applyProtection="1">
      <alignment horizontal="center" vertical="center"/>
      <protection hidden="1"/>
    </xf>
    <xf numFmtId="0" fontId="24" fillId="0" borderId="1" xfId="0" applyFont="1" applyBorder="1" applyProtection="1">
      <protection hidden="1"/>
    </xf>
    <xf numFmtId="0" fontId="24" fillId="0" borderId="0" xfId="0" applyFont="1" applyAlignment="1" applyProtection="1">
      <alignment horizontal="justify" vertical="center"/>
      <protection hidden="1"/>
    </xf>
    <xf numFmtId="0" fontId="11" fillId="0" borderId="1" xfId="0" applyFont="1" applyBorder="1" applyAlignment="1" applyProtection="1">
      <alignment horizontal="justify" vertical="center"/>
      <protection hidden="1"/>
    </xf>
    <xf numFmtId="0" fontId="43" fillId="0" borderId="1" xfId="0" applyFont="1" applyBorder="1" applyAlignment="1" applyProtection="1">
      <alignment horizontal="justify" vertical="center"/>
      <protection hidden="1"/>
    </xf>
    <xf numFmtId="0" fontId="24" fillId="0" borderId="0" xfId="0" applyFont="1" applyAlignment="1" applyProtection="1">
      <alignment horizontal="center" vertical="center"/>
      <protection hidden="1"/>
    </xf>
    <xf numFmtId="0" fontId="24" fillId="0" borderId="58" xfId="0" applyFont="1" applyBorder="1" applyProtection="1">
      <protection hidden="1"/>
    </xf>
    <xf numFmtId="0" fontId="24" fillId="0" borderId="5" xfId="0" applyFont="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164" fontId="24" fillId="0" borderId="1" xfId="0" applyNumberFormat="1" applyFont="1" applyBorder="1" applyAlignment="1" applyProtection="1">
      <alignment horizontal="center" vertical="center" wrapText="1"/>
      <protection hidden="1"/>
    </xf>
    <xf numFmtId="0" fontId="24" fillId="0" borderId="40" xfId="0" applyFont="1" applyBorder="1" applyProtection="1">
      <protection hidden="1"/>
    </xf>
    <xf numFmtId="0" fontId="24" fillId="0" borderId="59" xfId="0" applyFont="1" applyBorder="1" applyProtection="1">
      <protection hidden="1"/>
    </xf>
    <xf numFmtId="164" fontId="25" fillId="0" borderId="1" xfId="0" applyNumberFormat="1" applyFont="1" applyBorder="1" applyAlignment="1" applyProtection="1">
      <alignment horizontal="center" vertical="center" wrapText="1"/>
      <protection hidden="1"/>
    </xf>
    <xf numFmtId="0" fontId="20" fillId="0" borderId="0" xfId="0" applyFont="1" applyProtection="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justify" vertical="center"/>
      <protection hidden="1"/>
    </xf>
    <xf numFmtId="0" fontId="11" fillId="28" borderId="0" xfId="0" applyFont="1" applyFill="1" applyProtection="1">
      <protection hidden="1"/>
    </xf>
    <xf numFmtId="3" fontId="24" fillId="0" borderId="2" xfId="0" applyNumberFormat="1" applyFont="1" applyBorder="1" applyAlignment="1" applyProtection="1">
      <alignment horizontal="center" vertical="center"/>
      <protection hidden="1"/>
    </xf>
    <xf numFmtId="0" fontId="24" fillId="0" borderId="2" xfId="0" applyFont="1" applyBorder="1" applyAlignment="1" applyProtection="1">
      <alignment horizontal="justify" vertical="center" wrapText="1"/>
      <protection hidden="1"/>
    </xf>
    <xf numFmtId="0" fontId="24" fillId="0" borderId="2" xfId="0" applyFont="1" applyBorder="1" applyAlignment="1" applyProtection="1">
      <alignment horizontal="center" vertical="center" wrapText="1"/>
      <protection hidden="1"/>
    </xf>
    <xf numFmtId="166" fontId="24" fillId="0" borderId="2" xfId="0" applyNumberFormat="1" applyFont="1" applyBorder="1" applyAlignment="1" applyProtection="1">
      <alignment horizontal="center" vertical="center"/>
      <protection hidden="1"/>
    </xf>
    <xf numFmtId="164" fontId="24" fillId="0" borderId="2" xfId="8" applyNumberFormat="1" applyFont="1" applyFill="1" applyBorder="1" applyAlignment="1" applyProtection="1">
      <alignment horizontal="center" vertical="center" wrapText="1"/>
      <protection hidden="1"/>
    </xf>
    <xf numFmtId="164" fontId="24" fillId="0" borderId="2" xfId="8" applyNumberFormat="1" applyFont="1" applyFill="1" applyBorder="1" applyAlignment="1" applyProtection="1">
      <alignment horizontal="center" vertical="center"/>
      <protection hidden="1"/>
    </xf>
    <xf numFmtId="164" fontId="25" fillId="0" borderId="2" xfId="0" applyNumberFormat="1" applyFont="1" applyBorder="1" applyAlignment="1" applyProtection="1">
      <alignment horizontal="center" vertical="center" wrapText="1"/>
      <protection hidden="1"/>
    </xf>
    <xf numFmtId="0" fontId="25" fillId="28" borderId="0" xfId="0" applyFont="1" applyFill="1" applyProtection="1">
      <protection hidden="1"/>
    </xf>
    <xf numFmtId="9" fontId="24" fillId="0" borderId="2" xfId="0" applyNumberFormat="1" applyFont="1" applyBorder="1" applyAlignment="1" applyProtection="1">
      <alignment horizontal="center" vertical="center" wrapText="1"/>
      <protection hidden="1"/>
    </xf>
    <xf numFmtId="9" fontId="40" fillId="0" borderId="2" xfId="0" applyNumberFormat="1" applyFont="1" applyBorder="1" applyAlignment="1" applyProtection="1">
      <alignment horizontal="center" vertical="center" wrapText="1"/>
      <protection hidden="1"/>
    </xf>
    <xf numFmtId="0" fontId="11" fillId="0" borderId="0" xfId="0" applyFont="1" applyProtection="1">
      <protection hidden="1"/>
    </xf>
    <xf numFmtId="164" fontId="24" fillId="3" borderId="2" xfId="0" applyNumberFormat="1" applyFont="1" applyFill="1" applyBorder="1" applyAlignment="1" applyProtection="1">
      <alignment horizontal="center" vertical="center" wrapText="1"/>
      <protection hidden="1"/>
    </xf>
    <xf numFmtId="164" fontId="24" fillId="0" borderId="0" xfId="0" applyNumberFormat="1" applyFont="1" applyProtection="1">
      <protection hidden="1"/>
    </xf>
    <xf numFmtId="9" fontId="25" fillId="0" borderId="1" xfId="0" applyNumberFormat="1" applyFont="1" applyBorder="1" applyAlignment="1" applyProtection="1">
      <alignment horizontal="center" vertical="center" wrapText="1"/>
      <protection hidden="1"/>
    </xf>
    <xf numFmtId="9" fontId="24" fillId="0" borderId="6" xfId="0" applyNumberFormat="1" applyFont="1" applyBorder="1" applyAlignment="1" applyProtection="1">
      <alignment horizontal="center" vertical="center" wrapText="1"/>
      <protection hidden="1"/>
    </xf>
    <xf numFmtId="166" fontId="24" fillId="0" borderId="2" xfId="51" applyNumberFormat="1" applyFont="1" applyFill="1" applyBorder="1" applyAlignment="1" applyProtection="1">
      <alignment horizontal="center" vertical="center"/>
      <protection hidden="1"/>
    </xf>
    <xf numFmtId="166" fontId="24" fillId="0" borderId="0" xfId="0" applyNumberFormat="1" applyFont="1" applyProtection="1">
      <protection hidden="1"/>
    </xf>
    <xf numFmtId="164" fontId="40" fillId="0" borderId="2" xfId="8" applyNumberFormat="1" applyFont="1" applyFill="1" applyBorder="1" applyAlignment="1" applyProtection="1">
      <alignment horizontal="center" vertical="center" wrapText="1"/>
      <protection hidden="1"/>
    </xf>
    <xf numFmtId="9" fontId="24" fillId="0" borderId="2" xfId="8" applyFont="1" applyFill="1" applyBorder="1" applyAlignment="1" applyProtection="1">
      <alignment horizontal="center" vertical="center" wrapText="1"/>
      <protection hidden="1"/>
    </xf>
    <xf numFmtId="164" fontId="40" fillId="0" borderId="2" xfId="0" applyNumberFormat="1" applyFont="1" applyBorder="1" applyAlignment="1" applyProtection="1">
      <alignment horizontal="center" vertical="center" wrapText="1"/>
      <protection hidden="1"/>
    </xf>
    <xf numFmtId="164" fontId="24" fillId="0" borderId="1" xfId="8" applyNumberFormat="1" applyFont="1" applyFill="1" applyProtection="1">
      <protection hidden="1"/>
    </xf>
    <xf numFmtId="9" fontId="24" fillId="0" borderId="1" xfId="8" applyFont="1" applyFill="1" applyProtection="1">
      <protection hidden="1"/>
    </xf>
    <xf numFmtId="43" fontId="24" fillId="0" borderId="0" xfId="5" applyFont="1" applyFill="1" applyProtection="1">
      <protection hidden="1"/>
    </xf>
    <xf numFmtId="10" fontId="25" fillId="0" borderId="2" xfId="0" applyNumberFormat="1" applyFont="1" applyBorder="1" applyAlignment="1" applyProtection="1">
      <alignment horizontal="center" vertical="center" wrapText="1"/>
      <protection hidden="1"/>
    </xf>
    <xf numFmtId="9" fontId="24" fillId="0" borderId="2" xfId="0" applyNumberFormat="1" applyFont="1" applyBorder="1" applyAlignment="1" applyProtection="1">
      <alignment horizontal="justify" vertical="center" wrapText="1"/>
      <protection hidden="1"/>
    </xf>
    <xf numFmtId="0" fontId="25" fillId="0" borderId="1" xfId="0" applyFont="1" applyBorder="1" applyAlignment="1" applyProtection="1">
      <alignment horizontal="center"/>
      <protection hidden="1"/>
    </xf>
    <xf numFmtId="3" fontId="24" fillId="0" borderId="2" xfId="51" applyNumberFormat="1" applyFont="1" applyFill="1" applyBorder="1" applyAlignment="1" applyProtection="1">
      <alignment horizontal="center" vertical="center"/>
      <protection hidden="1"/>
    </xf>
    <xf numFmtId="0" fontId="43" fillId="0" borderId="1" xfId="0" applyFont="1" applyBorder="1" applyAlignment="1" applyProtection="1">
      <protection hidden="1"/>
    </xf>
    <xf numFmtId="0" fontId="69" fillId="0" borderId="0" xfId="0" applyFont="1" applyAlignment="1" applyProtection="1">
      <alignment horizontal="justify" vertical="center"/>
      <protection hidden="1"/>
    </xf>
    <xf numFmtId="0" fontId="11" fillId="28" borderId="0" xfId="0" applyFont="1" applyFill="1" applyAlignment="1" applyProtection="1">
      <alignment horizontal="justify" vertical="center"/>
      <protection hidden="1"/>
    </xf>
    <xf numFmtId="0" fontId="25" fillId="28" borderId="0" xfId="0" applyFont="1" applyFill="1" applyAlignment="1" applyProtection="1">
      <alignment horizontal="justify" vertical="center"/>
      <protection hidden="1"/>
    </xf>
    <xf numFmtId="0" fontId="11" fillId="0" borderId="0" xfId="0" applyFont="1" applyAlignment="1" applyProtection="1">
      <alignment horizontal="justify" vertical="center"/>
      <protection hidden="1"/>
    </xf>
    <xf numFmtId="0" fontId="25" fillId="0" borderId="1" xfId="0" applyFont="1" applyBorder="1" applyAlignment="1" applyProtection="1">
      <alignment horizontal="justify" vertical="center"/>
      <protection hidden="1"/>
    </xf>
    <xf numFmtId="9" fontId="24" fillId="0" borderId="2" xfId="6" applyFont="1" applyBorder="1" applyAlignment="1" applyProtection="1">
      <alignment horizontal="center" vertical="center"/>
      <protection hidden="1"/>
    </xf>
    <xf numFmtId="3" fontId="24" fillId="0" borderId="55" xfId="0" applyNumberFormat="1" applyFont="1" applyBorder="1" applyAlignment="1" applyProtection="1">
      <alignment horizontal="center" vertical="center"/>
      <protection hidden="1"/>
    </xf>
    <xf numFmtId="0" fontId="14"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164" fontId="40" fillId="3" borderId="2" xfId="0"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24" fillId="0" borderId="2" xfId="6" applyFont="1" applyFill="1" applyBorder="1" applyAlignment="1" applyProtection="1">
      <alignment horizontal="center" vertical="center"/>
      <protection hidden="1"/>
    </xf>
    <xf numFmtId="9" fontId="40" fillId="0" borderId="2" xfId="8" applyFont="1" applyFill="1" applyBorder="1" applyAlignment="1" applyProtection="1">
      <alignment horizontal="center" vertical="center" wrapText="1"/>
      <protection hidden="1"/>
    </xf>
    <xf numFmtId="4" fontId="24" fillId="0" borderId="2" xfId="51" applyNumberFormat="1" applyFont="1" applyFill="1" applyBorder="1" applyAlignment="1" applyProtection="1">
      <alignment horizontal="center" vertical="center"/>
      <protection hidden="1"/>
    </xf>
    <xf numFmtId="0" fontId="24" fillId="0" borderId="0" xfId="0" applyFont="1"/>
    <xf numFmtId="0" fontId="24" fillId="0" borderId="1" xfId="0" applyFont="1" applyBorder="1" applyAlignment="1">
      <alignment horizontal="center" vertical="center"/>
    </xf>
    <xf numFmtId="0" fontId="24" fillId="0" borderId="0" xfId="0" applyFont="1" applyAlignment="1">
      <alignment horizontal="center" vertical="center"/>
    </xf>
    <xf numFmtId="0" fontId="70" fillId="0" borderId="0" xfId="0" applyFont="1"/>
    <xf numFmtId="0" fontId="25" fillId="0" borderId="1" xfId="0" applyFont="1" applyBorder="1" applyAlignment="1">
      <alignment horizontal="center" vertical="center" wrapText="1"/>
    </xf>
    <xf numFmtId="0" fontId="24" fillId="0" borderId="2" xfId="0" applyFont="1" applyBorder="1"/>
    <xf numFmtId="164" fontId="24" fillId="0" borderId="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24" fillId="0" borderId="3" xfId="0" applyFont="1" applyBorder="1"/>
    <xf numFmtId="0" fontId="25" fillId="0" borderId="60" xfId="0" applyFont="1" applyBorder="1"/>
    <xf numFmtId="9" fontId="25" fillId="0" borderId="1" xfId="0" applyNumberFormat="1" applyFont="1" applyBorder="1" applyAlignment="1">
      <alignment horizontal="center" vertical="center" wrapText="1"/>
    </xf>
    <xf numFmtId="0" fontId="20" fillId="0" borderId="0" xfId="0" applyFont="1"/>
    <xf numFmtId="0" fontId="20" fillId="0" borderId="0" xfId="0" applyFont="1" applyAlignment="1">
      <alignment horizontal="center" vertical="center"/>
    </xf>
    <xf numFmtId="0" fontId="25" fillId="25" borderId="2" xfId="0" applyFont="1" applyFill="1" applyBorder="1" applyAlignment="1">
      <alignment horizontal="center" vertical="center" wrapText="1"/>
    </xf>
    <xf numFmtId="0" fontId="25" fillId="25" borderId="41" xfId="0" applyFont="1" applyFill="1" applyBorder="1" applyAlignment="1">
      <alignment horizontal="center" vertical="center" wrapText="1"/>
    </xf>
    <xf numFmtId="0" fontId="24" fillId="0" borderId="40" xfId="0" applyFont="1" applyBorder="1"/>
    <xf numFmtId="1" fontId="24" fillId="30" borderId="2" xfId="0" applyNumberFormat="1" applyFont="1" applyFill="1" applyBorder="1" applyAlignment="1">
      <alignment horizontal="center" vertical="center" wrapText="1"/>
    </xf>
    <xf numFmtId="1" fontId="24" fillId="30" borderId="41" xfId="0" applyNumberFormat="1" applyFont="1" applyFill="1" applyBorder="1" applyAlignment="1">
      <alignment horizontal="center" vertical="center" wrapText="1"/>
    </xf>
    <xf numFmtId="0" fontId="25" fillId="0" borderId="56" xfId="0" applyFont="1" applyBorder="1"/>
    <xf numFmtId="1" fontId="25" fillId="30" borderId="57" xfId="0" applyNumberFormat="1" applyFont="1" applyFill="1" applyBorder="1" applyAlignment="1">
      <alignment horizontal="center" vertical="center" wrapText="1"/>
    </xf>
    <xf numFmtId="1" fontId="25" fillId="30" borderId="63" xfId="0" applyNumberFormat="1" applyFont="1" applyFill="1" applyBorder="1" applyAlignment="1">
      <alignment horizontal="center" vertical="center" wrapText="1"/>
    </xf>
    <xf numFmtId="0" fontId="43" fillId="0" borderId="1" xfId="0" applyFont="1" applyBorder="1" applyAlignment="1">
      <alignment horizontal="center" vertical="center"/>
    </xf>
    <xf numFmtId="1" fontId="24" fillId="0" borderId="6" xfId="0" applyNumberFormat="1" applyFont="1" applyBorder="1" applyAlignment="1">
      <alignment horizontal="center" vertical="center"/>
    </xf>
    <xf numFmtId="1" fontId="24" fillId="0" borderId="0" xfId="0" applyNumberFormat="1" applyFont="1" applyAlignment="1">
      <alignment horizontal="center" vertical="center"/>
    </xf>
    <xf numFmtId="1" fontId="24" fillId="31" borderId="2"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0" fontId="52" fillId="0" borderId="0" xfId="0" applyFont="1" applyAlignment="1" applyProtection="1">
      <alignment vertical="center" wrapText="1"/>
      <protection hidden="1"/>
    </xf>
    <xf numFmtId="0" fontId="25" fillId="0" borderId="1" xfId="0" applyFont="1" applyBorder="1" applyAlignment="1" applyProtection="1">
      <alignment horizontal="center" vertical="center"/>
      <protection hidden="1"/>
    </xf>
    <xf numFmtId="0" fontId="70" fillId="0" borderId="2" xfId="0" applyFont="1" applyBorder="1" applyProtection="1">
      <protection hidden="1"/>
    </xf>
    <xf numFmtId="0" fontId="35" fillId="0" borderId="2" xfId="0" applyFont="1" applyBorder="1" applyAlignment="1">
      <alignment horizontal="justify" vertical="center"/>
    </xf>
    <xf numFmtId="0" fontId="11" fillId="0" borderId="2" xfId="0" applyFont="1" applyBorder="1" applyAlignment="1">
      <alignment horizontal="center" vertical="center"/>
    </xf>
    <xf numFmtId="0" fontId="69"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1" fillId="0" borderId="8" xfId="0" applyFont="1" applyFill="1" applyBorder="1" applyAlignment="1">
      <alignment horizontal="center" vertical="center"/>
    </xf>
    <xf numFmtId="0" fontId="0" fillId="0" borderId="1" xfId="0" applyBorder="1"/>
    <xf numFmtId="0" fontId="24" fillId="0" borderId="2" xfId="0" applyFont="1" applyBorder="1" applyProtection="1">
      <protection hidden="1"/>
    </xf>
    <xf numFmtId="0" fontId="24" fillId="0" borderId="2" xfId="0" applyFont="1" applyBorder="1" applyAlignment="1" applyProtection="1">
      <alignment horizontal="center" vertical="center"/>
      <protection hidden="1"/>
    </xf>
    <xf numFmtId="0" fontId="25" fillId="0" borderId="2" xfId="0" applyFont="1" applyBorder="1"/>
    <xf numFmtId="1" fontId="25" fillId="30" borderId="2" xfId="0" applyNumberFormat="1" applyFont="1" applyFill="1" applyBorder="1" applyAlignment="1">
      <alignment horizontal="center" vertical="center" wrapText="1"/>
    </xf>
    <xf numFmtId="1" fontId="25" fillId="31" borderId="2" xfId="0" applyNumberFormat="1" applyFont="1" applyFill="1" applyBorder="1" applyAlignment="1">
      <alignment horizontal="center" vertical="center" wrapText="1"/>
    </xf>
    <xf numFmtId="1" fontId="25" fillId="32" borderId="2" xfId="0" applyNumberFormat="1" applyFont="1" applyFill="1" applyBorder="1" applyAlignment="1">
      <alignment horizontal="center" vertical="center" wrapText="1"/>
    </xf>
    <xf numFmtId="0" fontId="25" fillId="0" borderId="2" xfId="0" applyFont="1" applyBorder="1" applyAlignment="1" applyProtection="1">
      <alignment horizontal="center"/>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11" fillId="0" borderId="1" xfId="0" applyFont="1" applyBorder="1" applyAlignment="1">
      <alignment horizontal="center" vertical="center"/>
    </xf>
    <xf numFmtId="0" fontId="47"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center" vertical="center" wrapText="1"/>
    </xf>
    <xf numFmtId="164" fontId="8" fillId="0" borderId="2" xfId="0" applyNumberFormat="1" applyFont="1" applyFill="1" applyBorder="1" applyAlignment="1" applyProtection="1">
      <alignment horizontal="justify" vertical="center" wrapText="1"/>
      <protection hidden="1"/>
    </xf>
    <xf numFmtId="164" fontId="24" fillId="0" borderId="2" xfId="6" applyNumberFormat="1" applyFont="1" applyFill="1" applyBorder="1" applyAlignment="1" applyProtection="1">
      <alignment horizontal="center" vertical="center"/>
      <protection hidden="1"/>
    </xf>
    <xf numFmtId="164" fontId="24" fillId="0" borderId="0" xfId="6" applyNumberFormat="1" applyFont="1" applyProtection="1">
      <protection hidden="1"/>
    </xf>
    <xf numFmtId="10" fontId="24" fillId="0" borderId="0" xfId="6" applyNumberFormat="1" applyFont="1" applyProtection="1">
      <protection hidden="1"/>
    </xf>
    <xf numFmtId="43" fontId="24" fillId="0" borderId="0" xfId="5" applyFont="1" applyProtection="1">
      <protection hidden="1"/>
    </xf>
    <xf numFmtId="164" fontId="40" fillId="0" borderId="2" xfId="0" applyNumberFormat="1" applyFont="1" applyBorder="1" applyAlignment="1" applyProtection="1">
      <alignment horizontal="justify" vertical="center" wrapText="1"/>
      <protection hidden="1"/>
    </xf>
    <xf numFmtId="164" fontId="25" fillId="0" borderId="1" xfId="0" applyNumberFormat="1" applyFont="1" applyBorder="1" applyAlignment="1" applyProtection="1">
      <alignment horizontal="justify" vertical="center" wrapText="1"/>
      <protection hidden="1"/>
    </xf>
    <xf numFmtId="164" fontId="40" fillId="0" borderId="1" xfId="0" applyNumberFormat="1" applyFont="1" applyBorder="1" applyAlignment="1" applyProtection="1">
      <alignment horizontal="justify" vertical="center" wrapText="1"/>
      <protection hidden="1"/>
    </xf>
    <xf numFmtId="0" fontId="24" fillId="32" borderId="0" xfId="0" applyFont="1" applyFill="1"/>
    <xf numFmtId="0" fontId="67" fillId="0" borderId="0" xfId="0" applyFont="1"/>
    <xf numFmtId="0" fontId="24" fillId="23" borderId="0" xfId="0" applyFont="1" applyFill="1"/>
    <xf numFmtId="0" fontId="24" fillId="33" borderId="0" xfId="0" applyFont="1" applyFill="1"/>
    <xf numFmtId="0" fontId="20" fillId="3" borderId="65" xfId="34" applyFont="1" applyFill="1" applyBorder="1" applyAlignment="1" applyProtection="1">
      <alignment horizontal="left" vertical="center" wrapText="1"/>
    </xf>
    <xf numFmtId="0" fontId="20" fillId="3" borderId="65" xfId="34" applyFont="1" applyFill="1" applyBorder="1" applyAlignment="1" applyProtection="1">
      <alignment horizontal="center" vertical="center" wrapText="1"/>
    </xf>
    <xf numFmtId="9" fontId="20" fillId="3" borderId="2" xfId="0" applyNumberFormat="1" applyFont="1" applyFill="1" applyBorder="1" applyAlignment="1" applyProtection="1">
      <alignment horizontal="center" vertical="center" wrapText="1"/>
    </xf>
    <xf numFmtId="9" fontId="39" fillId="11" borderId="3" xfId="8" applyFont="1" applyFill="1" applyBorder="1" applyAlignment="1" applyProtection="1">
      <alignment horizontal="center" vertical="center"/>
    </xf>
    <xf numFmtId="166" fontId="39" fillId="0" borderId="3" xfId="5" applyNumberFormat="1" applyFont="1" applyBorder="1" applyAlignment="1" applyProtection="1">
      <alignment horizontal="center" vertical="center" wrapText="1"/>
    </xf>
    <xf numFmtId="10" fontId="20" fillId="0" borderId="3" xfId="6" applyNumberFormat="1" applyFont="1" applyFill="1" applyBorder="1" applyAlignment="1" applyProtection="1">
      <alignment horizontal="center" vertical="center" wrapText="1"/>
    </xf>
    <xf numFmtId="0" fontId="23" fillId="0" borderId="0" xfId="0" applyFont="1" applyAlignment="1">
      <alignment vertical="center"/>
    </xf>
    <xf numFmtId="3" fontId="20" fillId="0" borderId="2" xfId="20" applyNumberFormat="1" applyFont="1" applyFill="1" applyBorder="1" applyAlignment="1" applyProtection="1">
      <alignment horizontal="center" vertical="center" wrapText="1"/>
    </xf>
    <xf numFmtId="4" fontId="20" fillId="18" borderId="2" xfId="0" applyNumberFormat="1" applyFont="1" applyFill="1" applyBorder="1" applyAlignment="1" applyProtection="1">
      <alignment horizontal="center" vertical="center" wrapText="1"/>
    </xf>
    <xf numFmtId="166" fontId="20" fillId="18" borderId="2" xfId="0" applyNumberFormat="1" applyFont="1" applyFill="1" applyBorder="1" applyAlignment="1" applyProtection="1">
      <alignment horizontal="center" vertical="center" wrapText="1"/>
    </xf>
    <xf numFmtId="10" fontId="20" fillId="18" borderId="6" xfId="6" applyNumberFormat="1" applyFont="1" applyFill="1" applyBorder="1" applyAlignment="1" applyProtection="1">
      <alignment horizontal="center" vertical="center" wrapText="1"/>
    </xf>
    <xf numFmtId="0" fontId="47" fillId="9" borderId="5" xfId="0" applyFont="1" applyFill="1" applyBorder="1" applyAlignment="1">
      <alignment horizontal="center" vertical="center" wrapText="1"/>
    </xf>
    <xf numFmtId="1" fontId="24" fillId="24" borderId="6" xfId="0" applyNumberFormat="1" applyFont="1" applyFill="1" applyBorder="1" applyAlignment="1">
      <alignment horizontal="center" vertical="center" wrapText="1"/>
    </xf>
    <xf numFmtId="1" fontId="25" fillId="24" borderId="6" xfId="0" applyNumberFormat="1" applyFont="1" applyFill="1" applyBorder="1" applyAlignment="1">
      <alignment horizontal="center" vertical="center" wrapText="1"/>
    </xf>
    <xf numFmtId="1" fontId="24" fillId="33" borderId="2" xfId="0" applyNumberFormat="1" applyFont="1" applyFill="1" applyBorder="1" applyAlignment="1">
      <alignment horizontal="center" vertical="center" wrapText="1"/>
    </xf>
    <xf numFmtId="1" fontId="25" fillId="33" borderId="2" xfId="0" applyNumberFormat="1" applyFont="1" applyFill="1" applyBorder="1" applyAlignment="1">
      <alignment horizontal="center" vertical="center" wrapText="1"/>
    </xf>
    <xf numFmtId="1" fontId="20" fillId="30" borderId="2" xfId="0" applyNumberFormat="1" applyFont="1" applyFill="1" applyBorder="1" applyAlignment="1">
      <alignment horizontal="center" vertical="center" wrapText="1"/>
    </xf>
    <xf numFmtId="10" fontId="21" fillId="0" borderId="3" xfId="6" applyNumberFormat="1" applyFont="1" applyBorder="1" applyAlignment="1" applyProtection="1">
      <alignment horizontal="center" vertical="center" wrapText="1"/>
    </xf>
    <xf numFmtId="10" fontId="56" fillId="5" borderId="3" xfId="6" applyNumberFormat="1" applyFont="1" applyFill="1" applyBorder="1" applyAlignment="1" applyProtection="1">
      <alignment horizontal="center" vertical="center"/>
    </xf>
    <xf numFmtId="10" fontId="20" fillId="0" borderId="2" xfId="20" applyNumberFormat="1" applyFont="1" applyBorder="1" applyAlignment="1" applyProtection="1">
      <alignment horizontal="center" vertical="center" wrapText="1"/>
    </xf>
    <xf numFmtId="10" fontId="24" fillId="0" borderId="2" xfId="6" applyNumberFormat="1" applyFont="1" applyBorder="1" applyAlignment="1" applyProtection="1">
      <alignment horizontal="center" vertical="center"/>
      <protection hidden="1"/>
    </xf>
    <xf numFmtId="10" fontId="24" fillId="0" borderId="2" xfId="0" applyNumberFormat="1" applyFont="1" applyBorder="1" applyAlignment="1" applyProtection="1">
      <alignment horizontal="center" vertical="center"/>
      <protection hidden="1"/>
    </xf>
    <xf numFmtId="0" fontId="60" fillId="0" borderId="0" xfId="0" applyFont="1"/>
    <xf numFmtId="0" fontId="60" fillId="0" borderId="0" xfId="0" applyFont="1" applyAlignment="1">
      <alignment horizontal="center" vertical="center"/>
    </xf>
    <xf numFmtId="9" fontId="60" fillId="0" borderId="1" xfId="0" applyNumberFormat="1" applyFont="1" applyBorder="1"/>
    <xf numFmtId="0" fontId="60" fillId="0" borderId="1" xfId="0" applyFont="1" applyBorder="1"/>
    <xf numFmtId="0" fontId="60" fillId="0" borderId="1" xfId="0" applyFont="1" applyBorder="1" applyAlignment="1">
      <alignment horizontal="center" vertical="center"/>
    </xf>
    <xf numFmtId="1" fontId="60" fillId="0" borderId="1" xfId="0" applyNumberFormat="1" applyFont="1" applyBorder="1" applyAlignment="1">
      <alignment horizontal="center" vertical="center"/>
    </xf>
    <xf numFmtId="0" fontId="71" fillId="35" borderId="68" xfId="0" applyFont="1" applyFill="1" applyBorder="1" applyAlignment="1">
      <alignment horizontal="center" vertical="center" wrapText="1" readingOrder="1"/>
    </xf>
    <xf numFmtId="1" fontId="72" fillId="0" borderId="69" xfId="0" applyNumberFormat="1" applyFont="1" applyBorder="1" applyAlignment="1">
      <alignment horizontal="center" vertical="center" wrapText="1" readingOrder="1"/>
    </xf>
    <xf numFmtId="1" fontId="72" fillId="0" borderId="68" xfId="0" applyNumberFormat="1" applyFont="1" applyBorder="1" applyAlignment="1">
      <alignment horizontal="center" vertical="center" wrapText="1" readingOrder="1"/>
    </xf>
    <xf numFmtId="0" fontId="72" fillId="0" borderId="68" xfId="0" applyFont="1" applyBorder="1" applyAlignment="1">
      <alignment horizontal="justify" vertical="center" wrapText="1" readingOrder="1"/>
    </xf>
    <xf numFmtId="9" fontId="74" fillId="35" borderId="68" xfId="0" applyNumberFormat="1" applyFont="1" applyFill="1" applyBorder="1" applyAlignment="1">
      <alignment horizontal="center" vertical="center" wrapText="1" readingOrder="1"/>
    </xf>
    <xf numFmtId="0" fontId="71" fillId="35" borderId="68" xfId="0" applyFont="1" applyFill="1" applyBorder="1" applyAlignment="1">
      <alignment horizontal="right" vertical="center" wrapText="1" readingOrder="1"/>
    </xf>
    <xf numFmtId="0" fontId="71" fillId="0" borderId="1" xfId="0" applyFont="1" applyFill="1" applyBorder="1" applyAlignment="1">
      <alignment horizontal="right" vertical="center" wrapText="1" readingOrder="1"/>
    </xf>
    <xf numFmtId="0" fontId="74" fillId="0" borderId="1" xfId="0" applyFont="1" applyFill="1" applyBorder="1" applyAlignment="1">
      <alignment horizontal="center" vertical="center" wrapText="1" readingOrder="1"/>
    </xf>
    <xf numFmtId="9" fontId="74" fillId="0" borderId="1" xfId="0" applyNumberFormat="1" applyFont="1" applyFill="1" applyBorder="1" applyAlignment="1">
      <alignment horizontal="center" vertical="center" wrapText="1" readingOrder="1"/>
    </xf>
    <xf numFmtId="0" fontId="24" fillId="0" borderId="0" xfId="0" applyFont="1" applyFill="1"/>
    <xf numFmtId="0" fontId="24" fillId="0" borderId="0" xfId="0" applyFont="1" applyFill="1" applyAlignment="1">
      <alignment horizontal="center" vertical="center"/>
    </xf>
    <xf numFmtId="1" fontId="74" fillId="35" borderId="68" xfId="0" applyNumberFormat="1" applyFont="1" applyFill="1" applyBorder="1" applyAlignment="1">
      <alignment horizontal="center" vertical="center" wrapText="1" readingOrder="1"/>
    </xf>
    <xf numFmtId="164" fontId="25" fillId="0" borderId="1" xfId="0" applyNumberFormat="1" applyFont="1" applyFill="1" applyBorder="1" applyAlignment="1" applyProtection="1">
      <alignment horizontal="center" vertical="center" wrapText="1"/>
      <protection hidden="1"/>
    </xf>
    <xf numFmtId="164" fontId="24" fillId="0" borderId="1" xfId="0" applyNumberFormat="1" applyFont="1" applyFill="1" applyBorder="1" applyAlignment="1" applyProtection="1">
      <alignment horizontal="center" vertical="center" wrapText="1"/>
      <protection hidden="1"/>
    </xf>
    <xf numFmtId="0" fontId="24" fillId="0" borderId="0" xfId="0" applyFont="1" applyFill="1" applyProtection="1">
      <protection hidden="1"/>
    </xf>
    <xf numFmtId="0" fontId="24" fillId="0" borderId="0" xfId="0" applyFont="1" applyFill="1" applyAlignment="1" applyProtection="1">
      <alignment horizontal="justify" vertical="center"/>
      <protection hidden="1"/>
    </xf>
    <xf numFmtId="0" fontId="76" fillId="0" borderId="1"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protection hidden="1"/>
    </xf>
    <xf numFmtId="0" fontId="72" fillId="0" borderId="69" xfId="0" applyFont="1" applyBorder="1" applyAlignment="1">
      <alignment horizontal="justify" vertical="center" wrapText="1" readingOrder="1"/>
    </xf>
    <xf numFmtId="0" fontId="29" fillId="34" borderId="57" xfId="0" applyFont="1" applyFill="1" applyBorder="1" applyAlignment="1" applyProtection="1">
      <alignment horizontal="center" vertical="center" wrapText="1"/>
      <protection hidden="1"/>
    </xf>
    <xf numFmtId="0" fontId="29" fillId="34" borderId="63" xfId="0" applyFont="1" applyFill="1" applyBorder="1" applyAlignment="1" applyProtection="1">
      <alignment horizontal="center" vertical="center"/>
      <protection hidden="1"/>
    </xf>
    <xf numFmtId="0" fontId="14" fillId="11" borderId="60" xfId="0" applyFont="1" applyFill="1" applyBorder="1" applyAlignment="1" applyProtection="1">
      <alignment horizontal="center" vertical="center"/>
      <protection hidden="1"/>
    </xf>
    <xf numFmtId="0" fontId="11" fillId="11" borderId="61" xfId="0" applyFont="1" applyFill="1" applyBorder="1" applyAlignment="1" applyProtection="1">
      <alignment horizontal="center" vertical="center"/>
      <protection hidden="1"/>
    </xf>
    <xf numFmtId="164" fontId="11" fillId="11" borderId="61" xfId="0" applyNumberFormat="1" applyFont="1" applyFill="1" applyBorder="1" applyAlignment="1" applyProtection="1">
      <alignment horizontal="center" vertical="center" wrapText="1"/>
      <protection hidden="1"/>
    </xf>
    <xf numFmtId="0" fontId="14" fillId="11" borderId="60" xfId="0" applyFont="1" applyFill="1" applyBorder="1" applyAlignment="1" applyProtection="1">
      <alignment horizontal="center" vertical="center" wrapText="1"/>
      <protection hidden="1"/>
    </xf>
    <xf numFmtId="164" fontId="20" fillId="0" borderId="31" xfId="6" applyNumberFormat="1" applyFont="1" applyFill="1" applyBorder="1" applyAlignment="1" applyProtection="1">
      <alignment horizontal="center" vertical="center" wrapText="1"/>
    </xf>
    <xf numFmtId="166" fontId="24" fillId="0" borderId="0" xfId="0" applyNumberFormat="1" applyFont="1" applyAlignment="1" applyProtection="1">
      <alignment horizontal="center" vertical="center"/>
      <protection hidden="1"/>
    </xf>
    <xf numFmtId="9" fontId="24" fillId="0" borderId="0" xfId="6" applyFont="1" applyAlignment="1" applyProtection="1">
      <alignment horizontal="center" vertical="center"/>
      <protection hidden="1"/>
    </xf>
    <xf numFmtId="10" fontId="24" fillId="0" borderId="0" xfId="0" applyNumberFormat="1" applyFont="1" applyAlignment="1" applyProtection="1">
      <alignment vertical="center"/>
      <protection hidden="1"/>
    </xf>
    <xf numFmtId="10" fontId="24" fillId="0" borderId="0" xfId="6" applyNumberFormat="1" applyFont="1" applyAlignment="1" applyProtection="1">
      <alignment horizontal="center" vertical="center"/>
      <protection hidden="1"/>
    </xf>
    <xf numFmtId="164" fontId="24" fillId="0" borderId="0" xfId="0" applyNumberFormat="1" applyFont="1" applyAlignment="1">
      <alignment horizontal="center" vertical="center"/>
    </xf>
    <xf numFmtId="0" fontId="75" fillId="34" borderId="70" xfId="0" applyFont="1" applyFill="1" applyBorder="1" applyAlignment="1">
      <alignment horizontal="center" vertical="center" wrapText="1" readingOrder="1"/>
    </xf>
    <xf numFmtId="9" fontId="72" fillId="0" borderId="71" xfId="0" applyNumberFormat="1" applyFont="1" applyBorder="1" applyAlignment="1">
      <alignment horizontal="center" vertical="center" wrapText="1" readingOrder="1"/>
    </xf>
    <xf numFmtId="9" fontId="72" fillId="0" borderId="72" xfId="0" applyNumberFormat="1" applyFont="1" applyBorder="1" applyAlignment="1">
      <alignment horizontal="center" vertical="center" wrapText="1" readingOrder="1"/>
    </xf>
    <xf numFmtId="9" fontId="73" fillId="0" borderId="72" xfId="0" applyNumberFormat="1" applyFont="1" applyBorder="1" applyAlignment="1">
      <alignment horizontal="center" vertical="center" wrapText="1" readingOrder="1"/>
    </xf>
    <xf numFmtId="0" fontId="75" fillId="34" borderId="73" xfId="0" applyFont="1" applyFill="1" applyBorder="1" applyAlignment="1">
      <alignment horizontal="center" vertical="center" wrapText="1" readingOrder="1"/>
    </xf>
    <xf numFmtId="9" fontId="74" fillId="35" borderId="69" xfId="0" applyNumberFormat="1" applyFont="1" applyFill="1" applyBorder="1" applyAlignment="1">
      <alignment horizontal="center" vertical="center" wrapText="1" readingOrder="1"/>
    </xf>
    <xf numFmtId="0" fontId="75" fillId="34" borderId="74" xfId="0" applyFont="1" applyFill="1" applyBorder="1" applyAlignment="1">
      <alignment horizontal="center" vertical="center" wrapText="1" readingOrder="1"/>
    </xf>
    <xf numFmtId="9" fontId="72" fillId="0" borderId="2" xfId="0" applyNumberFormat="1" applyFont="1" applyBorder="1" applyAlignment="1">
      <alignment horizontal="center" vertical="center" wrapText="1" readingOrder="1"/>
    </xf>
    <xf numFmtId="9" fontId="73" fillId="0" borderId="2" xfId="0" applyNumberFormat="1" applyFont="1" applyBorder="1" applyAlignment="1">
      <alignment horizontal="center" vertical="center" wrapText="1" readingOrder="1"/>
    </xf>
    <xf numFmtId="164" fontId="24" fillId="0" borderId="0" xfId="0" applyNumberFormat="1" applyFont="1"/>
    <xf numFmtId="10" fontId="77" fillId="0" borderId="31" xfId="6" applyNumberFormat="1" applyFont="1" applyFill="1" applyBorder="1" applyAlignment="1" applyProtection="1">
      <alignment horizontal="center" vertical="center" wrapText="1"/>
    </xf>
    <xf numFmtId="164" fontId="77" fillId="0" borderId="31" xfId="6" applyNumberFormat="1" applyFont="1" applyFill="1" applyBorder="1" applyAlignment="1" applyProtection="1">
      <alignment horizontal="center" vertical="center" wrapText="1"/>
    </xf>
    <xf numFmtId="10" fontId="77" fillId="0" borderId="31" xfId="6" applyNumberFormat="1" applyFont="1" applyBorder="1" applyAlignment="1" applyProtection="1">
      <alignment horizontal="center" vertical="center" wrapText="1"/>
    </xf>
    <xf numFmtId="164" fontId="77" fillId="18" borderId="2" xfId="6" applyNumberFormat="1" applyFont="1" applyFill="1" applyBorder="1" applyAlignment="1" applyProtection="1">
      <alignment horizontal="center" vertical="center" wrapText="1"/>
    </xf>
    <xf numFmtId="164" fontId="77" fillId="0" borderId="31" xfId="6" applyNumberFormat="1" applyFont="1" applyBorder="1" applyAlignment="1" applyProtection="1">
      <alignment horizontal="center" vertical="center" wrapText="1"/>
    </xf>
    <xf numFmtId="164" fontId="77" fillId="3" borderId="31" xfId="6" applyNumberFormat="1" applyFont="1" applyFill="1" applyBorder="1" applyAlignment="1" applyProtection="1">
      <alignment horizontal="center" vertical="center" wrapText="1"/>
    </xf>
    <xf numFmtId="164" fontId="77" fillId="18" borderId="31" xfId="6" applyNumberFormat="1" applyFont="1" applyFill="1" applyBorder="1" applyAlignment="1" applyProtection="1">
      <alignment horizontal="center" vertical="center" wrapText="1"/>
    </xf>
    <xf numFmtId="10" fontId="77" fillId="18" borderId="3" xfId="6" applyNumberFormat="1" applyFont="1" applyFill="1" applyBorder="1" applyAlignment="1" applyProtection="1">
      <alignment horizontal="center" vertical="center" wrapText="1"/>
    </xf>
    <xf numFmtId="10" fontId="77" fillId="3" borderId="3" xfId="6" applyNumberFormat="1" applyFont="1" applyFill="1" applyBorder="1" applyAlignment="1" applyProtection="1">
      <alignment horizontal="center" vertical="center" wrapText="1"/>
    </xf>
    <xf numFmtId="164" fontId="77" fillId="3" borderId="3" xfId="6" applyNumberFormat="1" applyFont="1" applyFill="1" applyBorder="1" applyAlignment="1" applyProtection="1">
      <alignment horizontal="center" vertical="center" wrapText="1"/>
    </xf>
    <xf numFmtId="9" fontId="20" fillId="0" borderId="2" xfId="8" applyNumberFormat="1" applyFont="1" applyBorder="1" applyAlignment="1" applyProtection="1">
      <alignment horizontal="center" vertical="center" wrapText="1"/>
    </xf>
    <xf numFmtId="164" fontId="24" fillId="0" borderId="0" xfId="6" applyNumberFormat="1" applyFont="1" applyFill="1" applyProtection="1">
      <protection hidden="1"/>
    </xf>
    <xf numFmtId="3" fontId="24" fillId="0" borderId="1" xfId="51" applyNumberFormat="1" applyFont="1" applyFill="1" applyBorder="1" applyAlignment="1" applyProtection="1">
      <alignment horizontal="center" vertical="center"/>
      <protection hidden="1"/>
    </xf>
    <xf numFmtId="0" fontId="9" fillId="0" borderId="0" xfId="0" applyFont="1" applyAlignment="1">
      <alignment horizontal="center" vertical="center"/>
    </xf>
    <xf numFmtId="0" fontId="62" fillId="0" borderId="51" xfId="0" applyFont="1" applyBorder="1" applyAlignment="1">
      <alignment horizontal="right" vertical="center"/>
    </xf>
    <xf numFmtId="0" fontId="62" fillId="0" borderId="52" xfId="0" applyFont="1" applyBorder="1" applyAlignment="1">
      <alignment horizontal="center" vertical="center"/>
    </xf>
    <xf numFmtId="0" fontId="62" fillId="0" borderId="53" xfId="0" applyFont="1" applyBorder="1" applyAlignment="1">
      <alignment horizontal="left" vertical="center"/>
    </xf>
    <xf numFmtId="0" fontId="62" fillId="0" borderId="1" xfId="0" applyFont="1" applyBorder="1" applyAlignment="1">
      <alignment vertical="center"/>
    </xf>
    <xf numFmtId="0" fontId="9" fillId="0" borderId="1" xfId="0" applyFont="1" applyBorder="1" applyAlignment="1">
      <alignment horizontal="center" vertical="center"/>
    </xf>
    <xf numFmtId="0" fontId="11" fillId="38" borderId="2" xfId="0"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39" fillId="0" borderId="55" xfId="5" applyNumberFormat="1" applyFont="1" applyBorder="1" applyAlignment="1" applyProtection="1">
      <alignment horizontal="center" vertical="center" wrapText="1"/>
    </xf>
    <xf numFmtId="3" fontId="20" fillId="0" borderId="2" xfId="34" applyNumberFormat="1" applyFont="1" applyBorder="1" applyAlignment="1">
      <alignment horizontal="center" vertical="center" wrapText="1"/>
    </xf>
    <xf numFmtId="164" fontId="20" fillId="0" borderId="65" xfId="8" applyNumberFormat="1" applyFont="1" applyBorder="1" applyAlignment="1" applyProtection="1">
      <alignment horizontal="center" vertical="center" wrapText="1"/>
    </xf>
    <xf numFmtId="164" fontId="20" fillId="0" borderId="65" xfId="8" applyNumberFormat="1" applyFont="1" applyFill="1" applyBorder="1" applyAlignment="1" applyProtection="1">
      <alignment horizontal="center" vertical="center" wrapText="1"/>
    </xf>
    <xf numFmtId="164" fontId="20" fillId="0" borderId="2" xfId="8" applyNumberFormat="1" applyFont="1" applyBorder="1" applyAlignment="1" applyProtection="1">
      <alignment horizontal="center" vertical="center" wrapText="1"/>
    </xf>
    <xf numFmtId="0" fontId="20" fillId="18" borderId="2" xfId="0" applyFont="1" applyFill="1" applyBorder="1" applyAlignment="1">
      <alignment horizontal="justify" vertical="center" wrapText="1"/>
    </xf>
    <xf numFmtId="3" fontId="20" fillId="18" borderId="2" xfId="0" applyNumberFormat="1" applyFont="1" applyFill="1" applyBorder="1" applyAlignment="1">
      <alignment horizontal="center" vertical="center" wrapText="1"/>
    </xf>
    <xf numFmtId="0" fontId="20" fillId="18" borderId="65" xfId="0" applyFont="1" applyFill="1" applyBorder="1" applyAlignment="1">
      <alignment horizontal="justify" vertical="center" wrapText="1"/>
    </xf>
    <xf numFmtId="0" fontId="20" fillId="18" borderId="6" xfId="34" applyFont="1" applyFill="1" applyBorder="1" applyAlignment="1">
      <alignment horizontal="justify" vertical="center" wrapText="1"/>
    </xf>
    <xf numFmtId="3" fontId="39" fillId="18" borderId="55" xfId="5" applyNumberFormat="1" applyFont="1" applyFill="1" applyBorder="1" applyAlignment="1" applyProtection="1">
      <alignment horizontal="center" vertical="center" wrapText="1"/>
    </xf>
    <xf numFmtId="3" fontId="20" fillId="18" borderId="2" xfId="34" applyNumberFormat="1" applyFont="1" applyFill="1" applyBorder="1" applyAlignment="1">
      <alignment horizontal="center" vertical="center" wrapText="1"/>
    </xf>
    <xf numFmtId="164" fontId="20" fillId="18" borderId="65" xfId="8" applyNumberFormat="1" applyFont="1" applyFill="1" applyBorder="1" applyAlignment="1" applyProtection="1">
      <alignment horizontal="center" vertical="center" wrapText="1"/>
    </xf>
    <xf numFmtId="166" fontId="20" fillId="0" borderId="2" xfId="34" applyNumberFormat="1" applyFont="1" applyBorder="1" applyAlignment="1">
      <alignment horizontal="center" vertical="center" wrapText="1"/>
    </xf>
    <xf numFmtId="0" fontId="20" fillId="0" borderId="2" xfId="0" applyFont="1" applyBorder="1" applyAlignment="1">
      <alignment horizontal="center" vertical="center" wrapText="1"/>
    </xf>
    <xf numFmtId="1" fontId="39" fillId="0" borderId="2" xfId="0" applyNumberFormat="1" applyFont="1" applyBorder="1" applyAlignment="1">
      <alignment horizontal="center" vertical="center" wrapText="1" readingOrder="1"/>
    </xf>
    <xf numFmtId="9" fontId="39" fillId="0" borderId="2" xfId="0" applyNumberFormat="1" applyFont="1" applyBorder="1" applyAlignment="1">
      <alignment horizontal="center" vertical="center" wrapText="1" readingOrder="1"/>
    </xf>
    <xf numFmtId="4" fontId="20" fillId="0" borderId="2" xfId="34" applyNumberFormat="1" applyFont="1" applyBorder="1" applyAlignment="1">
      <alignment horizontal="center" vertical="center" wrapText="1"/>
    </xf>
    <xf numFmtId="164" fontId="20" fillId="18" borderId="2" xfId="8" applyNumberFormat="1" applyFont="1" applyFill="1" applyBorder="1" applyAlignment="1" applyProtection="1">
      <alignment horizontal="center" vertical="center" wrapText="1"/>
    </xf>
    <xf numFmtId="164" fontId="20" fillId="18" borderId="6" xfId="8" applyNumberFormat="1" applyFont="1" applyFill="1" applyBorder="1" applyAlignment="1" applyProtection="1">
      <alignment horizontal="center" vertical="center" wrapText="1"/>
    </xf>
    <xf numFmtId="9" fontId="39" fillId="0" borderId="55" xfId="5" applyNumberFormat="1" applyFont="1" applyBorder="1" applyAlignment="1" applyProtection="1">
      <alignment horizontal="center" vertical="center" wrapText="1"/>
    </xf>
    <xf numFmtId="1" fontId="39" fillId="0" borderId="55" xfId="5" applyNumberFormat="1" applyFont="1" applyBorder="1" applyAlignment="1" applyProtection="1">
      <alignment horizontal="center" vertical="center" wrapText="1"/>
    </xf>
    <xf numFmtId="1" fontId="39" fillId="3" borderId="55" xfId="5" applyNumberFormat="1" applyFont="1" applyFill="1" applyBorder="1" applyAlignment="1" applyProtection="1">
      <alignment horizontal="center" vertical="center" wrapText="1"/>
    </xf>
    <xf numFmtId="9" fontId="39" fillId="18" borderId="55" xfId="5" applyNumberFormat="1" applyFont="1" applyFill="1" applyBorder="1" applyAlignment="1" applyProtection="1">
      <alignment horizontal="center" vertical="center" wrapText="1"/>
    </xf>
    <xf numFmtId="164" fontId="20" fillId="18" borderId="2" xfId="34" applyNumberFormat="1" applyFont="1" applyFill="1" applyBorder="1" applyAlignment="1">
      <alignment horizontal="center" vertical="center" wrapText="1"/>
    </xf>
    <xf numFmtId="9" fontId="20" fillId="18" borderId="2" xfId="34" applyNumberFormat="1" applyFont="1" applyFill="1" applyBorder="1" applyAlignment="1">
      <alignment horizontal="center" vertical="center" wrapText="1"/>
    </xf>
    <xf numFmtId="10" fontId="20" fillId="18" borderId="55" xfId="8" applyNumberFormat="1" applyFont="1" applyFill="1" applyBorder="1" applyAlignment="1" applyProtection="1">
      <alignment horizontal="center" vertical="center" wrapText="1"/>
    </xf>
    <xf numFmtId="1" fontId="39" fillId="18" borderId="55" xfId="5" applyNumberFormat="1" applyFont="1" applyFill="1" applyBorder="1" applyAlignment="1" applyProtection="1">
      <alignment horizontal="center" vertical="center" wrapText="1"/>
    </xf>
    <xf numFmtId="10" fontId="20" fillId="3" borderId="55" xfId="8" applyNumberFormat="1" applyFont="1" applyFill="1" applyBorder="1" applyAlignment="1" applyProtection="1">
      <alignment horizontal="center" vertical="center" wrapText="1"/>
    </xf>
    <xf numFmtId="0" fontId="39" fillId="18" borderId="2" xfId="0" applyFont="1" applyFill="1" applyBorder="1" applyAlignment="1">
      <alignment horizontal="justify" vertical="top" wrapText="1" readingOrder="1"/>
    </xf>
    <xf numFmtId="9" fontId="39" fillId="18" borderId="2" xfId="0" applyNumberFormat="1" applyFont="1" applyFill="1" applyBorder="1" applyAlignment="1">
      <alignment horizontal="center" vertical="center" wrapText="1" readingOrder="1"/>
    </xf>
    <xf numFmtId="9" fontId="42" fillId="0" borderId="5" xfId="0" applyNumberFormat="1" applyFont="1" applyBorder="1" applyAlignment="1">
      <alignment horizontal="center" vertical="center" wrapText="1"/>
    </xf>
    <xf numFmtId="10" fontId="20" fillId="0" borderId="65" xfId="8" applyNumberFormat="1" applyFont="1" applyBorder="1" applyAlignment="1" applyProtection="1">
      <alignment horizontal="center" vertical="center" wrapText="1"/>
    </xf>
    <xf numFmtId="0" fontId="42" fillId="0" borderId="2" xfId="0" applyFont="1" applyBorder="1" applyAlignment="1">
      <alignment horizontal="justify" vertical="top" wrapText="1"/>
    </xf>
    <xf numFmtId="0" fontId="42" fillId="3" borderId="2" xfId="0" applyFont="1" applyFill="1" applyBorder="1" applyAlignment="1">
      <alignment horizontal="justify" vertical="top" wrapText="1"/>
    </xf>
    <xf numFmtId="0" fontId="14" fillId="12" borderId="7" xfId="1" applyFont="1" applyFill="1" applyBorder="1" applyAlignment="1">
      <alignment vertical="center"/>
    </xf>
    <xf numFmtId="0" fontId="14" fillId="12" borderId="11" xfId="1" applyFont="1" applyFill="1" applyBorder="1" applyAlignment="1">
      <alignment vertical="center"/>
    </xf>
    <xf numFmtId="0" fontId="14" fillId="12" borderId="11" xfId="1" applyFont="1" applyFill="1" applyBorder="1" applyAlignment="1">
      <alignment horizontal="center" vertical="center"/>
    </xf>
    <xf numFmtId="164" fontId="14" fillId="12" borderId="11" xfId="1" applyNumberFormat="1" applyFont="1" applyFill="1" applyBorder="1" applyAlignment="1">
      <alignment horizontal="center" vertical="center"/>
    </xf>
    <xf numFmtId="0" fontId="62" fillId="0" borderId="1" xfId="0" applyFont="1" applyBorder="1" applyAlignment="1">
      <alignment horizontal="center" vertical="center"/>
    </xf>
    <xf numFmtId="0" fontId="62" fillId="0" borderId="1" xfId="0" applyFont="1" applyBorder="1" applyAlignment="1">
      <alignment horizontal="left" vertical="center"/>
    </xf>
    <xf numFmtId="3" fontId="24" fillId="0" borderId="2" xfId="6" applyNumberFormat="1" applyFont="1" applyFill="1" applyBorder="1" applyAlignment="1" applyProtection="1">
      <alignment horizontal="center" vertical="center" wrapText="1"/>
    </xf>
    <xf numFmtId="9" fontId="24" fillId="0" borderId="2" xfId="6" applyFont="1" applyBorder="1" applyAlignment="1" applyProtection="1">
      <alignment horizontal="center" vertical="center" wrapText="1"/>
    </xf>
    <xf numFmtId="9" fontId="24" fillId="0" borderId="6" xfId="6" applyFont="1" applyFill="1" applyBorder="1" applyAlignment="1" applyProtection="1">
      <alignment horizontal="center" vertical="center" wrapText="1"/>
    </xf>
    <xf numFmtId="1" fontId="24" fillId="0" borderId="2" xfId="6" applyNumberFormat="1" applyFont="1" applyFill="1" applyBorder="1" applyAlignment="1" applyProtection="1">
      <alignment horizontal="center" vertical="center" wrapText="1"/>
    </xf>
    <xf numFmtId="1" fontId="24" fillId="5" borderId="2" xfId="6" applyNumberFormat="1" applyFont="1" applyFill="1" applyBorder="1" applyAlignment="1" applyProtection="1">
      <alignment horizontal="center" vertical="center" wrapText="1"/>
    </xf>
    <xf numFmtId="9" fontId="24" fillId="5" borderId="6" xfId="6" applyFont="1" applyFill="1" applyBorder="1" applyAlignment="1" applyProtection="1">
      <alignment horizontal="center" vertical="center" wrapText="1"/>
    </xf>
    <xf numFmtId="9" fontId="24" fillId="0" borderId="2" xfId="6" applyFont="1" applyFill="1" applyBorder="1" applyAlignment="1" applyProtection="1">
      <alignment horizontal="center" vertical="center" wrapText="1"/>
    </xf>
    <xf numFmtId="164" fontId="24" fillId="5" borderId="2" xfId="6" applyNumberFormat="1" applyFont="1" applyFill="1" applyBorder="1" applyAlignment="1" applyProtection="1">
      <alignment horizontal="center" vertical="center" wrapText="1"/>
    </xf>
    <xf numFmtId="9" fontId="24" fillId="5" borderId="2" xfId="6" applyFont="1" applyFill="1" applyBorder="1" applyAlignment="1" applyProtection="1">
      <alignment horizontal="center" vertical="center" wrapText="1"/>
    </xf>
    <xf numFmtId="9" fontId="24" fillId="3" borderId="2" xfId="6" applyFont="1" applyFill="1" applyBorder="1" applyAlignment="1" applyProtection="1">
      <alignment horizontal="center" vertical="center" wrapText="1"/>
    </xf>
    <xf numFmtId="9" fontId="39" fillId="0" borderId="55" xfId="6" applyFont="1" applyBorder="1" applyAlignment="1" applyProtection="1">
      <alignment horizontal="center" vertical="center" wrapText="1"/>
    </xf>
    <xf numFmtId="166" fontId="39" fillId="0" borderId="55" xfId="5" applyNumberFormat="1" applyFont="1" applyBorder="1" applyAlignment="1" applyProtection="1">
      <alignment horizontal="center" vertical="center" wrapText="1"/>
    </xf>
    <xf numFmtId="0" fontId="9" fillId="0" borderId="0" xfId="0" applyFont="1" applyFill="1" applyAlignment="1">
      <alignment vertical="center"/>
    </xf>
    <xf numFmtId="9" fontId="20" fillId="0" borderId="2" xfId="6" applyFont="1" applyBorder="1" applyAlignment="1">
      <alignment horizontal="center" vertical="center" wrapText="1"/>
    </xf>
    <xf numFmtId="0" fontId="39" fillId="0" borderId="55" xfId="0" applyFont="1" applyBorder="1" applyAlignment="1">
      <alignment horizontal="justify" vertical="top" wrapText="1"/>
    </xf>
    <xf numFmtId="0" fontId="39" fillId="2" borderId="2" xfId="1" applyFont="1" applyFill="1" applyBorder="1" applyAlignment="1">
      <alignment horizontal="justify" vertical="top" wrapText="1"/>
    </xf>
    <xf numFmtId="0" fontId="39" fillId="0" borderId="2" xfId="0" applyFont="1" applyBorder="1" applyAlignment="1">
      <alignment horizontal="justify" vertical="top" wrapText="1"/>
    </xf>
    <xf numFmtId="9" fontId="20" fillId="0" borderId="2" xfId="8" applyNumberFormat="1" applyFont="1" applyFill="1" applyBorder="1" applyAlignment="1" applyProtection="1">
      <alignment horizontal="center" vertical="center" wrapText="1"/>
    </xf>
    <xf numFmtId="3" fontId="20" fillId="0" borderId="55" xfId="5" applyNumberFormat="1" applyFont="1" applyBorder="1" applyAlignment="1" applyProtection="1">
      <alignment horizontal="justify" vertical="center" wrapText="1"/>
    </xf>
    <xf numFmtId="9" fontId="20" fillId="18" borderId="2" xfId="6" applyFont="1" applyFill="1" applyBorder="1" applyAlignment="1">
      <alignment horizontal="center" vertical="center" wrapText="1"/>
    </xf>
    <xf numFmtId="164" fontId="20" fillId="0" borderId="2" xfId="6" applyNumberFormat="1" applyFont="1" applyBorder="1" applyAlignment="1">
      <alignment horizontal="center" vertical="center" wrapText="1"/>
    </xf>
    <xf numFmtId="10" fontId="20" fillId="0" borderId="2" xfId="6" applyNumberFormat="1" applyFont="1" applyBorder="1" applyAlignment="1">
      <alignment horizontal="center" vertical="center" wrapText="1"/>
    </xf>
    <xf numFmtId="3" fontId="24" fillId="18" borderId="2" xfId="34" applyNumberFormat="1" applyFont="1" applyFill="1" applyBorder="1" applyAlignment="1">
      <alignment horizontal="center" vertical="center" wrapText="1"/>
    </xf>
    <xf numFmtId="164" fontId="24" fillId="18" borderId="2" xfId="8" applyNumberFormat="1" applyFont="1" applyFill="1" applyBorder="1" applyAlignment="1" applyProtection="1">
      <alignment horizontal="center" vertical="center" wrapText="1"/>
    </xf>
    <xf numFmtId="9" fontId="20" fillId="0" borderId="2" xfId="6" applyNumberFormat="1" applyFont="1" applyBorder="1" applyAlignment="1">
      <alignment horizontal="center" vertical="center" wrapText="1"/>
    </xf>
    <xf numFmtId="10" fontId="20" fillId="18" borderId="2" xfId="34" applyNumberFormat="1" applyFont="1" applyFill="1" applyBorder="1" applyAlignment="1">
      <alignment horizontal="center" vertical="center" wrapText="1"/>
    </xf>
    <xf numFmtId="2" fontId="39" fillId="18" borderId="55" xfId="5" applyNumberFormat="1" applyFont="1" applyFill="1" applyBorder="1" applyAlignment="1" applyProtection="1">
      <alignment horizontal="center" vertical="center" wrapText="1"/>
    </xf>
    <xf numFmtId="4" fontId="20" fillId="18" borderId="2" xfId="34" applyNumberFormat="1" applyFont="1" applyFill="1" applyBorder="1" applyAlignment="1">
      <alignment horizontal="center" vertical="center" wrapText="1"/>
    </xf>
    <xf numFmtId="9" fontId="20" fillId="0" borderId="65" xfId="6" applyFont="1" applyBorder="1" applyAlignment="1" applyProtection="1">
      <alignment horizontal="center" vertical="center" wrapText="1"/>
    </xf>
    <xf numFmtId="4" fontId="20" fillId="0" borderId="65" xfId="8" applyNumberFormat="1" applyFont="1" applyBorder="1" applyAlignment="1" applyProtection="1">
      <alignment horizontal="center" vertical="center" wrapText="1"/>
    </xf>
    <xf numFmtId="4" fontId="20" fillId="18" borderId="65" xfId="8" applyNumberFormat="1" applyFont="1" applyFill="1" applyBorder="1" applyAlignment="1" applyProtection="1">
      <alignment horizontal="center" vertical="center" wrapText="1"/>
    </xf>
    <xf numFmtId="3" fontId="20" fillId="0" borderId="2" xfId="34" applyNumberFormat="1" applyFont="1" applyFill="1" applyBorder="1" applyAlignment="1">
      <alignment horizontal="center" vertical="center" wrapText="1"/>
    </xf>
    <xf numFmtId="0" fontId="14" fillId="12" borderId="2" xfId="1" applyFont="1" applyFill="1" applyBorder="1" applyAlignment="1" applyProtection="1">
      <alignment vertical="center"/>
    </xf>
    <xf numFmtId="9" fontId="20" fillId="18" borderId="65" xfId="6" applyFont="1" applyFill="1" applyBorder="1" applyAlignment="1">
      <alignment horizontal="center" vertical="center" wrapText="1"/>
    </xf>
    <xf numFmtId="14" fontId="76" fillId="34" borderId="6" xfId="0" applyNumberFormat="1" applyFont="1" applyFill="1" applyBorder="1" applyAlignment="1">
      <alignment horizontal="center" vertical="center"/>
    </xf>
    <xf numFmtId="4" fontId="20" fillId="0" borderId="2" xfId="34" applyNumberFormat="1" applyFont="1" applyFill="1" applyBorder="1" applyAlignment="1">
      <alignment horizontal="center" vertical="center" wrapText="1"/>
    </xf>
    <xf numFmtId="164" fontId="21" fillId="18" borderId="67" xfId="34" applyNumberFormat="1" applyFont="1" applyFill="1" applyBorder="1" applyAlignment="1" applyProtection="1">
      <alignment horizontal="center" vertical="center" wrapText="1"/>
    </xf>
    <xf numFmtId="10" fontId="21" fillId="0" borderId="67" xfId="34" applyNumberFormat="1" applyFont="1" applyBorder="1" applyAlignment="1" applyProtection="1">
      <alignment horizontal="center" vertical="center" wrapText="1"/>
    </xf>
    <xf numFmtId="164" fontId="21" fillId="18" borderId="2" xfId="34" applyNumberFormat="1" applyFont="1" applyFill="1" applyBorder="1" applyAlignment="1" applyProtection="1">
      <alignment horizontal="center" vertical="center" wrapText="1"/>
    </xf>
    <xf numFmtId="10" fontId="21" fillId="0" borderId="2" xfId="34" applyNumberFormat="1" applyFont="1" applyBorder="1" applyAlignment="1" applyProtection="1">
      <alignment horizontal="center" vertical="center" wrapText="1"/>
    </xf>
    <xf numFmtId="164" fontId="21"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164" fontId="21" fillId="0" borderId="1" xfId="34" applyNumberFormat="1" applyFont="1" applyFill="1" applyBorder="1" applyAlignment="1" applyProtection="1">
      <alignment horizontal="center" vertical="center" wrapText="1"/>
    </xf>
    <xf numFmtId="0" fontId="21" fillId="0" borderId="1" xfId="34" applyFont="1" applyFill="1" applyBorder="1" applyAlignment="1" applyProtection="1">
      <alignment horizontal="center" vertical="center" wrapText="1"/>
    </xf>
    <xf numFmtId="10" fontId="21" fillId="0" borderId="1" xfId="34" applyNumberFormat="1" applyFont="1" applyFill="1" applyBorder="1" applyAlignment="1" applyProtection="1">
      <alignment horizontal="center" vertical="center" wrapText="1"/>
    </xf>
    <xf numFmtId="10"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0" fontId="21" fillId="0" borderId="1" xfId="20" applyNumberFormat="1" applyFont="1" applyFill="1" applyBorder="1" applyAlignment="1" applyProtection="1">
      <alignment horizontal="center" vertical="center" wrapText="1"/>
    </xf>
    <xf numFmtId="164" fontId="21" fillId="0" borderId="1" xfId="20" applyNumberFormat="1" applyFont="1" applyFill="1" applyBorder="1" applyAlignment="1" applyProtection="1">
      <alignment horizontal="center" vertical="center" wrapText="1"/>
    </xf>
    <xf numFmtId="164" fontId="21" fillId="0" borderId="1" xfId="6" applyNumberFormat="1" applyFont="1" applyFill="1" applyBorder="1" applyAlignment="1" applyProtection="1">
      <alignment horizontal="center" vertical="center" wrapText="1"/>
    </xf>
    <xf numFmtId="0" fontId="21" fillId="0" borderId="1" xfId="20" applyFont="1" applyFill="1" applyBorder="1" applyAlignment="1" applyProtection="1">
      <alignment horizontal="center" vertical="center" wrapText="1"/>
    </xf>
    <xf numFmtId="164" fontId="14" fillId="12" borderId="50" xfId="1" applyNumberFormat="1" applyFont="1" applyFill="1" applyBorder="1" applyAlignment="1">
      <alignment horizontal="center" vertical="center"/>
    </xf>
    <xf numFmtId="164" fontId="14" fillId="12" borderId="51" xfId="1" applyNumberFormat="1" applyFont="1" applyFill="1" applyBorder="1" applyAlignment="1">
      <alignment horizontal="center" vertical="center"/>
    </xf>
    <xf numFmtId="0" fontId="14" fillId="12" borderId="75" xfId="1" applyFont="1" applyFill="1" applyBorder="1" applyAlignment="1">
      <alignment vertical="center"/>
    </xf>
    <xf numFmtId="0" fontId="81" fillId="0" borderId="2" xfId="0" applyFont="1" applyBorder="1" applyAlignment="1">
      <alignment horizontal="right" vertical="center"/>
    </xf>
    <xf numFmtId="0" fontId="39" fillId="0" borderId="1" xfId="0" applyFont="1" applyBorder="1" applyAlignment="1">
      <alignment vertical="center"/>
    </xf>
    <xf numFmtId="0" fontId="15" fillId="0" borderId="0" xfId="0" applyFont="1" applyAlignment="1" applyProtection="1">
      <alignment vertical="center"/>
      <protection hidden="1"/>
    </xf>
    <xf numFmtId="0" fontId="9" fillId="0" borderId="0" xfId="0" applyFont="1" applyAlignment="1" applyProtection="1">
      <alignment vertical="center"/>
      <protection hidden="1"/>
    </xf>
    <xf numFmtId="0" fontId="25" fillId="24" borderId="2" xfId="0" applyFont="1" applyFill="1" applyBorder="1" applyAlignment="1">
      <alignment horizontal="center" vertical="center"/>
    </xf>
    <xf numFmtId="0" fontId="25" fillId="24" borderId="2" xfId="0" applyFont="1" applyFill="1" applyBorder="1" applyAlignment="1">
      <alignment horizontal="center" vertical="center" wrapText="1"/>
    </xf>
    <xf numFmtId="0" fontId="81" fillId="0" borderId="1" xfId="0" applyFont="1" applyBorder="1" applyAlignment="1">
      <alignment horizontal="center" vertical="center"/>
    </xf>
    <xf numFmtId="0" fontId="14" fillId="12" borderId="1" xfId="1" applyFont="1" applyFill="1" applyBorder="1" applyAlignment="1">
      <alignment vertical="center"/>
    </xf>
    <xf numFmtId="3" fontId="39" fillId="0" borderId="55" xfId="0" applyNumberFormat="1" applyFont="1" applyBorder="1" applyAlignment="1">
      <alignment horizontal="justify" vertical="center" wrapText="1" readingOrder="1"/>
    </xf>
    <xf numFmtId="3" fontId="39" fillId="18" borderId="55" xfId="0" applyNumberFormat="1" applyFont="1" applyFill="1" applyBorder="1" applyAlignment="1">
      <alignment horizontal="center" vertical="center" wrapText="1" readingOrder="1"/>
    </xf>
    <xf numFmtId="3" fontId="39" fillId="18" borderId="55" xfId="0" applyNumberFormat="1" applyFont="1" applyFill="1" applyBorder="1" applyAlignment="1">
      <alignment horizontal="justify" vertical="center" wrapText="1" readingOrder="1"/>
    </xf>
    <xf numFmtId="9" fontId="39" fillId="0" borderId="55" xfId="6" applyFont="1" applyBorder="1" applyAlignment="1">
      <alignment horizontal="justify" vertical="center" wrapText="1" readingOrder="1"/>
    </xf>
    <xf numFmtId="9" fontId="39" fillId="18" borderId="55" xfId="6" applyFont="1" applyFill="1" applyBorder="1" applyAlignment="1">
      <alignment horizontal="justify" vertical="center" wrapText="1" readingOrder="1"/>
    </xf>
    <xf numFmtId="164" fontId="37" fillId="12" borderId="78" xfId="1" applyNumberFormat="1" applyFont="1" applyFill="1" applyBorder="1" applyAlignment="1">
      <alignment horizontal="center" vertical="center"/>
    </xf>
    <xf numFmtId="0" fontId="82" fillId="0" borderId="40" xfId="0" applyFont="1" applyBorder="1" applyAlignment="1">
      <alignment horizontal="justify" vertical="center" wrapText="1"/>
    </xf>
    <xf numFmtId="0" fontId="82" fillId="18" borderId="40" xfId="0" applyFont="1" applyFill="1" applyBorder="1" applyAlignment="1">
      <alignment horizontal="justify" vertical="center" wrapText="1"/>
    </xf>
    <xf numFmtId="0" fontId="37" fillId="12" borderId="35" xfId="1" applyFont="1" applyFill="1" applyBorder="1" applyAlignment="1">
      <alignment horizontal="right" vertical="center"/>
    </xf>
    <xf numFmtId="0" fontId="84" fillId="3" borderId="1" xfId="0" applyFont="1" applyFill="1" applyBorder="1" applyAlignment="1">
      <alignment vertical="center"/>
    </xf>
    <xf numFmtId="0" fontId="85" fillId="3" borderId="1" xfId="0" applyFont="1" applyFill="1" applyBorder="1" applyAlignment="1">
      <alignment vertical="center"/>
    </xf>
    <xf numFmtId="0" fontId="84" fillId="3" borderId="1" xfId="0" applyFont="1" applyFill="1" applyBorder="1" applyAlignment="1" applyProtection="1">
      <alignment vertical="center"/>
      <protection hidden="1"/>
    </xf>
    <xf numFmtId="0" fontId="85" fillId="3" borderId="1" xfId="0" applyFont="1" applyFill="1" applyBorder="1" applyAlignment="1" applyProtection="1">
      <alignment vertical="center"/>
      <protection hidden="1"/>
    </xf>
    <xf numFmtId="0" fontId="58" fillId="3" borderId="1" xfId="0" applyFont="1" applyFill="1" applyBorder="1" applyAlignment="1" applyProtection="1">
      <alignment horizontal="justify" vertical="top" wrapText="1" readingOrder="1"/>
      <protection hidden="1"/>
    </xf>
    <xf numFmtId="164" fontId="57" fillId="3" borderId="1" xfId="20" applyNumberFormat="1" applyFont="1" applyFill="1" applyBorder="1" applyAlignment="1" applyProtection="1">
      <alignment horizontal="center" vertical="center" wrapText="1"/>
      <protection hidden="1"/>
    </xf>
    <xf numFmtId="164" fontId="59" fillId="3" borderId="1" xfId="0" applyNumberFormat="1" applyFont="1" applyFill="1" applyBorder="1" applyAlignment="1" applyProtection="1">
      <alignment horizontal="center" vertical="center"/>
      <protection hidden="1"/>
    </xf>
    <xf numFmtId="10" fontId="85" fillId="3" borderId="1" xfId="0" applyNumberFormat="1" applyFont="1" applyFill="1" applyBorder="1" applyAlignment="1">
      <alignment vertical="center"/>
    </xf>
    <xf numFmtId="164" fontId="39" fillId="0" borderId="55" xfId="6" applyNumberFormat="1" applyFont="1" applyBorder="1" applyAlignment="1">
      <alignment horizontal="center" vertical="center" wrapText="1" readingOrder="1"/>
    </xf>
    <xf numFmtId="4" fontId="39" fillId="0" borderId="55" xfId="0" applyNumberFormat="1" applyFont="1" applyBorder="1" applyAlignment="1">
      <alignment horizontal="center" vertical="center" wrapText="1" readingOrder="1"/>
    </xf>
    <xf numFmtId="164" fontId="39" fillId="0" borderId="4" xfId="6" applyNumberFormat="1" applyFont="1" applyBorder="1" applyAlignment="1">
      <alignment horizontal="center" vertical="center" wrapText="1" readingOrder="1"/>
    </xf>
    <xf numFmtId="9" fontId="39" fillId="0" borderId="54" xfId="6" applyFont="1" applyBorder="1" applyAlignment="1">
      <alignment horizontal="center" vertical="center" wrapText="1" readingOrder="1"/>
    </xf>
    <xf numFmtId="9" fontId="39" fillId="18" borderId="54" xfId="6" applyFont="1" applyFill="1" applyBorder="1" applyAlignment="1">
      <alignment horizontal="center" vertical="center" wrapText="1" readingOrder="1"/>
    </xf>
    <xf numFmtId="9" fontId="39" fillId="0" borderId="2" xfId="6" applyFont="1" applyBorder="1" applyAlignment="1">
      <alignment horizontal="center" vertical="center" wrapText="1" readingOrder="1"/>
    </xf>
    <xf numFmtId="164" fontId="39" fillId="0" borderId="2" xfId="6" applyNumberFormat="1" applyFont="1" applyBorder="1" applyAlignment="1">
      <alignment horizontal="center" vertical="center" wrapText="1" readingOrder="1"/>
    </xf>
    <xf numFmtId="9" fontId="39" fillId="18" borderId="2" xfId="6" applyFont="1" applyFill="1" applyBorder="1" applyAlignment="1">
      <alignment horizontal="center" vertical="center" wrapText="1" readingOrder="1"/>
    </xf>
    <xf numFmtId="164" fontId="39" fillId="18" borderId="55" xfId="6" applyNumberFormat="1" applyFont="1" applyFill="1" applyBorder="1" applyAlignment="1">
      <alignment horizontal="center" vertical="center" wrapText="1" readingOrder="1"/>
    </xf>
    <xf numFmtId="0" fontId="28" fillId="0" borderId="1" xfId="0" applyFont="1" applyBorder="1" applyAlignment="1">
      <alignment horizontal="center" vertical="center" wrapText="1"/>
    </xf>
    <xf numFmtId="0" fontId="20" fillId="0" borderId="2" xfId="0" applyFont="1" applyFill="1" applyBorder="1" applyAlignment="1">
      <alignment horizontal="justify" vertical="center" wrapText="1"/>
    </xf>
    <xf numFmtId="0" fontId="28" fillId="0" borderId="1" xfId="0" applyFont="1" applyBorder="1" applyAlignment="1">
      <alignment vertical="center" wrapText="1"/>
    </xf>
    <xf numFmtId="0" fontId="86" fillId="0" borderId="51" xfId="0" applyFont="1" applyBorder="1" applyAlignment="1">
      <alignment horizontal="center" vertical="center" wrapText="1"/>
    </xf>
    <xf numFmtId="3" fontId="39" fillId="0" borderId="55" xfId="57" applyNumberFormat="1" applyFont="1" applyBorder="1" applyAlignment="1" applyProtection="1">
      <alignment horizontal="center" vertical="center" wrapText="1"/>
    </xf>
    <xf numFmtId="0" fontId="44" fillId="0" borderId="55" xfId="7" applyNumberFormat="1" applyFont="1" applyBorder="1" applyAlignment="1" applyProtection="1">
      <alignment horizontal="center" vertical="center" wrapText="1"/>
    </xf>
    <xf numFmtId="164" fontId="21" fillId="0" borderId="3" xfId="6" applyNumberFormat="1" applyFont="1" applyBorder="1" applyAlignment="1" applyProtection="1">
      <alignment horizontal="center" vertical="center" wrapText="1"/>
    </xf>
    <xf numFmtId="164" fontId="21" fillId="0" borderId="3" xfId="6" applyNumberFormat="1" applyFont="1" applyFill="1" applyBorder="1" applyAlignment="1" applyProtection="1">
      <alignment horizontal="center" vertical="center" wrapText="1"/>
    </xf>
    <xf numFmtId="4" fontId="20" fillId="0" borderId="2" xfId="20" applyNumberFormat="1" applyFont="1" applyFill="1" applyBorder="1" applyAlignment="1" applyProtection="1">
      <alignment horizontal="center" vertical="center" wrapText="1"/>
    </xf>
    <xf numFmtId="10" fontId="20" fillId="18" borderId="2" xfId="34" applyNumberFormat="1" applyFont="1" applyFill="1" applyBorder="1" applyAlignment="1" applyProtection="1">
      <alignment horizontal="center" vertical="center" wrapText="1"/>
    </xf>
    <xf numFmtId="164" fontId="24" fillId="0" borderId="0" xfId="6" applyNumberFormat="1" applyFont="1" applyFill="1" applyAlignment="1" applyProtection="1">
      <alignment horizontal="center" vertical="center"/>
      <protection hidden="1"/>
    </xf>
    <xf numFmtId="166" fontId="24" fillId="0" borderId="0" xfId="0" applyNumberFormat="1" applyFont="1" applyFill="1" applyAlignment="1" applyProtection="1">
      <alignment horizontal="center" vertical="center"/>
      <protection hidden="1"/>
    </xf>
    <xf numFmtId="4" fontId="24" fillId="0" borderId="0" xfId="0" applyNumberFormat="1" applyFont="1" applyAlignment="1" applyProtection="1">
      <alignment horizontal="center" vertical="center"/>
      <protection hidden="1"/>
    </xf>
    <xf numFmtId="10" fontId="24" fillId="0" borderId="2" xfId="8" applyNumberFormat="1" applyFont="1" applyFill="1" applyBorder="1" applyAlignment="1" applyProtection="1">
      <alignment horizontal="center" vertical="center"/>
      <protection hidden="1"/>
    </xf>
    <xf numFmtId="164" fontId="72" fillId="0" borderId="2" xfId="0" applyNumberFormat="1" applyFont="1" applyBorder="1" applyAlignment="1">
      <alignment horizontal="center" vertical="center" wrapText="1" readingOrder="1"/>
    </xf>
    <xf numFmtId="164" fontId="73" fillId="0" borderId="2" xfId="0" applyNumberFormat="1" applyFont="1" applyBorder="1" applyAlignment="1">
      <alignment horizontal="center" vertical="center" wrapText="1" readingOrder="1"/>
    </xf>
    <xf numFmtId="0" fontId="24" fillId="44" borderId="0" xfId="0" applyFont="1" applyFill="1"/>
    <xf numFmtId="0" fontId="25" fillId="0" borderId="1" xfId="0" applyFont="1" applyBorder="1"/>
    <xf numFmtId="1" fontId="24" fillId="0" borderId="1" xfId="0" applyNumberFormat="1" applyFont="1" applyBorder="1" applyAlignment="1">
      <alignment horizontal="center" vertical="center"/>
    </xf>
    <xf numFmtId="1" fontId="25" fillId="0" borderId="1" xfId="0" applyNumberFormat="1" applyFont="1" applyFill="1" applyBorder="1" applyAlignment="1">
      <alignment horizontal="center" vertical="center" wrapText="1"/>
    </xf>
    <xf numFmtId="0" fontId="88" fillId="0" borderId="1" xfId="0" applyFont="1" applyFill="1" applyBorder="1" applyAlignment="1">
      <alignment horizontal="center" vertical="center" wrapText="1"/>
    </xf>
    <xf numFmtId="1" fontId="88" fillId="0" borderId="1" xfId="0" applyNumberFormat="1" applyFont="1" applyBorder="1" applyAlignment="1">
      <alignment horizontal="center" vertical="center"/>
    </xf>
    <xf numFmtId="0" fontId="87" fillId="0" borderId="1" xfId="0" applyFont="1" applyBorder="1" applyAlignment="1">
      <alignment horizontal="center" vertical="center"/>
    </xf>
    <xf numFmtId="9" fontId="87" fillId="0" borderId="1" xfId="6" applyFont="1" applyBorder="1" applyAlignment="1">
      <alignment horizontal="center" vertical="center"/>
    </xf>
    <xf numFmtId="0" fontId="87" fillId="0" borderId="1" xfId="0" applyFont="1" applyBorder="1"/>
    <xf numFmtId="3" fontId="39" fillId="0" borderId="55" xfId="0" applyNumberFormat="1" applyFont="1" applyFill="1" applyBorder="1" applyAlignment="1">
      <alignment horizontal="center" vertical="center" wrapText="1" readingOrder="1"/>
    </xf>
    <xf numFmtId="9" fontId="39" fillId="0" borderId="55" xfId="6" applyFont="1" applyFill="1" applyBorder="1" applyAlignment="1">
      <alignment horizontal="center" vertical="center" wrapText="1" readingOrder="1"/>
    </xf>
    <xf numFmtId="0" fontId="89" fillId="0" borderId="2" xfId="0" applyFont="1" applyBorder="1" applyAlignment="1">
      <alignment horizontal="center" vertical="center"/>
    </xf>
    <xf numFmtId="3" fontId="39" fillId="18" borderId="55" xfId="57" applyNumberFormat="1" applyFont="1" applyFill="1" applyBorder="1" applyAlignment="1" applyProtection="1">
      <alignment horizontal="center" vertical="center" wrapText="1"/>
    </xf>
    <xf numFmtId="3" fontId="39" fillId="0" borderId="2" xfId="57" applyNumberFormat="1" applyFont="1" applyFill="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39" fillId="0" borderId="55" xfId="7" applyNumberFormat="1" applyFont="1" applyBorder="1" applyAlignment="1" applyProtection="1">
      <alignment horizontal="center" vertical="center" wrapText="1"/>
    </xf>
    <xf numFmtId="0" fontId="9" fillId="0" borderId="0" xfId="0" applyFont="1" applyFill="1" applyAlignment="1" applyProtection="1">
      <alignment vertical="center"/>
    </xf>
    <xf numFmtId="164" fontId="20" fillId="0" borderId="2" xfId="6" applyNumberFormat="1" applyFont="1" applyFill="1" applyBorder="1" applyAlignment="1" applyProtection="1">
      <alignment horizontal="center" vertical="center" wrapText="1"/>
    </xf>
    <xf numFmtId="164" fontId="20" fillId="0" borderId="2" xfId="20" applyNumberFormat="1" applyFont="1" applyBorder="1" applyAlignment="1" applyProtection="1">
      <alignment horizontal="center" vertical="center" wrapText="1"/>
    </xf>
    <xf numFmtId="9" fontId="21" fillId="7" borderId="3" xfId="6" applyNumberFormat="1" applyFont="1" applyFill="1" applyBorder="1" applyAlignment="1" applyProtection="1">
      <alignment horizontal="center" vertical="center"/>
    </xf>
    <xf numFmtId="164" fontId="24" fillId="0" borderId="2" xfId="6" applyNumberFormat="1" applyFont="1" applyBorder="1" applyAlignment="1" applyProtection="1">
      <alignment horizontal="center" vertical="center"/>
      <protection hidden="1"/>
    </xf>
    <xf numFmtId="0" fontId="90" fillId="0" borderId="0" xfId="0" applyFont="1" applyAlignment="1">
      <alignment vertical="center"/>
    </xf>
    <xf numFmtId="0" fontId="91" fillId="0" borderId="0" xfId="0" applyFont="1" applyAlignment="1">
      <alignment vertical="center"/>
    </xf>
    <xf numFmtId="0" fontId="90" fillId="3" borderId="1" xfId="0" applyFont="1" applyFill="1" applyBorder="1" applyAlignment="1">
      <alignment vertical="center"/>
    </xf>
    <xf numFmtId="0" fontId="91" fillId="3" borderId="1" xfId="0" applyFont="1" applyFill="1" applyBorder="1" applyAlignment="1">
      <alignment vertical="center"/>
    </xf>
    <xf numFmtId="0" fontId="39" fillId="0" borderId="2" xfId="0" applyFont="1" applyBorder="1" applyAlignment="1">
      <alignment horizontal="justify" vertical="center" wrapText="1" readingOrder="1"/>
    </xf>
    <xf numFmtId="0" fontId="39" fillId="18" borderId="2" xfId="0" applyFont="1" applyFill="1" applyBorder="1" applyAlignment="1">
      <alignment horizontal="justify" vertical="center" wrapText="1" readingOrder="1"/>
    </xf>
    <xf numFmtId="0" fontId="42" fillId="0" borderId="2" xfId="0" applyFont="1" applyBorder="1" applyAlignment="1">
      <alignment horizontal="justify" vertical="center" wrapText="1"/>
    </xf>
    <xf numFmtId="0" fontId="42" fillId="3" borderId="2" xfId="0" applyFont="1" applyFill="1" applyBorder="1" applyAlignment="1">
      <alignment horizontal="justify" vertical="center" wrapText="1"/>
    </xf>
    <xf numFmtId="164" fontId="52" fillId="9" borderId="2" xfId="6" applyNumberFormat="1" applyFont="1" applyFill="1" applyBorder="1" applyAlignment="1" applyProtection="1">
      <alignment horizontal="center"/>
    </xf>
    <xf numFmtId="0" fontId="25" fillId="3" borderId="55" xfId="23" applyFont="1" applyFill="1" applyBorder="1" applyAlignment="1">
      <alignment horizontal="left"/>
    </xf>
    <xf numFmtId="0" fontId="25" fillId="3" borderId="80" xfId="23" applyFont="1" applyFill="1" applyBorder="1" applyAlignment="1">
      <alignment horizontal="left"/>
    </xf>
    <xf numFmtId="0" fontId="24" fillId="3" borderId="75" xfId="23" applyFont="1" applyFill="1" applyBorder="1" applyAlignment="1">
      <alignment horizontal="left"/>
    </xf>
    <xf numFmtId="0" fontId="24" fillId="3" borderId="81" xfId="23" applyFont="1" applyFill="1" applyBorder="1" applyAlignment="1">
      <alignment horizontal="center"/>
    </xf>
    <xf numFmtId="0" fontId="25" fillId="9" borderId="2" xfId="23" applyFont="1" applyFill="1" applyBorder="1" applyAlignment="1">
      <alignment horizontal="center" vertical="center"/>
    </xf>
    <xf numFmtId="9" fontId="20" fillId="0" borderId="2" xfId="20" applyNumberFormat="1" applyFont="1" applyFill="1" applyBorder="1" applyAlignment="1" applyProtection="1">
      <alignment horizontal="center" vertical="center" wrapText="1"/>
    </xf>
    <xf numFmtId="9" fontId="25" fillId="0" borderId="62" xfId="0" applyNumberFormat="1" applyFont="1" applyBorder="1" applyAlignment="1">
      <alignment horizontal="center" vertical="center" wrapText="1"/>
    </xf>
    <xf numFmtId="164" fontId="20" fillId="18" borderId="2" xfId="0" applyNumberFormat="1" applyFont="1" applyFill="1" applyBorder="1" applyAlignment="1" applyProtection="1">
      <alignment horizontal="center" vertical="center" wrapText="1"/>
    </xf>
    <xf numFmtId="164" fontId="39" fillId="18" borderId="3" xfId="6" applyNumberFormat="1" applyFont="1" applyFill="1" applyBorder="1" applyAlignment="1" applyProtection="1">
      <alignment horizontal="center" vertical="center"/>
    </xf>
    <xf numFmtId="0" fontId="24" fillId="18" borderId="2" xfId="0" applyFont="1" applyFill="1" applyBorder="1" applyAlignment="1" applyProtection="1">
      <alignment horizontal="justify" vertical="center" wrapText="1"/>
    </xf>
    <xf numFmtId="9" fontId="24" fillId="18" borderId="2" xfId="6" applyFont="1" applyFill="1" applyBorder="1" applyAlignment="1" applyProtection="1">
      <alignment horizontal="center" vertical="center" wrapText="1"/>
    </xf>
    <xf numFmtId="9" fontId="24" fillId="18" borderId="2" xfId="0" applyNumberFormat="1" applyFont="1" applyFill="1" applyBorder="1" applyAlignment="1" applyProtection="1">
      <alignment horizontal="center" vertical="center" wrapText="1"/>
    </xf>
    <xf numFmtId="0" fontId="24" fillId="18" borderId="3" xfId="0" applyFont="1" applyFill="1" applyBorder="1" applyAlignment="1" applyProtection="1">
      <alignment horizontal="center" vertical="center" wrapText="1"/>
    </xf>
    <xf numFmtId="0" fontId="24" fillId="18" borderId="2" xfId="0" applyNumberFormat="1" applyFont="1" applyFill="1" applyBorder="1" applyAlignment="1" applyProtection="1">
      <alignment horizontal="justify" vertical="center" wrapText="1"/>
    </xf>
    <xf numFmtId="0" fontId="24" fillId="18" borderId="2" xfId="20" applyFont="1" applyFill="1" applyBorder="1" applyAlignment="1" applyProtection="1">
      <alignment horizontal="justify" vertical="center" wrapText="1"/>
    </xf>
    <xf numFmtId="0" fontId="24" fillId="18" borderId="2" xfId="0" applyNumberFormat="1" applyFont="1" applyFill="1" applyBorder="1" applyAlignment="1" applyProtection="1">
      <alignment horizontal="center" vertical="center" wrapText="1"/>
    </xf>
    <xf numFmtId="0" fontId="20" fillId="0" borderId="65" xfId="0" applyFont="1" applyBorder="1" applyAlignment="1" applyProtection="1">
      <alignment horizontal="justify" vertical="center" wrapText="1"/>
    </xf>
    <xf numFmtId="0" fontId="20" fillId="0" borderId="55" xfId="36" applyNumberFormat="1" applyFont="1" applyBorder="1" applyAlignment="1" applyProtection="1">
      <alignment horizontal="center" vertical="center" wrapText="1"/>
    </xf>
    <xf numFmtId="9" fontId="42" fillId="18" borderId="2" xfId="5" applyNumberFormat="1" applyFont="1" applyFill="1" applyBorder="1" applyAlignment="1" applyProtection="1">
      <alignment horizontal="center" vertical="center" wrapText="1"/>
    </xf>
    <xf numFmtId="9" fontId="21" fillId="0" borderId="55" xfId="8" applyFont="1" applyBorder="1" applyAlignment="1" applyProtection="1">
      <alignment horizontal="center" vertical="center" wrapText="1"/>
    </xf>
    <xf numFmtId="10" fontId="21" fillId="0" borderId="55" xfId="8" applyNumberFormat="1" applyFont="1" applyBorder="1" applyAlignment="1" applyProtection="1">
      <alignment horizontal="center" vertical="center" wrapText="1"/>
    </xf>
    <xf numFmtId="164" fontId="21" fillId="0" borderId="55" xfId="8" applyNumberFormat="1" applyFont="1" applyBorder="1" applyAlignment="1" applyProtection="1">
      <alignment horizontal="center" vertical="center" wrapText="1"/>
    </xf>
    <xf numFmtId="0" fontId="21" fillId="0" borderId="55" xfId="57" applyNumberFormat="1" applyFont="1" applyBorder="1" applyAlignment="1" applyProtection="1">
      <alignment horizontal="center" vertical="center" wrapText="1"/>
    </xf>
    <xf numFmtId="9" fontId="21" fillId="0" borderId="55" xfId="8" applyFont="1" applyFill="1" applyBorder="1" applyAlignment="1" applyProtection="1">
      <alignment horizontal="center" vertical="center" wrapText="1"/>
    </xf>
    <xf numFmtId="10" fontId="21" fillId="0" borderId="55" xfId="8" applyNumberFormat="1" applyFont="1" applyFill="1" applyBorder="1" applyAlignment="1" applyProtection="1">
      <alignment horizontal="center" vertical="center" wrapText="1"/>
    </xf>
    <xf numFmtId="0" fontId="21" fillId="0" borderId="55" xfId="57" applyNumberFormat="1" applyFont="1" applyFill="1" applyBorder="1" applyAlignment="1" applyProtection="1">
      <alignment horizontal="center" vertical="center" wrapText="1"/>
    </xf>
    <xf numFmtId="0" fontId="39" fillId="0" borderId="55" xfId="36" applyNumberFormat="1" applyFont="1" applyBorder="1" applyAlignment="1" applyProtection="1">
      <alignment horizontal="center" vertical="center" wrapText="1"/>
    </xf>
    <xf numFmtId="0" fontId="39" fillId="0" borderId="55" xfId="36" applyNumberFormat="1" applyFont="1" applyFill="1" applyBorder="1" applyAlignment="1" applyProtection="1">
      <alignment horizontal="center" vertical="center" wrapText="1"/>
    </xf>
    <xf numFmtId="9" fontId="39" fillId="0" borderId="55" xfId="8" applyFont="1" applyBorder="1" applyAlignment="1" applyProtection="1">
      <alignment horizontal="center" vertical="center" wrapText="1"/>
    </xf>
    <xf numFmtId="9" fontId="44" fillId="0" borderId="55" xfId="8" applyFont="1" applyBorder="1" applyAlignment="1" applyProtection="1">
      <alignment horizontal="center" vertical="center" wrapText="1"/>
    </xf>
    <xf numFmtId="0" fontId="44" fillId="0" borderId="55" xfId="7" applyNumberFormat="1" applyFont="1" applyFill="1" applyBorder="1" applyAlignment="1" applyProtection="1">
      <alignment horizontal="center" vertical="center" wrapText="1"/>
    </xf>
    <xf numFmtId="0" fontId="21" fillId="0" borderId="55" xfId="7" applyNumberFormat="1" applyFont="1" applyBorder="1" applyAlignment="1" applyProtection="1">
      <alignment horizontal="center" vertical="center" wrapText="1"/>
    </xf>
    <xf numFmtId="0" fontId="21" fillId="0" borderId="55" xfId="7" applyNumberFormat="1" applyFont="1" applyFill="1" applyBorder="1" applyAlignment="1" applyProtection="1">
      <alignment horizontal="center" vertical="center" wrapText="1"/>
    </xf>
    <xf numFmtId="0" fontId="21" fillId="0" borderId="55" xfId="0" applyFont="1" applyBorder="1" applyAlignment="1">
      <alignment horizontal="center" vertical="center" wrapText="1"/>
    </xf>
    <xf numFmtId="9" fontId="39" fillId="0" borderId="55" xfId="7" applyNumberFormat="1" applyFont="1" applyBorder="1" applyAlignment="1" applyProtection="1">
      <alignment horizontal="center" vertical="center" wrapText="1"/>
    </xf>
    <xf numFmtId="2" fontId="39" fillId="0" borderId="55" xfId="7" applyNumberFormat="1" applyFont="1" applyBorder="1" applyAlignment="1" applyProtection="1">
      <alignment horizontal="center" vertical="center" wrapText="1"/>
    </xf>
    <xf numFmtId="2" fontId="39" fillId="0" borderId="55" xfId="8" applyNumberFormat="1" applyFont="1" applyBorder="1" applyAlignment="1" applyProtection="1">
      <alignment horizontal="center" vertical="center" wrapText="1"/>
    </xf>
    <xf numFmtId="10" fontId="39" fillId="0" borderId="55" xfId="7" applyNumberFormat="1" applyFont="1" applyBorder="1" applyAlignment="1" applyProtection="1">
      <alignment horizontal="center" vertical="center" wrapText="1"/>
    </xf>
    <xf numFmtId="164" fontId="39" fillId="0" borderId="55" xfId="8" applyNumberFormat="1" applyFont="1" applyBorder="1" applyAlignment="1" applyProtection="1">
      <alignment horizontal="center" vertical="center" wrapText="1"/>
    </xf>
    <xf numFmtId="0" fontId="39" fillId="0" borderId="55" xfId="7" applyNumberFormat="1" applyFont="1" applyFill="1" applyBorder="1" applyAlignment="1" applyProtection="1">
      <alignment horizontal="center" vertical="center" wrapText="1"/>
    </xf>
    <xf numFmtId="2" fontId="39" fillId="0" borderId="55" xfId="7" applyNumberFormat="1" applyFont="1" applyFill="1" applyBorder="1" applyAlignment="1" applyProtection="1">
      <alignment horizontal="center" vertical="center" wrapText="1"/>
    </xf>
    <xf numFmtId="10" fontId="39" fillId="3" borderId="55" xfId="36" applyNumberFormat="1" applyFont="1" applyFill="1" applyBorder="1" applyAlignment="1" applyProtection="1">
      <alignment horizontal="center" vertical="center" wrapText="1"/>
    </xf>
    <xf numFmtId="10" fontId="39" fillId="0" borderId="55" xfId="36" applyNumberFormat="1" applyFont="1" applyBorder="1" applyAlignment="1" applyProtection="1">
      <alignment horizontal="center" vertical="center" wrapText="1"/>
    </xf>
    <xf numFmtId="10" fontId="39" fillId="0" borderId="55" xfId="8" applyNumberFormat="1" applyFont="1" applyBorder="1" applyAlignment="1" applyProtection="1">
      <alignment horizontal="center" vertical="center" wrapText="1"/>
    </xf>
    <xf numFmtId="0" fontId="39" fillId="0" borderId="55" xfId="37" applyNumberFormat="1" applyFont="1" applyBorder="1" applyAlignment="1" applyProtection="1">
      <alignment horizontal="center" vertical="center" wrapText="1"/>
    </xf>
    <xf numFmtId="0" fontId="39" fillId="0" borderId="55" xfId="38" applyNumberFormat="1" applyFont="1" applyBorder="1" applyAlignment="1" applyProtection="1">
      <alignment horizontal="center" vertical="center" wrapText="1"/>
    </xf>
    <xf numFmtId="10" fontId="39" fillId="0" borderId="55" xfId="36" applyNumberFormat="1" applyFont="1" applyFill="1" applyBorder="1" applyAlignment="1" applyProtection="1">
      <alignment horizontal="center" vertical="center" wrapText="1"/>
    </xf>
    <xf numFmtId="0" fontId="39" fillId="0" borderId="55" xfId="39" applyNumberFormat="1" applyFont="1" applyBorder="1" applyAlignment="1" applyProtection="1">
      <alignment horizontal="center" vertical="center" wrapText="1"/>
    </xf>
    <xf numFmtId="0" fontId="39" fillId="0" borderId="55" xfId="39" applyNumberFormat="1" applyFont="1" applyFill="1" applyBorder="1" applyAlignment="1" applyProtection="1">
      <alignment horizontal="center" vertical="center" wrapText="1"/>
    </xf>
    <xf numFmtId="0" fontId="39" fillId="0" borderId="55" xfId="40" applyNumberFormat="1" applyFont="1" applyBorder="1" applyAlignment="1" applyProtection="1">
      <alignment horizontal="center" vertical="center" wrapText="1"/>
    </xf>
    <xf numFmtId="3" fontId="39" fillId="7" borderId="3" xfId="8" applyNumberFormat="1" applyFont="1" applyFill="1" applyBorder="1" applyAlignment="1" applyProtection="1">
      <alignment horizontal="center" vertical="center"/>
    </xf>
    <xf numFmtId="164" fontId="39" fillId="0" borderId="55" xfId="8" applyNumberFormat="1" applyFont="1" applyFill="1" applyBorder="1" applyAlignment="1" applyProtection="1">
      <alignment horizontal="center" vertical="center" wrapText="1"/>
    </xf>
    <xf numFmtId="9" fontId="39" fillId="0" borderId="55" xfId="8" applyFont="1" applyFill="1" applyBorder="1" applyAlignment="1" applyProtection="1">
      <alignment horizontal="center" vertical="center" wrapText="1"/>
    </xf>
    <xf numFmtId="9" fontId="39" fillId="7" borderId="55" xfId="8" applyFont="1" applyFill="1" applyBorder="1" applyAlignment="1" applyProtection="1">
      <alignment horizontal="center" vertical="center"/>
    </xf>
    <xf numFmtId="0" fontId="20" fillId="0" borderId="6" xfId="34" applyFont="1" applyBorder="1" applyAlignment="1">
      <alignment horizontal="left" vertical="center" wrapText="1"/>
    </xf>
    <xf numFmtId="9" fontId="39" fillId="0" borderId="55" xfId="36" applyNumberFormat="1" applyFont="1" applyBorder="1" applyAlignment="1" applyProtection="1">
      <alignment horizontal="center" vertical="center" wrapText="1"/>
    </xf>
    <xf numFmtId="9" fontId="20" fillId="0" borderId="55" xfId="7" applyNumberFormat="1" applyFont="1" applyBorder="1" applyAlignment="1" applyProtection="1">
      <alignment horizontal="center" vertical="center" wrapText="1"/>
    </xf>
    <xf numFmtId="0" fontId="20" fillId="0" borderId="55" xfId="7" applyNumberFormat="1" applyFont="1" applyBorder="1" applyAlignment="1" applyProtection="1">
      <alignment horizontal="center" vertical="center" wrapText="1"/>
    </xf>
    <xf numFmtId="0" fontId="20" fillId="0" borderId="55" xfId="7" applyNumberFormat="1" applyFont="1" applyFill="1" applyBorder="1" applyAlignment="1" applyProtection="1">
      <alignment horizontal="center" vertical="center" wrapText="1"/>
    </xf>
    <xf numFmtId="0" fontId="14" fillId="0" borderId="0" xfId="0" applyFont="1"/>
    <xf numFmtId="0" fontId="93" fillId="25" borderId="2" xfId="0" applyFont="1" applyFill="1" applyBorder="1" applyAlignment="1">
      <alignment horizontal="justify" vertical="center"/>
    </xf>
    <xf numFmtId="0" fontId="25" fillId="0" borderId="1" xfId="0" applyFont="1" applyFill="1" applyBorder="1" applyAlignment="1" applyProtection="1">
      <alignment horizontal="center" vertical="center" wrapText="1"/>
      <protection hidden="1"/>
    </xf>
    <xf numFmtId="14" fontId="94" fillId="0" borderId="0" xfId="0" applyNumberFormat="1" applyFont="1" applyAlignment="1">
      <alignment horizontal="center"/>
    </xf>
    <xf numFmtId="0" fontId="69" fillId="0" borderId="0" xfId="0" applyFont="1" applyAlignment="1" applyProtection="1">
      <alignment horizontal="right"/>
      <protection hidden="1"/>
    </xf>
    <xf numFmtId="10" fontId="21" fillId="0" borderId="3" xfId="8" applyNumberFormat="1" applyFont="1" applyBorder="1" applyAlignment="1" applyProtection="1">
      <alignment horizontal="center" vertical="center" wrapText="1"/>
    </xf>
    <xf numFmtId="9" fontId="39" fillId="7" borderId="3" xfId="8" applyNumberFormat="1" applyFont="1" applyFill="1" applyBorder="1" applyAlignment="1" applyProtection="1">
      <alignment horizontal="center" vertical="center"/>
    </xf>
    <xf numFmtId="164" fontId="39" fillId="0" borderId="55" xfId="36" applyNumberFormat="1" applyFont="1" applyBorder="1" applyAlignment="1" applyProtection="1">
      <alignment horizontal="center" vertical="center" wrapText="1"/>
    </xf>
    <xf numFmtId="164" fontId="20" fillId="0" borderId="55" xfId="7" applyNumberFormat="1" applyFont="1" applyBorder="1" applyAlignment="1" applyProtection="1">
      <alignment horizontal="center" vertical="center" wrapText="1"/>
    </xf>
    <xf numFmtId="9" fontId="57" fillId="0" borderId="3" xfId="8" applyFont="1" applyFill="1" applyBorder="1" applyAlignment="1" applyProtection="1">
      <alignment horizontal="center" vertical="center"/>
    </xf>
    <xf numFmtId="164" fontId="57" fillId="0" borderId="3" xfId="8" applyNumberFormat="1" applyFont="1" applyFill="1" applyBorder="1" applyAlignment="1" applyProtection="1">
      <alignment horizontal="center" vertical="center"/>
    </xf>
    <xf numFmtId="0" fontId="25" fillId="25"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43" fillId="0" borderId="1" xfId="0" applyFont="1" applyBorder="1" applyAlignment="1">
      <alignment horizontal="center"/>
    </xf>
    <xf numFmtId="0" fontId="43" fillId="0" borderId="1" xfId="0" applyFont="1" applyBorder="1" applyAlignment="1" applyProtection="1">
      <alignment horizontal="center"/>
      <protection hidden="1"/>
    </xf>
    <xf numFmtId="0" fontId="29" fillId="34" borderId="57" xfId="0" applyFont="1" applyFill="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166" fontId="24" fillId="0" borderId="2" xfId="0" applyNumberFormat="1" applyFont="1" applyFill="1" applyBorder="1" applyAlignment="1" applyProtection="1">
      <alignment horizontal="center" vertical="center"/>
      <protection hidden="1"/>
    </xf>
    <xf numFmtId="164" fontId="20" fillId="0" borderId="2" xfId="6" applyNumberFormat="1" applyFont="1" applyFill="1" applyBorder="1" applyAlignment="1" applyProtection="1">
      <alignment horizontal="center" vertical="center"/>
      <protection hidden="1"/>
    </xf>
    <xf numFmtId="0" fontId="25" fillId="0" borderId="11" xfId="0" applyFont="1" applyBorder="1" applyAlignment="1" applyProtection="1">
      <protection hidden="1"/>
    </xf>
    <xf numFmtId="0" fontId="25" fillId="0" borderId="6" xfId="0" applyFont="1" applyBorder="1" applyAlignment="1" applyProtection="1">
      <protection hidden="1"/>
    </xf>
    <xf numFmtId="0" fontId="25" fillId="0" borderId="2" xfId="0" applyFont="1" applyBorder="1" applyAlignment="1" applyProtection="1">
      <protection hidden="1"/>
    </xf>
    <xf numFmtId="165" fontId="24" fillId="0" borderId="0" xfId="0" applyNumberFormat="1" applyFont="1" applyProtection="1">
      <protection hidden="1"/>
    </xf>
    <xf numFmtId="165" fontId="24" fillId="0" borderId="0" xfId="0" applyNumberFormat="1" applyFont="1" applyAlignment="1">
      <alignment horizontal="center" vertical="center"/>
    </xf>
    <xf numFmtId="0" fontId="25" fillId="9" borderId="76" xfId="0" applyFont="1" applyFill="1" applyBorder="1" applyAlignment="1">
      <alignment vertical="center" wrapText="1"/>
    </xf>
    <xf numFmtId="0" fontId="25" fillId="9" borderId="83" xfId="0" applyFont="1" applyFill="1" applyBorder="1" applyAlignment="1">
      <alignment vertical="center" wrapText="1"/>
    </xf>
    <xf numFmtId="0" fontId="25" fillId="9" borderId="82" xfId="0" applyFont="1" applyFill="1" applyBorder="1" applyAlignment="1">
      <alignment horizontal="right" vertical="center" wrapText="1"/>
    </xf>
    <xf numFmtId="0" fontId="95" fillId="0" borderId="0" xfId="0" applyFont="1" applyAlignment="1">
      <alignment vertical="center"/>
    </xf>
    <xf numFmtId="0" fontId="24" fillId="0" borderId="0" xfId="0" applyFont="1" applyAlignment="1">
      <alignment horizontal="right"/>
    </xf>
    <xf numFmtId="165" fontId="24" fillId="0" borderId="0" xfId="0" applyNumberFormat="1" applyFont="1" applyAlignment="1" applyProtection="1">
      <alignment horizontal="left"/>
      <protection hidden="1"/>
    </xf>
    <xf numFmtId="1" fontId="24" fillId="0" borderId="6" xfId="0" applyNumberFormat="1" applyFont="1" applyFill="1" applyBorder="1" applyAlignment="1">
      <alignment horizontal="center" vertical="center"/>
    </xf>
    <xf numFmtId="10" fontId="20" fillId="0" borderId="2" xfId="8" applyNumberFormat="1" applyFont="1" applyBorder="1" applyAlignment="1">
      <alignment horizontal="center" vertical="center" wrapText="1"/>
    </xf>
    <xf numFmtId="9" fontId="20" fillId="0" borderId="2" xfId="8" applyFont="1" applyBorder="1" applyAlignment="1">
      <alignment horizontal="center" vertical="center" wrapText="1"/>
    </xf>
    <xf numFmtId="164" fontId="20" fillId="0" borderId="2" xfId="8" applyNumberFormat="1" applyFont="1" applyBorder="1" applyAlignment="1">
      <alignment horizontal="center" vertical="center" wrapText="1"/>
    </xf>
    <xf numFmtId="1" fontId="39" fillId="18" borderId="55" xfId="57" applyNumberFormat="1" applyFont="1" applyFill="1" applyBorder="1" applyAlignment="1" applyProtection="1">
      <alignment horizontal="center" vertical="center" wrapText="1"/>
    </xf>
    <xf numFmtId="1" fontId="39" fillId="0" borderId="55" xfId="57" applyNumberFormat="1" applyFont="1" applyBorder="1" applyAlignment="1" applyProtection="1">
      <alignment horizontal="center" vertical="center" wrapText="1"/>
    </xf>
    <xf numFmtId="2" fontId="39" fillId="18" borderId="55" xfId="57" applyNumberFormat="1" applyFont="1" applyFill="1" applyBorder="1" applyAlignment="1" applyProtection="1">
      <alignment horizontal="center" vertical="center" wrapText="1"/>
    </xf>
    <xf numFmtId="164" fontId="8" fillId="0" borderId="2" xfId="0" applyNumberFormat="1" applyFont="1" applyBorder="1" applyAlignment="1" applyProtection="1">
      <alignment horizontal="justify" vertical="center" wrapText="1"/>
      <protection hidden="1"/>
    </xf>
    <xf numFmtId="164" fontId="24" fillId="0" borderId="2" xfId="0" applyNumberFormat="1" applyFont="1" applyFill="1" applyBorder="1" applyAlignment="1">
      <alignment horizontal="center" vertical="center" wrapText="1"/>
    </xf>
    <xf numFmtId="164" fontId="24" fillId="0" borderId="2" xfId="6" applyNumberFormat="1" applyFont="1" applyBorder="1" applyAlignment="1" applyProtection="1">
      <alignment horizontal="center" vertical="center" wrapText="1"/>
    </xf>
    <xf numFmtId="9" fontId="24" fillId="0" borderId="2" xfId="8" applyFont="1" applyBorder="1" applyAlignment="1" applyProtection="1">
      <alignment horizontal="center" vertical="center" wrapText="1"/>
    </xf>
    <xf numFmtId="164" fontId="39" fillId="0" borderId="55" xfId="6" applyNumberFormat="1" applyFont="1" applyBorder="1" applyAlignment="1" applyProtection="1">
      <alignment horizontal="center" vertical="center" wrapText="1"/>
    </xf>
    <xf numFmtId="10" fontId="39" fillId="0" borderId="55" xfId="6" applyNumberFormat="1" applyFont="1" applyBorder="1" applyAlignment="1" applyProtection="1">
      <alignment horizontal="center" vertical="center" wrapText="1"/>
    </xf>
    <xf numFmtId="164" fontId="21" fillId="0" borderId="2" xfId="8" applyNumberFormat="1" applyFont="1" applyFill="1" applyBorder="1" applyAlignment="1" applyProtection="1">
      <alignment horizontal="center" vertical="center"/>
    </xf>
    <xf numFmtId="166" fontId="21" fillId="7" borderId="3" xfId="8" applyNumberFormat="1" applyFont="1" applyFill="1" applyBorder="1" applyAlignment="1" applyProtection="1">
      <alignment horizontal="center" vertical="center"/>
    </xf>
    <xf numFmtId="164" fontId="44" fillId="0" borderId="55" xfId="8" applyNumberFormat="1" applyFont="1" applyBorder="1" applyAlignment="1" applyProtection="1">
      <alignment horizontal="center" vertical="center" wrapText="1"/>
    </xf>
    <xf numFmtId="10" fontId="39" fillId="0" borderId="55" xfId="8" applyNumberFormat="1" applyFont="1" applyFill="1" applyBorder="1" applyAlignment="1" applyProtection="1">
      <alignment horizontal="center" vertical="center" wrapText="1"/>
    </xf>
    <xf numFmtId="9" fontId="20" fillId="3" borderId="2" xfId="6" applyNumberFormat="1" applyFont="1" applyFill="1" applyBorder="1" applyAlignment="1">
      <alignment horizontal="center" vertical="center" wrapText="1"/>
    </xf>
    <xf numFmtId="0" fontId="29" fillId="34" borderId="2" xfId="0" applyFont="1" applyFill="1" applyBorder="1" applyAlignment="1">
      <alignment horizontal="center" vertical="center"/>
    </xf>
    <xf numFmtId="0" fontId="76" fillId="45" borderId="2" xfId="0" applyFont="1" applyFill="1" applyBorder="1" applyAlignment="1">
      <alignment horizontal="center" vertical="center" wrapText="1"/>
    </xf>
    <xf numFmtId="0" fontId="76" fillId="45" borderId="75" xfId="0" applyFont="1" applyFill="1" applyBorder="1" applyAlignment="1">
      <alignment horizontal="center" vertical="center" wrapText="1"/>
    </xf>
    <xf numFmtId="164" fontId="39" fillId="0" borderId="2" xfId="6" applyNumberFormat="1" applyFont="1" applyFill="1" applyBorder="1" applyAlignment="1">
      <alignment horizontal="center" vertical="center" wrapText="1" readingOrder="1"/>
    </xf>
    <xf numFmtId="10" fontId="39" fillId="0" borderId="2" xfId="6" applyNumberFormat="1" applyFont="1" applyFill="1" applyBorder="1" applyAlignment="1">
      <alignment horizontal="center" vertical="center" wrapText="1" readingOrder="1"/>
    </xf>
    <xf numFmtId="10" fontId="39" fillId="0" borderId="2" xfId="6" applyNumberFormat="1" applyFont="1" applyBorder="1" applyAlignment="1">
      <alignment horizontal="center" vertical="center" wrapText="1" readingOrder="1"/>
    </xf>
    <xf numFmtId="10" fontId="20" fillId="0" borderId="65" xfId="34" applyNumberFormat="1" applyFont="1" applyBorder="1" applyAlignment="1">
      <alignment horizontal="center" vertical="center" wrapText="1"/>
    </xf>
    <xf numFmtId="10" fontId="20" fillId="18" borderId="65" xfId="34" applyNumberFormat="1" applyFont="1" applyFill="1" applyBorder="1" applyAlignment="1">
      <alignment horizontal="center" vertical="center" wrapText="1"/>
    </xf>
    <xf numFmtId="10" fontId="20" fillId="18" borderId="2" xfId="8" applyNumberFormat="1" applyFont="1" applyFill="1" applyBorder="1" applyAlignment="1" applyProtection="1">
      <alignment horizontal="center" vertical="center" wrapText="1"/>
    </xf>
    <xf numFmtId="10" fontId="20" fillId="0" borderId="65" xfId="34" applyNumberFormat="1" applyFont="1" applyFill="1" applyBorder="1" applyAlignment="1">
      <alignment horizontal="center" vertical="center" wrapText="1"/>
    </xf>
    <xf numFmtId="10" fontId="20" fillId="3" borderId="65" xfId="34" applyNumberFormat="1" applyFont="1" applyFill="1" applyBorder="1" applyAlignment="1">
      <alignment horizontal="center" vertical="center" wrapText="1"/>
    </xf>
    <xf numFmtId="10" fontId="20" fillId="18" borderId="65" xfId="8" applyNumberFormat="1" applyFont="1" applyFill="1" applyBorder="1" applyAlignment="1" applyProtection="1">
      <alignment horizontal="center" vertical="center" wrapText="1"/>
    </xf>
    <xf numFmtId="10" fontId="39" fillId="0" borderId="55" xfId="6" applyNumberFormat="1" applyFont="1" applyBorder="1" applyAlignment="1">
      <alignment horizontal="center" vertical="center" wrapText="1" readingOrder="1"/>
    </xf>
    <xf numFmtId="10" fontId="39" fillId="18" borderId="55" xfId="6" applyNumberFormat="1" applyFont="1" applyFill="1" applyBorder="1" applyAlignment="1">
      <alignment horizontal="center" vertical="center" wrapText="1" readingOrder="1"/>
    </xf>
    <xf numFmtId="10" fontId="39" fillId="0" borderId="55" xfId="6" applyNumberFormat="1" applyFont="1" applyFill="1" applyBorder="1" applyAlignment="1">
      <alignment horizontal="center" vertical="center" wrapText="1" readingOrder="1"/>
    </xf>
    <xf numFmtId="10" fontId="21" fillId="18" borderId="54" xfId="0" applyNumberFormat="1" applyFont="1" applyFill="1" applyBorder="1" applyAlignment="1" applyProtection="1">
      <alignment horizontal="center" vertical="center" wrapText="1"/>
    </xf>
    <xf numFmtId="10" fontId="21" fillId="18" borderId="54" xfId="34" applyNumberFormat="1" applyFont="1" applyFill="1" applyBorder="1" applyAlignment="1" applyProtection="1">
      <alignment horizontal="center" vertical="center" wrapText="1"/>
    </xf>
    <xf numFmtId="10" fontId="21" fillId="18" borderId="2" xfId="34" applyNumberFormat="1" applyFont="1" applyFill="1" applyBorder="1" applyAlignment="1" applyProtection="1">
      <alignment horizontal="center" vertical="center" wrapText="1"/>
    </xf>
    <xf numFmtId="164" fontId="21" fillId="0" borderId="2" xfId="20" applyNumberFormat="1" applyFont="1" applyBorder="1" applyAlignment="1" applyProtection="1">
      <alignment horizontal="center" vertical="center" wrapText="1"/>
    </xf>
    <xf numFmtId="164" fontId="21" fillId="0" borderId="7" xfId="20" applyNumberFormat="1" applyFont="1" applyBorder="1" applyAlignment="1" applyProtection="1">
      <alignment horizontal="center" vertical="center" wrapText="1"/>
    </xf>
    <xf numFmtId="164" fontId="21" fillId="0" borderId="2" xfId="34" applyNumberFormat="1" applyFont="1" applyBorder="1" applyAlignment="1" applyProtection="1">
      <alignment horizontal="center" vertical="center" wrapText="1"/>
    </xf>
    <xf numFmtId="0" fontId="81" fillId="0" borderId="1" xfId="0" applyFont="1" applyBorder="1" applyAlignment="1">
      <alignment vertical="center"/>
    </xf>
    <xf numFmtId="0" fontId="81" fillId="0" borderId="2" xfId="0" applyFont="1" applyBorder="1" applyAlignment="1">
      <alignment vertical="center"/>
    </xf>
    <xf numFmtId="164" fontId="96" fillId="0" borderId="31" xfId="6" applyNumberFormat="1" applyFont="1" applyFill="1" applyBorder="1" applyAlignment="1" applyProtection="1">
      <alignment horizontal="center" vertical="center" wrapText="1"/>
    </xf>
    <xf numFmtId="164" fontId="96" fillId="18" borderId="3" xfId="6" applyNumberFormat="1" applyFont="1" applyFill="1" applyBorder="1" applyAlignment="1" applyProtection="1">
      <alignment horizontal="center" vertical="center" wrapText="1"/>
    </xf>
    <xf numFmtId="164" fontId="96" fillId="0" borderId="31" xfId="6" applyNumberFormat="1" applyFont="1" applyBorder="1" applyAlignment="1" applyProtection="1">
      <alignment horizontal="center" vertical="center" wrapText="1"/>
    </xf>
    <xf numFmtId="164" fontId="96" fillId="3" borderId="31" xfId="6" applyNumberFormat="1" applyFont="1" applyFill="1" applyBorder="1" applyAlignment="1" applyProtection="1">
      <alignment horizontal="center" vertical="center" wrapText="1"/>
    </xf>
    <xf numFmtId="4" fontId="24" fillId="0" borderId="2" xfId="0" applyNumberFormat="1" applyFont="1" applyBorder="1" applyAlignment="1" applyProtection="1">
      <alignment horizontal="center" vertical="center"/>
      <protection hidden="1"/>
    </xf>
    <xf numFmtId="172" fontId="24" fillId="0" borderId="0" xfId="0" applyNumberFormat="1" applyFont="1" applyAlignment="1" applyProtection="1">
      <alignment horizontal="center" vertical="center"/>
      <protection hidden="1"/>
    </xf>
    <xf numFmtId="10" fontId="20" fillId="0" borderId="65" xfId="6" applyNumberFormat="1" applyFont="1" applyBorder="1" applyAlignment="1">
      <alignment horizontal="center" vertical="center" wrapText="1"/>
    </xf>
    <xf numFmtId="164" fontId="20" fillId="3" borderId="65" xfId="8" applyNumberFormat="1" applyFont="1" applyFill="1" applyBorder="1" applyAlignment="1" applyProtection="1">
      <alignment horizontal="center" vertical="center" wrapText="1"/>
    </xf>
    <xf numFmtId="164" fontId="39" fillId="0" borderId="55" xfId="7" applyNumberFormat="1" applyFont="1" applyBorder="1" applyAlignment="1" applyProtection="1">
      <alignment horizontal="center" vertical="center" wrapText="1"/>
    </xf>
    <xf numFmtId="9" fontId="39" fillId="0" borderId="55" xfId="6" applyFont="1" applyFill="1" applyBorder="1" applyAlignment="1" applyProtection="1">
      <alignment horizontal="center" vertical="center" wrapText="1"/>
    </xf>
    <xf numFmtId="10" fontId="39" fillId="0" borderId="55" xfId="6" applyNumberFormat="1" applyFont="1" applyFill="1" applyBorder="1" applyAlignment="1" applyProtection="1">
      <alignment horizontal="center" vertical="center" wrapText="1"/>
    </xf>
    <xf numFmtId="9" fontId="20" fillId="3" borderId="31" xfId="6" applyNumberFormat="1" applyFont="1" applyFill="1" applyBorder="1" applyAlignment="1" applyProtection="1">
      <alignment horizontal="center" vertical="center" wrapText="1"/>
    </xf>
    <xf numFmtId="9" fontId="24" fillId="0" borderId="2" xfId="8" applyNumberFormat="1" applyFont="1" applyFill="1" applyBorder="1" applyAlignment="1" applyProtection="1">
      <alignment horizontal="center" vertical="center"/>
      <protection hidden="1"/>
    </xf>
    <xf numFmtId="10" fontId="24" fillId="0" borderId="2" xfId="8" applyNumberFormat="1" applyFont="1" applyFill="1" applyBorder="1" applyAlignment="1" applyProtection="1">
      <alignment horizontal="center" vertical="center" wrapText="1"/>
      <protection hidden="1"/>
    </xf>
    <xf numFmtId="10" fontId="21" fillId="0" borderId="3" xfId="8" applyNumberFormat="1" applyFont="1" applyFill="1" applyBorder="1" applyAlignment="1" applyProtection="1">
      <alignment horizontal="center" vertical="center" wrapText="1"/>
    </xf>
    <xf numFmtId="164" fontId="96" fillId="0" borderId="3" xfId="6" applyNumberFormat="1" applyFont="1" applyFill="1" applyBorder="1" applyAlignment="1" applyProtection="1">
      <alignment horizontal="center" vertical="center" wrapText="1"/>
    </xf>
    <xf numFmtId="173" fontId="39" fillId="0" borderId="3" xfId="5" applyNumberFormat="1" applyFont="1" applyBorder="1" applyAlignment="1" applyProtection="1">
      <alignment horizontal="center" vertical="center" wrapText="1"/>
    </xf>
    <xf numFmtId="9" fontId="14" fillId="12" borderId="2" xfId="1" applyNumberFormat="1" applyFont="1" applyFill="1" applyBorder="1" applyAlignment="1" applyProtection="1">
      <alignment horizontal="center" vertical="center"/>
    </xf>
    <xf numFmtId="164" fontId="97" fillId="12" borderId="2" xfId="1" applyNumberFormat="1" applyFont="1" applyFill="1" applyBorder="1" applyAlignment="1" applyProtection="1">
      <alignment horizontal="center" vertical="center"/>
    </xf>
    <xf numFmtId="0" fontId="97" fillId="12" borderId="11" xfId="1" applyFont="1" applyFill="1" applyBorder="1" applyAlignment="1" applyProtection="1">
      <alignment vertical="center"/>
    </xf>
    <xf numFmtId="164" fontId="14" fillId="12" borderId="2" xfId="1"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3" fontId="55" fillId="7" borderId="3" xfId="8" applyNumberFormat="1" applyFont="1" applyFill="1" applyBorder="1" applyAlignment="1" applyProtection="1">
      <alignment horizontal="center" vertical="center"/>
    </xf>
    <xf numFmtId="9" fontId="55" fillId="0" borderId="3" xfId="8" applyFont="1" applyFill="1" applyBorder="1" applyAlignment="1" applyProtection="1">
      <alignment horizontal="center" vertical="center"/>
    </xf>
    <xf numFmtId="2" fontId="39" fillId="0" borderId="55" xfId="36" applyNumberFormat="1" applyFont="1" applyBorder="1" applyAlignment="1" applyProtection="1">
      <alignment horizontal="center" vertical="center" wrapText="1"/>
    </xf>
    <xf numFmtId="164" fontId="42" fillId="0" borderId="2" xfId="6" applyNumberFormat="1" applyFont="1" applyBorder="1" applyAlignment="1" applyProtection="1">
      <alignment horizontal="center" vertical="center" wrapText="1"/>
    </xf>
    <xf numFmtId="9" fontId="42" fillId="0" borderId="3" xfId="6" applyFont="1" applyBorder="1" applyAlignment="1" applyProtection="1">
      <alignment horizontal="center" vertical="center" wrapText="1"/>
    </xf>
    <xf numFmtId="174" fontId="39" fillId="0" borderId="55" xfId="8" applyNumberFormat="1" applyFont="1" applyBorder="1" applyAlignment="1" applyProtection="1">
      <alignment horizontal="center" vertical="center" wrapText="1"/>
    </xf>
    <xf numFmtId="173" fontId="39" fillId="0" borderId="55" xfId="36" applyNumberFormat="1" applyFont="1" applyBorder="1" applyAlignment="1" applyProtection="1">
      <alignment horizontal="center" vertical="center" wrapText="1"/>
    </xf>
    <xf numFmtId="173" fontId="39" fillId="0" borderId="55" xfId="36" applyNumberFormat="1" applyFont="1" applyFill="1" applyBorder="1" applyAlignment="1" applyProtection="1">
      <alignment horizontal="center" vertical="center" wrapText="1"/>
    </xf>
    <xf numFmtId="0" fontId="47" fillId="0" borderId="0" xfId="0" applyFont="1" applyFill="1" applyProtection="1">
      <protection hidden="1"/>
    </xf>
    <xf numFmtId="165" fontId="47" fillId="0" borderId="0" xfId="0" applyNumberFormat="1" applyFont="1" applyAlignment="1" applyProtection="1">
      <alignment horizontal="justify"/>
      <protection hidden="1"/>
    </xf>
    <xf numFmtId="0" fontId="20" fillId="0" borderId="0" xfId="0" applyFont="1" applyFill="1" applyProtection="1">
      <protection hidden="1"/>
    </xf>
    <xf numFmtId="0" fontId="20" fillId="0" borderId="0" xfId="0" applyFont="1" applyFill="1" applyAlignment="1" applyProtection="1">
      <alignment horizontal="justify" vertical="center"/>
      <protection hidden="1"/>
    </xf>
    <xf numFmtId="164" fontId="21" fillId="0" borderId="41" xfId="20" applyNumberFormat="1" applyFont="1" applyBorder="1" applyAlignment="1" applyProtection="1">
      <alignment horizontal="center" vertical="center" wrapText="1"/>
    </xf>
    <xf numFmtId="164" fontId="21" fillId="18" borderId="41" xfId="20" applyNumberFormat="1" applyFont="1" applyFill="1" applyBorder="1" applyAlignment="1" applyProtection="1">
      <alignment horizontal="center" vertical="center" wrapText="1"/>
    </xf>
    <xf numFmtId="164" fontId="21" fillId="18" borderId="41" xfId="6" applyNumberFormat="1" applyFont="1" applyFill="1" applyBorder="1" applyAlignment="1" applyProtection="1">
      <alignment horizontal="center" vertical="center" wrapText="1"/>
    </xf>
    <xf numFmtId="164" fontId="21" fillId="0" borderId="41" xfId="34" applyNumberFormat="1" applyFont="1" applyBorder="1" applyAlignment="1" applyProtection="1">
      <alignment horizontal="center" vertical="center" wrapText="1"/>
    </xf>
    <xf numFmtId="10" fontId="39" fillId="46" borderId="55" xfId="8" applyNumberFormat="1" applyFont="1" applyFill="1" applyBorder="1" applyAlignment="1" applyProtection="1">
      <alignment horizontal="center" vertical="center" wrapText="1"/>
    </xf>
    <xf numFmtId="0" fontId="25" fillId="0" borderId="60" xfId="0" applyFont="1" applyBorder="1" applyAlignment="1">
      <alignment wrapText="1"/>
    </xf>
    <xf numFmtId="165" fontId="24" fillId="0" borderId="0" xfId="0" applyNumberFormat="1" applyFont="1" applyAlignment="1" applyProtection="1">
      <alignment horizontal="center"/>
      <protection hidden="1"/>
    </xf>
    <xf numFmtId="164" fontId="37" fillId="12" borderId="50" xfId="1" applyNumberFormat="1" applyFont="1" applyFill="1" applyBorder="1" applyAlignment="1">
      <alignment horizontal="center" vertical="center"/>
    </xf>
    <xf numFmtId="9" fontId="20" fillId="18" borderId="55" xfId="8" applyNumberFormat="1" applyFont="1" applyFill="1" applyBorder="1" applyAlignment="1" applyProtection="1">
      <alignment horizontal="center" vertical="center" wrapText="1"/>
    </xf>
    <xf numFmtId="0" fontId="25" fillId="25" borderId="2" xfId="0" applyFont="1" applyFill="1" applyBorder="1" applyAlignment="1">
      <alignment horizontal="center" vertical="center" wrapText="1"/>
    </xf>
    <xf numFmtId="10" fontId="21" fillId="0" borderId="4" xfId="20" applyNumberFormat="1" applyFont="1" applyBorder="1" applyAlignment="1" applyProtection="1">
      <alignment horizontal="center" vertical="center" wrapText="1"/>
    </xf>
    <xf numFmtId="0" fontId="14" fillId="8" borderId="75" xfId="0" applyFont="1" applyFill="1" applyBorder="1" applyAlignment="1">
      <alignment horizontal="center" vertical="center" wrapText="1"/>
    </xf>
    <xf numFmtId="0" fontId="14" fillId="8" borderId="2" xfId="0" applyFont="1" applyFill="1" applyBorder="1" applyAlignment="1">
      <alignment horizontal="center" vertical="center" wrapText="1"/>
    </xf>
    <xf numFmtId="10" fontId="21" fillId="0" borderId="2" xfId="20" applyNumberFormat="1" applyFont="1" applyBorder="1" applyAlignment="1" applyProtection="1">
      <alignment horizontal="center" vertical="center" wrapText="1"/>
    </xf>
    <xf numFmtId="3" fontId="39" fillId="0" borderId="55" xfId="0" applyNumberFormat="1" applyFont="1" applyBorder="1" applyAlignment="1">
      <alignment horizontal="center" vertical="center" wrapText="1" readingOrder="1"/>
    </xf>
    <xf numFmtId="0" fontId="39" fillId="0" borderId="55" xfId="0" applyFont="1" applyBorder="1" applyAlignment="1">
      <alignment horizontal="justify" vertical="center" wrapText="1" readingOrder="1"/>
    </xf>
    <xf numFmtId="9" fontId="39" fillId="0" borderId="55" xfId="6" applyFont="1" applyBorder="1" applyAlignment="1">
      <alignment horizontal="center" vertical="center" wrapText="1" readingOrder="1"/>
    </xf>
    <xf numFmtId="0" fontId="39" fillId="18" borderId="55" xfId="0" applyFont="1" applyFill="1" applyBorder="1" applyAlignment="1">
      <alignment horizontal="justify" vertical="center" wrapText="1" readingOrder="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0" fontId="39" fillId="0" borderId="55" xfId="0" applyFont="1" applyBorder="1" applyAlignment="1">
      <alignment horizontal="justify" vertical="top" wrapText="1" readingOrder="1"/>
    </xf>
    <xf numFmtId="0" fontId="39" fillId="0" borderId="5" xfId="0" applyFont="1" applyBorder="1" applyAlignment="1">
      <alignment horizontal="justify" vertical="top" wrapText="1" readingOrder="1"/>
    </xf>
    <xf numFmtId="164" fontId="21" fillId="0" borderId="54" xfId="34" applyNumberFormat="1" applyFont="1" applyBorder="1" applyAlignment="1" applyProtection="1">
      <alignment horizontal="center" vertical="center" wrapText="1"/>
    </xf>
    <xf numFmtId="0" fontId="39" fillId="0" borderId="4" xfId="0" applyFont="1" applyBorder="1" applyAlignment="1">
      <alignment horizontal="justify" vertical="top" wrapText="1" readingOrder="1"/>
    </xf>
    <xf numFmtId="0" fontId="39" fillId="0" borderId="2" xfId="0" applyFont="1" applyBorder="1" applyAlignment="1">
      <alignment horizontal="justify" vertical="top" wrapText="1" readingOrder="1"/>
    </xf>
    <xf numFmtId="164" fontId="20" fillId="18" borderId="55" xfId="8" applyNumberFormat="1" applyFont="1" applyFill="1" applyBorder="1" applyAlignment="1" applyProtection="1">
      <alignment horizontal="center" vertical="center" wrapText="1"/>
    </xf>
    <xf numFmtId="164" fontId="20" fillId="3" borderId="55" xfId="8" applyNumberFormat="1" applyFont="1" applyFill="1" applyBorder="1" applyAlignment="1" applyProtection="1">
      <alignment horizontal="center" vertical="center" wrapText="1"/>
    </xf>
    <xf numFmtId="0" fontId="28" fillId="0" borderId="51" xfId="0" applyFont="1" applyBorder="1" applyAlignment="1">
      <alignment horizontal="center" vertical="center" wrapText="1"/>
    </xf>
    <xf numFmtId="164" fontId="21" fillId="0" borderId="54" xfId="20" applyNumberFormat="1" applyFont="1" applyBorder="1" applyAlignment="1" applyProtection="1">
      <alignment horizontal="center" vertical="center" wrapText="1"/>
    </xf>
    <xf numFmtId="164" fontId="21" fillId="0" borderId="3" xfId="20" applyNumberFormat="1" applyFont="1" applyBorder="1" applyAlignment="1" applyProtection="1">
      <alignment horizontal="center" vertical="center" wrapText="1"/>
    </xf>
    <xf numFmtId="0" fontId="39" fillId="18" borderId="55" xfId="0" applyFont="1" applyFill="1" applyBorder="1" applyAlignment="1">
      <alignment horizontal="justify" vertical="top" wrapText="1" readingOrder="1"/>
    </xf>
    <xf numFmtId="164" fontId="21" fillId="18" borderId="54" xfId="34" applyNumberFormat="1" applyFont="1" applyFill="1" applyBorder="1" applyAlignment="1" applyProtection="1">
      <alignment horizontal="center" vertical="center" wrapText="1"/>
    </xf>
    <xf numFmtId="9" fontId="20" fillId="0" borderId="55"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0" fontId="20" fillId="0" borderId="55" xfId="0" applyFont="1" applyBorder="1" applyAlignment="1">
      <alignment horizontal="justify" vertical="center" wrapText="1"/>
    </xf>
    <xf numFmtId="0" fontId="39" fillId="18" borderId="75" xfId="0" applyFont="1" applyFill="1" applyBorder="1" applyAlignment="1">
      <alignment horizontal="justify" vertical="top" wrapText="1" readingOrder="1"/>
    </xf>
    <xf numFmtId="0" fontId="11" fillId="8" borderId="2" xfId="0" applyFont="1" applyFill="1" applyBorder="1" applyAlignment="1">
      <alignment horizontal="center" vertical="center" wrapText="1"/>
    </xf>
    <xf numFmtId="0" fontId="25" fillId="9" borderId="2" xfId="0" applyFont="1" applyFill="1" applyBorder="1" applyAlignment="1">
      <alignment horizontal="center" vertical="center" wrapText="1"/>
    </xf>
    <xf numFmtId="164" fontId="21" fillId="18" borderId="54" xfId="0" applyNumberFormat="1" applyFont="1" applyFill="1" applyBorder="1" applyAlignment="1" applyProtection="1">
      <alignment horizontal="center" vertical="center" wrapText="1"/>
    </xf>
    <xf numFmtId="164" fontId="21" fillId="18" borderId="54" xfId="6" applyNumberFormat="1" applyFont="1" applyFill="1" applyBorder="1" applyAlignment="1" applyProtection="1">
      <alignment horizontal="center" vertical="center" wrapText="1"/>
    </xf>
    <xf numFmtId="0" fontId="12" fillId="9" borderId="2" xfId="1" applyFont="1" applyFill="1" applyBorder="1" applyAlignment="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0" fontId="21" fillId="0" borderId="8"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0" fontId="25" fillId="9" borderId="2" xfId="0" applyFont="1" applyFill="1" applyBorder="1" applyAlignment="1">
      <alignment horizontal="center" vertical="center"/>
    </xf>
    <xf numFmtId="9" fontId="20" fillId="0" borderId="3" xfId="8" applyFont="1" applyBorder="1" applyAlignment="1" applyProtection="1">
      <alignment horizontal="center" vertical="center" wrapText="1"/>
    </xf>
    <xf numFmtId="0" fontId="20" fillId="0" borderId="3" xfId="0" applyFont="1" applyBorder="1" applyAlignment="1" applyProtection="1">
      <alignment horizontal="justify" vertical="center" wrapText="1"/>
    </xf>
    <xf numFmtId="0" fontId="11" fillId="8" borderId="3"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43" fillId="0" borderId="1" xfId="0" applyFont="1" applyBorder="1" applyAlignment="1">
      <alignment horizontal="center"/>
    </xf>
    <xf numFmtId="0" fontId="25" fillId="9" borderId="82" xfId="0" applyFont="1" applyFill="1" applyBorder="1" applyAlignment="1">
      <alignment horizontal="right" vertical="center" wrapText="1"/>
    </xf>
    <xf numFmtId="0" fontId="29" fillId="34" borderId="57" xfId="0" applyFont="1" applyFill="1" applyBorder="1" applyAlignment="1" applyProtection="1">
      <alignment horizontal="center" vertical="center" wrapText="1"/>
      <protection hidden="1"/>
    </xf>
    <xf numFmtId="0" fontId="43" fillId="0" borderId="1" xfId="0" applyFont="1" applyBorder="1" applyAlignment="1" applyProtection="1">
      <alignment horizontal="center"/>
      <protection hidden="1"/>
    </xf>
    <xf numFmtId="0" fontId="25" fillId="29" borderId="2"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2" fillId="0" borderId="2" xfId="1" applyFont="1" applyFill="1" applyBorder="1" applyAlignment="1" applyProtection="1">
      <alignment horizontal="center" vertical="center" wrapText="1"/>
    </xf>
    <xf numFmtId="0" fontId="20" fillId="0" borderId="1" xfId="1" applyFont="1" applyBorder="1" applyAlignment="1" applyProtection="1">
      <alignment horizontal="left" vertical="center"/>
    </xf>
    <xf numFmtId="0" fontId="20" fillId="0" borderId="3" xfId="0" applyFont="1" applyBorder="1" applyAlignment="1" applyProtection="1">
      <alignment horizontal="center" vertical="center" wrapText="1"/>
    </xf>
    <xf numFmtId="0" fontId="9" fillId="0" borderId="1" xfId="1" applyFont="1" applyBorder="1" applyAlignment="1" applyProtection="1">
      <alignment horizontal="left" vertical="center"/>
    </xf>
    <xf numFmtId="0" fontId="11" fillId="7" borderId="2" xfId="1" applyFont="1" applyFill="1" applyBorder="1" applyAlignment="1" applyProtection="1">
      <alignment horizontal="center" vertical="center" wrapText="1"/>
    </xf>
    <xf numFmtId="0" fontId="20" fillId="0" borderId="55" xfId="0" applyFont="1" applyBorder="1" applyAlignment="1" applyProtection="1">
      <alignment horizontal="justify" vertical="center" wrapText="1"/>
    </xf>
    <xf numFmtId="0" fontId="9" fillId="0" borderId="1" xfId="1" applyFont="1" applyAlignment="1" applyProtection="1">
      <alignment horizontal="left" vertical="center"/>
    </xf>
    <xf numFmtId="0" fontId="20" fillId="0" borderId="1" xfId="1" applyFont="1" applyAlignment="1" applyProtection="1">
      <alignment horizontal="left" vertical="center"/>
    </xf>
    <xf numFmtId="9" fontId="22" fillId="4" borderId="45"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9" fillId="0" borderId="1" xfId="1" applyFont="1" applyAlignment="1">
      <alignment horizontal="left" vertical="center"/>
    </xf>
    <xf numFmtId="0" fontId="12" fillId="0" borderId="2" xfId="1" applyFont="1" applyBorder="1" applyAlignment="1">
      <alignment horizontal="center" vertical="center" wrapText="1"/>
    </xf>
    <xf numFmtId="0" fontId="20" fillId="0" borderId="1" xfId="1" applyFont="1" applyAlignment="1" applyProtection="1">
      <alignment vertical="center"/>
    </xf>
    <xf numFmtId="9" fontId="11" fillId="4" borderId="9" xfId="3" applyFont="1" applyFill="1" applyBorder="1" applyAlignment="1" applyProtection="1">
      <alignment horizontal="center" vertical="center"/>
    </xf>
    <xf numFmtId="9" fontId="22" fillId="4" borderId="49" xfId="3"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20" fillId="3" borderId="6" xfId="34" applyFont="1" applyFill="1" applyBorder="1" applyAlignment="1" applyProtection="1">
      <alignment horizontal="left" vertical="center" wrapText="1"/>
    </xf>
    <xf numFmtId="0" fontId="20" fillId="3" borderId="6" xfId="34" applyFont="1" applyFill="1" applyBorder="1" applyAlignment="1" applyProtection="1">
      <alignment horizontal="center" vertical="center" wrapText="1"/>
    </xf>
    <xf numFmtId="3" fontId="20" fillId="0" borderId="6" xfId="34" applyNumberFormat="1" applyFont="1" applyBorder="1" applyAlignment="1" applyProtection="1">
      <alignment horizontal="center" vertical="center" wrapText="1"/>
    </xf>
    <xf numFmtId="0" fontId="23" fillId="0" borderId="0" xfId="0" applyFont="1" applyAlignment="1" applyProtection="1">
      <alignment vertical="center"/>
    </xf>
    <xf numFmtId="9" fontId="39" fillId="0" borderId="3" xfId="36" applyNumberFormat="1" applyFont="1" applyBorder="1" applyAlignment="1" applyProtection="1">
      <alignment horizontal="center" vertical="center" wrapText="1"/>
    </xf>
    <xf numFmtId="3" fontId="39" fillId="0" borderId="55" xfId="57" applyNumberFormat="1" applyFont="1" applyFill="1" applyBorder="1" applyAlignment="1" applyProtection="1">
      <alignment horizontal="center" vertical="center" wrapText="1"/>
    </xf>
    <xf numFmtId="9" fontId="14" fillId="12" borderId="27" xfId="1" applyNumberFormat="1" applyFont="1" applyFill="1" applyBorder="1" applyAlignment="1">
      <alignment horizontal="center" vertical="center"/>
    </xf>
    <xf numFmtId="9" fontId="14" fillId="12" borderId="50" xfId="1" applyNumberFormat="1" applyFont="1" applyFill="1" applyBorder="1" applyAlignment="1">
      <alignment horizontal="center" vertical="center"/>
    </xf>
    <xf numFmtId="9" fontId="37" fillId="12" borderId="27" xfId="1" applyNumberFormat="1" applyFont="1" applyFill="1" applyBorder="1" applyAlignment="1">
      <alignment horizontal="center" vertical="center"/>
    </xf>
    <xf numFmtId="0" fontId="40" fillId="0" borderId="38" xfId="0" applyFont="1" applyBorder="1" applyAlignment="1" applyProtection="1">
      <alignment horizontal="center"/>
    </xf>
    <xf numFmtId="0" fontId="40" fillId="0" borderId="37" xfId="0" applyFont="1" applyBorder="1" applyAlignment="1" applyProtection="1">
      <alignment horizontal="center"/>
    </xf>
    <xf numFmtId="0" fontId="40" fillId="0" borderId="40" xfId="0" applyFont="1" applyBorder="1" applyAlignment="1" applyProtection="1">
      <alignment horizontal="center"/>
    </xf>
    <xf numFmtId="0" fontId="40" fillId="0" borderId="2" xfId="0" applyFont="1" applyBorder="1" applyAlignment="1" applyProtection="1">
      <alignment horizontal="center"/>
    </xf>
    <xf numFmtId="0" fontId="11" fillId="0" borderId="37"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35" fillId="0" borderId="37" xfId="0" applyFont="1" applyBorder="1" applyAlignment="1" applyProtection="1">
      <alignment horizontal="left" vertical="center"/>
    </xf>
    <xf numFmtId="0" fontId="35" fillId="0" borderId="39" xfId="0" applyFont="1" applyBorder="1" applyAlignment="1" applyProtection="1">
      <alignment horizontal="left" vertical="center"/>
    </xf>
    <xf numFmtId="0" fontId="35" fillId="0" borderId="2" xfId="0" applyFont="1" applyBorder="1" applyAlignment="1" applyProtection="1">
      <alignment horizontal="left" vertical="center" wrapText="1"/>
    </xf>
    <xf numFmtId="0" fontId="35" fillId="0" borderId="41" xfId="0" applyFont="1" applyBorder="1" applyAlignment="1" applyProtection="1">
      <alignment horizontal="left" vertical="center" wrapText="1"/>
    </xf>
    <xf numFmtId="0" fontId="40" fillId="0" borderId="34" xfId="0" applyFont="1" applyBorder="1" applyAlignment="1" applyProtection="1">
      <alignment horizontal="center" wrapText="1"/>
    </xf>
    <xf numFmtId="0" fontId="40" fillId="0" borderId="1" xfId="0" applyFont="1" applyBorder="1" applyAlignment="1" applyProtection="1">
      <alignment horizontal="center" wrapText="1"/>
    </xf>
    <xf numFmtId="0" fontId="40" fillId="0" borderId="36" xfId="0" applyFont="1" applyBorder="1" applyAlignment="1" applyProtection="1">
      <alignment horizontal="center" wrapText="1"/>
    </xf>
    <xf numFmtId="0" fontId="33" fillId="19" borderId="2"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7" xfId="0" applyFont="1" applyBorder="1" applyAlignment="1" applyProtection="1">
      <alignment horizontal="center" vertical="center" wrapText="1"/>
    </xf>
    <xf numFmtId="0" fontId="20" fillId="0" borderId="42"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11" xfId="0" applyFont="1" applyBorder="1" applyAlignment="1" applyProtection="1">
      <alignment horizontal="center" vertical="center"/>
    </xf>
    <xf numFmtId="0" fontId="24" fillId="0" borderId="6" xfId="0" applyFont="1" applyBorder="1" applyAlignment="1" applyProtection="1">
      <alignment horizontal="center" vertical="center"/>
    </xf>
    <xf numFmtId="0" fontId="14" fillId="9" borderId="7" xfId="0" applyFont="1" applyFill="1" applyBorder="1" applyAlignment="1" applyProtection="1">
      <alignment horizontal="center" vertical="center"/>
    </xf>
    <xf numFmtId="0" fontId="14" fillId="9" borderId="42" xfId="0" applyFont="1" applyFill="1" applyBorder="1" applyAlignment="1" applyProtection="1">
      <alignment horizontal="center" vertical="center"/>
    </xf>
    <xf numFmtId="0" fontId="14" fillId="9" borderId="43" xfId="0" applyFont="1" applyFill="1" applyBorder="1" applyAlignment="1" applyProtection="1">
      <alignment horizontal="center" wrapText="1"/>
    </xf>
    <xf numFmtId="0" fontId="14" fillId="9" borderId="11" xfId="0" applyFont="1" applyFill="1" applyBorder="1" applyAlignment="1" applyProtection="1">
      <alignment horizontal="center" wrapText="1"/>
    </xf>
    <xf numFmtId="0" fontId="14" fillId="9" borderId="6" xfId="0" applyFont="1" applyFill="1" applyBorder="1" applyAlignment="1" applyProtection="1">
      <alignment horizontal="center" wrapText="1"/>
    </xf>
    <xf numFmtId="0" fontId="25" fillId="0" borderId="34" xfId="0" applyFont="1" applyBorder="1" applyAlignment="1" applyProtection="1">
      <alignment horizontal="justify" vertical="top" wrapText="1"/>
    </xf>
    <xf numFmtId="0" fontId="25" fillId="0" borderId="1" xfId="0" applyFont="1" applyBorder="1" applyAlignment="1" applyProtection="1">
      <alignment horizontal="justify" vertical="top"/>
    </xf>
    <xf numFmtId="0" fontId="25" fillId="0" borderId="36" xfId="0" applyFont="1" applyBorder="1" applyAlignment="1" applyProtection="1">
      <alignment horizontal="justify" vertical="top"/>
    </xf>
    <xf numFmtId="0" fontId="25" fillId="0" borderId="34" xfId="0" applyFont="1" applyBorder="1" applyAlignment="1" applyProtection="1">
      <alignment horizontal="justify" vertical="top"/>
    </xf>
    <xf numFmtId="0" fontId="14" fillId="0" borderId="34" xfId="0" applyFont="1" applyFill="1" applyBorder="1" applyAlignment="1" applyProtection="1">
      <alignment horizontal="center" wrapText="1"/>
    </xf>
    <xf numFmtId="0" fontId="14" fillId="0" borderId="1" xfId="0" applyFont="1" applyFill="1" applyBorder="1" applyAlignment="1" applyProtection="1">
      <alignment horizontal="center" wrapText="1"/>
    </xf>
    <xf numFmtId="0" fontId="14" fillId="0" borderId="1"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24" fillId="0" borderId="34"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wrapText="1"/>
    </xf>
    <xf numFmtId="0" fontId="20" fillId="0" borderId="36" xfId="0" applyFont="1" applyFill="1" applyBorder="1" applyAlignment="1" applyProtection="1">
      <alignment horizontal="center" vertical="center" wrapText="1"/>
    </xf>
    <xf numFmtId="0" fontId="40" fillId="0" borderId="35" xfId="0" applyFont="1" applyBorder="1" applyAlignment="1" applyProtection="1">
      <alignment horizontal="center" wrapText="1"/>
    </xf>
    <xf numFmtId="0" fontId="40" fillId="0" borderId="27" xfId="0" applyFont="1" applyBorder="1" applyAlignment="1" applyProtection="1">
      <alignment horizontal="center" wrapText="1"/>
    </xf>
    <xf numFmtId="0" fontId="40" fillId="0" borderId="23" xfId="0" applyFont="1" applyBorder="1" applyAlignment="1" applyProtection="1">
      <alignment horizontal="center" wrapText="1"/>
    </xf>
    <xf numFmtId="0" fontId="47" fillId="25" borderId="2" xfId="0" applyFont="1" applyFill="1" applyBorder="1" applyAlignment="1" applyProtection="1">
      <alignment horizontal="center" vertical="center"/>
      <protection hidden="1"/>
    </xf>
    <xf numFmtId="0" fontId="47" fillId="25" borderId="2" xfId="0" applyFont="1" applyFill="1" applyBorder="1" applyAlignment="1" applyProtection="1">
      <alignment horizontal="center" vertical="center" wrapText="1"/>
      <protection hidden="1"/>
    </xf>
    <xf numFmtId="0" fontId="39" fillId="0" borderId="2" xfId="0" applyFont="1" applyBorder="1" applyAlignment="1">
      <alignment horizontal="center" vertical="center"/>
    </xf>
    <xf numFmtId="0" fontId="35" fillId="0" borderId="5" xfId="0" applyFont="1" applyBorder="1" applyAlignment="1">
      <alignment horizontal="center" vertical="center"/>
    </xf>
    <xf numFmtId="0" fontId="35" fillId="22" borderId="54" xfId="0" applyFont="1" applyFill="1" applyBorder="1" applyAlignment="1" applyProtection="1">
      <alignment horizontal="center" vertical="center" wrapText="1"/>
      <protection hidden="1"/>
    </xf>
    <xf numFmtId="0" fontId="35" fillId="22" borderId="11" xfId="0" applyFont="1" applyFill="1" applyBorder="1" applyAlignment="1" applyProtection="1">
      <alignment horizontal="center" vertical="center" wrapText="1"/>
      <protection hidden="1"/>
    </xf>
    <xf numFmtId="0" fontId="35" fillId="23" borderId="7" xfId="0" applyFont="1" applyFill="1" applyBorder="1" applyAlignment="1" applyProtection="1">
      <alignment horizontal="center" vertical="center" wrapText="1"/>
      <protection hidden="1"/>
    </xf>
    <xf numFmtId="0" fontId="35" fillId="23" borderId="11" xfId="0" applyFont="1" applyFill="1" applyBorder="1" applyAlignment="1" applyProtection="1">
      <alignment horizontal="center" vertical="center" wrapText="1"/>
      <protection hidden="1"/>
    </xf>
    <xf numFmtId="0" fontId="35" fillId="23" borderId="6" xfId="0" applyFont="1" applyFill="1" applyBorder="1" applyAlignment="1" applyProtection="1">
      <alignment horizontal="center" vertical="center" wrapText="1"/>
      <protection hidden="1"/>
    </xf>
    <xf numFmtId="0" fontId="63" fillId="21" borderId="7" xfId="0" applyFont="1" applyFill="1" applyBorder="1" applyAlignment="1" applyProtection="1">
      <alignment horizontal="center" vertical="center" wrapText="1"/>
      <protection hidden="1"/>
    </xf>
    <xf numFmtId="0" fontId="63" fillId="21" borderId="11" xfId="0" applyFont="1" applyFill="1" applyBorder="1" applyAlignment="1" applyProtection="1">
      <alignment horizontal="center" vertical="center" wrapText="1"/>
      <protection hidden="1"/>
    </xf>
    <xf numFmtId="0" fontId="25" fillId="25" borderId="2" xfId="0" applyFont="1" applyFill="1" applyBorder="1" applyAlignment="1">
      <alignment horizontal="center" vertical="center" wrapText="1"/>
    </xf>
    <xf numFmtId="0" fontId="86" fillId="0" borderId="2" xfId="0" applyFont="1" applyBorder="1" applyAlignment="1">
      <alignment horizontal="center" vertical="center" wrapText="1"/>
    </xf>
    <xf numFmtId="0" fontId="83" fillId="42" borderId="79" xfId="0" applyFont="1" applyFill="1" applyBorder="1" applyAlignment="1">
      <alignment horizontal="center" vertical="center" wrapText="1"/>
    </xf>
    <xf numFmtId="0" fontId="83" fillId="42" borderId="17" xfId="0" applyFont="1" applyFill="1" applyBorder="1" applyAlignment="1">
      <alignment horizontal="center" vertical="center" wrapText="1"/>
    </xf>
    <xf numFmtId="0" fontId="37" fillId="8" borderId="59"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49" fillId="40" borderId="80" xfId="0" applyFont="1" applyFill="1" applyBorder="1" applyAlignment="1">
      <alignment horizontal="center" vertical="center" wrapText="1"/>
    </xf>
    <xf numFmtId="0" fontId="49" fillId="40" borderId="81" xfId="0" applyFont="1" applyFill="1" applyBorder="1" applyAlignment="1">
      <alignment horizontal="center" vertical="center" wrapText="1"/>
    </xf>
    <xf numFmtId="0" fontId="37" fillId="0" borderId="55" xfId="0" applyFont="1" applyBorder="1" applyAlignment="1">
      <alignment horizontal="center" vertical="center" wrapText="1"/>
    </xf>
    <xf numFmtId="0" fontId="37" fillId="0" borderId="75" xfId="0" applyFont="1" applyBorder="1" applyAlignment="1">
      <alignment horizontal="center" vertical="center" wrapText="1"/>
    </xf>
    <xf numFmtId="0" fontId="76" fillId="43" borderId="1" xfId="0" applyFont="1" applyFill="1" applyBorder="1" applyAlignment="1" applyProtection="1">
      <alignment horizontal="center" vertical="center" wrapText="1"/>
      <protection hidden="1"/>
    </xf>
    <xf numFmtId="0" fontId="76" fillId="3" borderId="1" xfId="0" applyFont="1" applyFill="1" applyBorder="1" applyAlignment="1" applyProtection="1">
      <alignment horizontal="center" vertical="center" wrapText="1"/>
      <protection hidden="1"/>
    </xf>
    <xf numFmtId="0" fontId="43" fillId="0" borderId="55" xfId="0" applyFont="1" applyBorder="1" applyAlignment="1">
      <alignment horizontal="justify" vertical="top" wrapText="1"/>
    </xf>
    <xf numFmtId="0" fontId="43" fillId="0" borderId="4" xfId="0" applyFont="1" applyBorder="1" applyAlignment="1">
      <alignment horizontal="justify" vertical="top" wrapText="1"/>
    </xf>
    <xf numFmtId="0" fontId="43" fillId="0" borderId="5" xfId="0" applyFont="1" applyBorder="1" applyAlignment="1">
      <alignment horizontal="justify" vertical="top" wrapText="1"/>
    </xf>
    <xf numFmtId="10" fontId="21" fillId="0" borderId="55" xfId="34" applyNumberFormat="1" applyFont="1" applyBorder="1" applyAlignment="1" applyProtection="1">
      <alignment horizontal="center" vertical="center" wrapText="1"/>
    </xf>
    <xf numFmtId="10" fontId="21" fillId="0" borderId="4" xfId="34" applyNumberFormat="1" applyFont="1" applyBorder="1" applyAlignment="1" applyProtection="1">
      <alignment horizontal="center" vertical="center" wrapText="1"/>
    </xf>
    <xf numFmtId="10" fontId="21" fillId="0" borderId="77" xfId="34" applyNumberFormat="1" applyFont="1" applyBorder="1" applyAlignment="1" applyProtection="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3" xfId="0" applyFont="1" applyBorder="1" applyAlignment="1">
      <alignment horizontal="center" vertical="center" wrapText="1"/>
    </xf>
    <xf numFmtId="0" fontId="14" fillId="8" borderId="7"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75" xfId="0" applyFont="1" applyFill="1" applyBorder="1" applyAlignment="1">
      <alignment horizontal="center" vertical="center" wrapText="1"/>
    </xf>
    <xf numFmtId="10" fontId="21" fillId="18" borderId="55" xfId="6" applyNumberFormat="1" applyFont="1" applyFill="1" applyBorder="1" applyAlignment="1" applyProtection="1">
      <alignment horizontal="center" vertical="center" wrapText="1"/>
    </xf>
    <xf numFmtId="10" fontId="21" fillId="18" borderId="4" xfId="6" applyNumberFormat="1" applyFont="1" applyFill="1" applyBorder="1" applyAlignment="1" applyProtection="1">
      <alignment horizontal="center" vertical="center" wrapText="1"/>
    </xf>
    <xf numFmtId="10" fontId="21" fillId="18" borderId="75" xfId="6" applyNumberFormat="1" applyFont="1" applyFill="1" applyBorder="1" applyAlignment="1" applyProtection="1">
      <alignment horizontal="center" vertical="center" wrapText="1"/>
    </xf>
    <xf numFmtId="0" fontId="43" fillId="18" borderId="4" xfId="0" applyFont="1" applyFill="1" applyBorder="1" applyAlignment="1">
      <alignment horizontal="justify" vertical="top" wrapText="1"/>
    </xf>
    <xf numFmtId="0" fontId="43" fillId="18" borderId="5" xfId="0" applyFont="1" applyFill="1" applyBorder="1" applyAlignment="1">
      <alignment horizontal="justify" vertical="top" wrapText="1"/>
    </xf>
    <xf numFmtId="10" fontId="21" fillId="0" borderId="55" xfId="20" applyNumberFormat="1" applyFont="1" applyBorder="1" applyAlignment="1" applyProtection="1">
      <alignment horizontal="center" vertical="center" wrapText="1"/>
    </xf>
    <xf numFmtId="10" fontId="21" fillId="0" borderId="4" xfId="20" applyNumberFormat="1" applyFont="1" applyBorder="1" applyAlignment="1" applyProtection="1">
      <alignment horizontal="center" vertical="center" wrapText="1"/>
    </xf>
    <xf numFmtId="10" fontId="21" fillId="0" borderId="75" xfId="20" applyNumberFormat="1" applyFont="1" applyBorder="1" applyAlignment="1" applyProtection="1">
      <alignment horizontal="center" vertical="center" wrapText="1"/>
    </xf>
    <xf numFmtId="10" fontId="21" fillId="18" borderId="55" xfId="20" applyNumberFormat="1" applyFont="1" applyFill="1" applyBorder="1" applyAlignment="1" applyProtection="1">
      <alignment horizontal="center" vertical="center" wrapText="1"/>
    </xf>
    <xf numFmtId="10" fontId="21" fillId="18" borderId="4" xfId="20" applyNumberFormat="1" applyFont="1" applyFill="1" applyBorder="1" applyAlignment="1" applyProtection="1">
      <alignment horizontal="center" vertical="center" wrapText="1"/>
    </xf>
    <xf numFmtId="10" fontId="21" fillId="18" borderId="75" xfId="20" applyNumberFormat="1" applyFont="1" applyFill="1" applyBorder="1" applyAlignment="1" applyProtection="1">
      <alignment horizontal="center" vertical="center" wrapText="1"/>
    </xf>
    <xf numFmtId="0" fontId="43" fillId="18" borderId="55" xfId="0" applyFont="1" applyFill="1" applyBorder="1" applyAlignment="1">
      <alignment horizontal="justify" vertical="top" wrapText="1"/>
    </xf>
    <xf numFmtId="0" fontId="14" fillId="36" borderId="55" xfId="0" applyFont="1" applyFill="1" applyBorder="1" applyAlignment="1">
      <alignment horizontal="center" vertical="center" wrapText="1"/>
    </xf>
    <xf numFmtId="0" fontId="14" fillId="36" borderId="5" xfId="0" applyFont="1" applyFill="1" applyBorder="1" applyAlignment="1">
      <alignment horizontal="center" vertical="center" wrapText="1"/>
    </xf>
    <xf numFmtId="0" fontId="52" fillId="40" borderId="55" xfId="0" applyFont="1" applyFill="1" applyBorder="1" applyAlignment="1">
      <alignment horizontal="center" vertical="center" wrapText="1"/>
    </xf>
    <xf numFmtId="0" fontId="52" fillId="40" borderId="75" xfId="0" applyFont="1" applyFill="1" applyBorder="1" applyAlignment="1">
      <alignment horizontal="center" vertical="center" wrapText="1"/>
    </xf>
    <xf numFmtId="0" fontId="86" fillId="0" borderId="29" xfId="0" applyFont="1" applyBorder="1" applyAlignment="1">
      <alignment horizontal="center" vertical="center" wrapText="1"/>
    </xf>
    <xf numFmtId="0" fontId="86" fillId="0" borderId="35" xfId="0" applyFont="1" applyBorder="1" applyAlignment="1">
      <alignment horizontal="center" vertical="center" wrapText="1"/>
    </xf>
    <xf numFmtId="0" fontId="81" fillId="0" borderId="7" xfId="0" applyFont="1" applyBorder="1" applyAlignment="1">
      <alignment horizontal="center" vertical="center"/>
    </xf>
    <xf numFmtId="0" fontId="81" fillId="0" borderId="6" xfId="0" applyFont="1" applyBorder="1" applyAlignment="1">
      <alignment horizontal="center" vertical="center"/>
    </xf>
    <xf numFmtId="10" fontId="21" fillId="0" borderId="75" xfId="34" applyNumberFormat="1" applyFont="1" applyBorder="1" applyAlignment="1" applyProtection="1">
      <alignment horizontal="center" vertical="center" wrapText="1"/>
    </xf>
    <xf numFmtId="0" fontId="39" fillId="18" borderId="55" xfId="0" applyFont="1" applyFill="1" applyBorder="1" applyAlignment="1">
      <alignment horizontal="justify" vertical="center" wrapText="1" readingOrder="1"/>
    </xf>
    <xf numFmtId="0" fontId="39" fillId="18" borderId="4" xfId="0" applyFont="1" applyFill="1" applyBorder="1" applyAlignment="1">
      <alignment horizontal="justify" vertical="center" wrapText="1" readingOrder="1"/>
    </xf>
    <xf numFmtId="0" fontId="39" fillId="18" borderId="75" xfId="0" applyFont="1" applyFill="1" applyBorder="1" applyAlignment="1">
      <alignment horizontal="justify" vertical="center" wrapText="1" readingOrder="1"/>
    </xf>
    <xf numFmtId="9" fontId="39" fillId="18" borderId="55" xfId="6" applyFont="1" applyFill="1" applyBorder="1" applyAlignment="1">
      <alignment horizontal="center" vertical="center" wrapText="1" readingOrder="1"/>
    </xf>
    <xf numFmtId="9" fontId="39" fillId="18" borderId="4" xfId="6" applyFont="1" applyFill="1" applyBorder="1" applyAlignment="1">
      <alignment horizontal="center" vertical="center" wrapText="1" readingOrder="1"/>
    </xf>
    <xf numFmtId="9" fontId="39" fillId="18" borderId="75" xfId="6" applyFont="1" applyFill="1" applyBorder="1" applyAlignment="1">
      <alignment horizontal="center" vertical="center" wrapText="1" readingOrder="1"/>
    </xf>
    <xf numFmtId="10" fontId="21" fillId="18" borderId="55" xfId="34" applyNumberFormat="1" applyFont="1" applyFill="1" applyBorder="1" applyAlignment="1" applyProtection="1">
      <alignment horizontal="center" vertical="center" wrapText="1"/>
    </xf>
    <xf numFmtId="10" fontId="21" fillId="18" borderId="4" xfId="34" applyNumberFormat="1" applyFont="1" applyFill="1" applyBorder="1" applyAlignment="1" applyProtection="1">
      <alignment horizontal="center" vertical="center" wrapText="1"/>
    </xf>
    <xf numFmtId="10" fontId="21" fillId="18" borderId="75" xfId="34" applyNumberFormat="1" applyFont="1" applyFill="1" applyBorder="1" applyAlignment="1" applyProtection="1">
      <alignment horizontal="center" vertical="center" wrapText="1"/>
    </xf>
    <xf numFmtId="10" fontId="21" fillId="0" borderId="2" xfId="20" applyNumberFormat="1" applyFont="1" applyBorder="1" applyAlignment="1" applyProtection="1">
      <alignment horizontal="center" vertical="center" wrapText="1"/>
    </xf>
    <xf numFmtId="0" fontId="43" fillId="0" borderId="75" xfId="0" applyFont="1" applyBorder="1" applyAlignment="1">
      <alignment horizontal="justify" vertical="top" wrapText="1"/>
    </xf>
    <xf numFmtId="3" fontId="39" fillId="0" borderId="55" xfId="0" applyNumberFormat="1" applyFont="1" applyBorder="1" applyAlignment="1">
      <alignment horizontal="center" vertical="center" wrapText="1" readingOrder="1"/>
    </xf>
    <xf numFmtId="3" fontId="39" fillId="0" borderId="75" xfId="0" applyNumberFormat="1" applyFont="1" applyBorder="1" applyAlignment="1">
      <alignment horizontal="center" vertical="center" wrapText="1" readingOrder="1"/>
    </xf>
    <xf numFmtId="0" fontId="39" fillId="0" borderId="55" xfId="0" applyFont="1" applyBorder="1" applyAlignment="1">
      <alignment horizontal="justify" vertical="center" wrapText="1" readingOrder="1"/>
    </xf>
    <xf numFmtId="0" fontId="39" fillId="0" borderId="75" xfId="0" applyFont="1" applyBorder="1" applyAlignment="1">
      <alignment horizontal="justify" vertical="center" wrapText="1" readingOrder="1"/>
    </xf>
    <xf numFmtId="9" fontId="39" fillId="0" borderId="55" xfId="6" applyFont="1" applyBorder="1" applyAlignment="1">
      <alignment horizontal="center" vertical="center" wrapText="1" readingOrder="1"/>
    </xf>
    <xf numFmtId="9" fontId="39" fillId="0" borderId="75" xfId="6" applyFont="1" applyBorder="1" applyAlignment="1">
      <alignment horizontal="center" vertical="center" wrapText="1" readingOrder="1"/>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14" fillId="8" borderId="67" xfId="0" applyFont="1" applyFill="1" applyBorder="1" applyAlignment="1">
      <alignment horizontal="center" vertical="center" wrapText="1"/>
    </xf>
    <xf numFmtId="0" fontId="14" fillId="36" borderId="65" xfId="0" applyFont="1" applyFill="1" applyBorder="1" applyAlignment="1">
      <alignment horizontal="center" vertical="center" wrapText="1"/>
    </xf>
    <xf numFmtId="0" fontId="52" fillId="40" borderId="2" xfId="0" applyFont="1" applyFill="1" applyBorder="1" applyAlignment="1">
      <alignment horizontal="center" vertical="center" wrapText="1"/>
    </xf>
    <xf numFmtId="0" fontId="14" fillId="8" borderId="5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1" fillId="36" borderId="55" xfId="0" applyFont="1" applyFill="1" applyBorder="1" applyAlignment="1">
      <alignment horizontal="center" vertical="center" wrapText="1"/>
    </xf>
    <xf numFmtId="0" fontId="11" fillId="36" borderId="5" xfId="0" applyFont="1" applyFill="1" applyBorder="1" applyAlignment="1">
      <alignment horizontal="center" vertical="center" wrapText="1"/>
    </xf>
    <xf numFmtId="0" fontId="25" fillId="40" borderId="2" xfId="0" applyFont="1" applyFill="1" applyBorder="1" applyAlignment="1">
      <alignment horizontal="center" vertical="center" wrapText="1"/>
    </xf>
    <xf numFmtId="0" fontId="14" fillId="36" borderId="7" xfId="0" applyFont="1" applyFill="1" applyBorder="1" applyAlignment="1">
      <alignment horizontal="center" vertical="center" wrapText="1"/>
    </xf>
    <xf numFmtId="0" fontId="14" fillId="36" borderId="11" xfId="0" applyFont="1" applyFill="1" applyBorder="1" applyAlignment="1">
      <alignment horizontal="center" vertical="center" wrapText="1"/>
    </xf>
    <xf numFmtId="0" fontId="14" fillId="36" borderId="6" xfId="0" applyFont="1" applyFill="1" applyBorder="1" applyAlignment="1">
      <alignment horizontal="center" vertical="center" wrapText="1"/>
    </xf>
    <xf numFmtId="164" fontId="21" fillId="18" borderId="2" xfId="20" applyNumberFormat="1" applyFont="1" applyFill="1" applyBorder="1" applyAlignment="1" applyProtection="1">
      <alignment horizontal="center" vertical="center" wrapText="1"/>
    </xf>
    <xf numFmtId="164" fontId="21" fillId="18" borderId="4" xfId="20" applyNumberFormat="1" applyFont="1" applyFill="1" applyBorder="1" applyAlignment="1" applyProtection="1">
      <alignment horizontal="center" vertical="center" wrapText="1"/>
    </xf>
    <xf numFmtId="164" fontId="21" fillId="18" borderId="75" xfId="20" applyNumberFormat="1" applyFont="1" applyFill="1" applyBorder="1" applyAlignment="1" applyProtection="1">
      <alignment horizontal="center" vertical="center" wrapText="1"/>
    </xf>
    <xf numFmtId="0" fontId="11" fillId="47" borderId="55" xfId="0" applyFont="1" applyFill="1" applyBorder="1" applyAlignment="1">
      <alignment horizontal="center" vertical="center" wrapText="1"/>
    </xf>
    <xf numFmtId="0" fontId="11" fillId="47" borderId="5" xfId="0" applyFont="1" applyFill="1" applyBorder="1" applyAlignment="1">
      <alignment horizontal="center" vertical="center" wrapText="1"/>
    </xf>
    <xf numFmtId="0" fontId="25" fillId="24" borderId="7" xfId="0" applyFont="1" applyFill="1" applyBorder="1" applyAlignment="1">
      <alignment horizontal="center" vertical="center" wrapText="1"/>
    </xf>
    <xf numFmtId="0" fontId="25" fillId="24" borderId="11" xfId="0" applyFont="1" applyFill="1" applyBorder="1" applyAlignment="1">
      <alignment horizontal="center" vertical="center" wrapText="1"/>
    </xf>
    <xf numFmtId="164" fontId="21" fillId="0" borderId="3" xfId="20" applyNumberFormat="1" applyFont="1" applyBorder="1" applyAlignment="1" applyProtection="1">
      <alignment horizontal="center" vertical="center" wrapText="1"/>
    </xf>
    <xf numFmtId="164" fontId="21" fillId="0" borderId="4" xfId="20" applyNumberFormat="1" applyFont="1" applyBorder="1" applyAlignment="1" applyProtection="1">
      <alignment horizontal="center" vertical="center" wrapText="1"/>
    </xf>
    <xf numFmtId="164" fontId="21" fillId="0" borderId="5" xfId="20" applyNumberFormat="1" applyFont="1" applyBorder="1" applyAlignment="1" applyProtection="1">
      <alignment horizontal="center" vertical="center" wrapText="1"/>
    </xf>
    <xf numFmtId="10" fontId="20" fillId="0" borderId="55" xfId="34" applyNumberFormat="1" applyFont="1" applyBorder="1" applyAlignment="1">
      <alignment horizontal="center" vertical="center" wrapText="1"/>
    </xf>
    <xf numFmtId="10" fontId="20" fillId="0" borderId="4" xfId="34" applyNumberFormat="1" applyFont="1" applyBorder="1" applyAlignment="1">
      <alignment horizontal="center" vertical="center" wrapText="1"/>
    </xf>
    <xf numFmtId="10" fontId="20" fillId="0" borderId="75" xfId="34" applyNumberFormat="1" applyFont="1" applyBorder="1" applyAlignment="1">
      <alignment horizontal="center" vertical="center" wrapText="1"/>
    </xf>
    <xf numFmtId="10" fontId="21" fillId="0" borderId="54" xfId="20" applyNumberFormat="1" applyFont="1" applyBorder="1" applyAlignment="1" applyProtection="1">
      <alignment horizontal="center" vertical="center" wrapText="1"/>
    </xf>
    <xf numFmtId="10" fontId="21" fillId="0" borderId="8" xfId="20" applyNumberFormat="1" applyFont="1" applyBorder="1" applyAlignment="1" applyProtection="1">
      <alignment horizontal="center" vertical="center" wrapText="1"/>
    </xf>
    <xf numFmtId="10" fontId="21" fillId="0" borderId="76" xfId="20" applyNumberFormat="1" applyFont="1" applyBorder="1" applyAlignment="1" applyProtection="1">
      <alignment horizontal="center" vertical="center" wrapText="1"/>
    </xf>
    <xf numFmtId="10" fontId="21" fillId="0" borderId="7" xfId="20" applyNumberFormat="1" applyFont="1" applyBorder="1" applyAlignment="1" applyProtection="1">
      <alignment horizontal="center" vertical="center" wrapText="1"/>
    </xf>
    <xf numFmtId="0" fontId="11" fillId="8" borderId="2" xfId="0" applyFont="1" applyFill="1" applyBorder="1" applyAlignment="1">
      <alignment horizontal="center" vertical="center" wrapText="1"/>
    </xf>
    <xf numFmtId="0" fontId="28" fillId="8" borderId="7"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6" xfId="0" applyFont="1" applyFill="1" applyBorder="1" applyAlignment="1">
      <alignment horizontal="center" vertical="center" wrapText="1"/>
    </xf>
    <xf numFmtId="0" fontId="39" fillId="0" borderId="55" xfId="0" applyFont="1" applyBorder="1" applyAlignment="1">
      <alignment horizontal="justify" vertical="top" wrapText="1" readingOrder="1"/>
    </xf>
    <xf numFmtId="0" fontId="39" fillId="0" borderId="75" xfId="0" applyFont="1" applyBorder="1" applyAlignment="1">
      <alignment horizontal="justify" vertical="top" wrapText="1" readingOrder="1"/>
    </xf>
    <xf numFmtId="164" fontId="21" fillId="18" borderId="54" xfId="0" applyNumberFormat="1" applyFont="1" applyFill="1" applyBorder="1" applyAlignment="1" applyProtection="1">
      <alignment horizontal="center" vertical="center" wrapText="1"/>
    </xf>
    <xf numFmtId="0" fontId="21" fillId="18" borderId="8" xfId="0" applyFont="1" applyFill="1" applyBorder="1" applyAlignment="1" applyProtection="1">
      <alignment horizontal="center" vertical="center" wrapText="1"/>
    </xf>
    <xf numFmtId="0" fontId="21" fillId="18" borderId="76" xfId="0" applyFont="1" applyFill="1" applyBorder="1" applyAlignment="1" applyProtection="1">
      <alignment horizontal="center" vertical="center" wrapText="1"/>
    </xf>
    <xf numFmtId="0" fontId="39" fillId="18" borderId="55" xfId="0" applyFont="1" applyFill="1" applyBorder="1" applyAlignment="1">
      <alignment horizontal="justify" vertical="top" wrapText="1" readingOrder="1"/>
    </xf>
    <xf numFmtId="0" fontId="39" fillId="18" borderId="4" xfId="0" applyFont="1" applyFill="1" applyBorder="1" applyAlignment="1">
      <alignment horizontal="justify" vertical="top" wrapText="1" readingOrder="1"/>
    </xf>
    <xf numFmtId="0" fontId="39" fillId="18" borderId="5" xfId="0" applyFont="1" applyFill="1" applyBorder="1" applyAlignment="1">
      <alignment horizontal="justify" vertical="top" wrapText="1" readingOrder="1"/>
    </xf>
    <xf numFmtId="164" fontId="21" fillId="18" borderId="54" xfId="6" applyNumberFormat="1" applyFont="1" applyFill="1" applyBorder="1" applyAlignment="1" applyProtection="1">
      <alignment horizontal="center" vertical="center" wrapText="1"/>
    </xf>
    <xf numFmtId="164" fontId="21" fillId="18" borderId="8" xfId="6" applyNumberFormat="1" applyFont="1" applyFill="1" applyBorder="1" applyAlignment="1" applyProtection="1">
      <alignment horizontal="center" vertical="center" wrapText="1"/>
    </xf>
    <xf numFmtId="164" fontId="21" fillId="18" borderId="76" xfId="6" applyNumberFormat="1" applyFont="1" applyFill="1" applyBorder="1" applyAlignment="1" applyProtection="1">
      <alignment horizontal="center" vertical="center" wrapText="1"/>
    </xf>
    <xf numFmtId="0" fontId="39" fillId="18" borderId="75" xfId="0" applyFont="1" applyFill="1" applyBorder="1" applyAlignment="1">
      <alignment horizontal="justify" vertical="top" wrapText="1" readingOrder="1"/>
    </xf>
    <xf numFmtId="0" fontId="39" fillId="0" borderId="2" xfId="0" applyFont="1" applyBorder="1" applyAlignment="1">
      <alignment horizontal="justify" vertical="top" wrapText="1" readingOrder="1"/>
    </xf>
    <xf numFmtId="0" fontId="39" fillId="0" borderId="4" xfId="0" applyFont="1" applyBorder="1" applyAlignment="1">
      <alignment horizontal="justify" vertical="top" wrapText="1" readingOrder="1"/>
    </xf>
    <xf numFmtId="164" fontId="20" fillId="18" borderId="55" xfId="8" applyNumberFormat="1" applyFont="1" applyFill="1" applyBorder="1" applyAlignment="1" applyProtection="1">
      <alignment horizontal="center" vertical="center" wrapText="1"/>
    </xf>
    <xf numFmtId="164" fontId="20" fillId="18" borderId="4" xfId="8" applyNumberFormat="1" applyFont="1" applyFill="1" applyBorder="1" applyAlignment="1" applyProtection="1">
      <alignment horizontal="center" vertical="center" wrapText="1"/>
    </xf>
    <xf numFmtId="164" fontId="20" fillId="18" borderId="75" xfId="8" applyNumberFormat="1" applyFont="1" applyFill="1" applyBorder="1" applyAlignment="1" applyProtection="1">
      <alignment horizontal="center" vertical="center" wrapText="1"/>
    </xf>
    <xf numFmtId="164" fontId="20" fillId="0" borderId="55" xfId="8" applyNumberFormat="1" applyFont="1" applyBorder="1" applyAlignment="1" applyProtection="1">
      <alignment horizontal="center" vertical="center" wrapText="1"/>
    </xf>
    <xf numFmtId="164" fontId="20" fillId="0" borderId="4" xfId="8" applyNumberFormat="1" applyFont="1" applyBorder="1" applyAlignment="1" applyProtection="1">
      <alignment horizontal="center" vertical="center" wrapText="1"/>
    </xf>
    <xf numFmtId="164" fontId="20" fillId="0" borderId="75" xfId="8" applyNumberFormat="1" applyFont="1" applyBorder="1" applyAlignment="1" applyProtection="1">
      <alignment horizontal="center" vertical="center" wrapText="1"/>
    </xf>
    <xf numFmtId="0" fontId="28" fillId="36" borderId="7" xfId="0" applyFont="1" applyFill="1" applyBorder="1" applyAlignment="1">
      <alignment horizontal="center" vertical="center" wrapText="1"/>
    </xf>
    <xf numFmtId="0" fontId="28" fillId="36" borderId="11" xfId="0" applyFont="1" applyFill="1" applyBorder="1" applyAlignment="1">
      <alignment horizontal="center" vertical="center" wrapText="1"/>
    </xf>
    <xf numFmtId="0" fontId="28" fillId="36" borderId="6" xfId="0"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38" borderId="7" xfId="0" applyFont="1" applyFill="1" applyBorder="1" applyAlignment="1">
      <alignment horizontal="center" vertical="center" wrapText="1"/>
    </xf>
    <xf numFmtId="0" fontId="11" fillId="38" borderId="6"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37" borderId="55"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41" borderId="3" xfId="0" applyFont="1" applyFill="1" applyBorder="1" applyAlignment="1" applyProtection="1">
      <alignment horizontal="center" vertical="center" wrapText="1"/>
    </xf>
    <xf numFmtId="0" fontId="11" fillId="41" borderId="5" xfId="0" applyFont="1" applyFill="1" applyBorder="1" applyAlignment="1" applyProtection="1">
      <alignment horizontal="center" vertical="center" wrapText="1"/>
    </xf>
    <xf numFmtId="0" fontId="11" fillId="20" borderId="75" xfId="0" applyFont="1" applyFill="1" applyBorder="1" applyAlignment="1">
      <alignment horizontal="center" vertical="center" wrapText="1"/>
    </xf>
    <xf numFmtId="9" fontId="39" fillId="18" borderId="55" xfId="0" applyNumberFormat="1" applyFont="1" applyFill="1" applyBorder="1" applyAlignment="1">
      <alignment horizontal="center" vertical="center" wrapText="1" readingOrder="1"/>
    </xf>
    <xf numFmtId="9" fontId="39" fillId="18" borderId="5" xfId="0" applyNumberFormat="1" applyFont="1" applyFill="1" applyBorder="1" applyAlignment="1">
      <alignment horizontal="center" vertical="center" wrapText="1" readingOrder="1"/>
    </xf>
    <xf numFmtId="1" fontId="39" fillId="18" borderId="55" xfId="0" applyNumberFormat="1" applyFont="1" applyFill="1" applyBorder="1" applyAlignment="1">
      <alignment horizontal="center" vertical="center" wrapText="1" readingOrder="1"/>
    </xf>
    <xf numFmtId="1" fontId="39" fillId="18" borderId="5" xfId="0" applyNumberFormat="1" applyFont="1" applyFill="1" applyBorder="1" applyAlignment="1">
      <alignment horizontal="center" vertical="center" wrapText="1" readingOrder="1"/>
    </xf>
    <xf numFmtId="1" fontId="39" fillId="18" borderId="4" xfId="0" applyNumberFormat="1" applyFont="1" applyFill="1" applyBorder="1" applyAlignment="1">
      <alignment horizontal="center" vertical="center" wrapText="1" readingOrder="1"/>
    </xf>
    <xf numFmtId="9" fontId="39" fillId="18" borderId="4" xfId="0" applyNumberFormat="1" applyFont="1" applyFill="1" applyBorder="1" applyAlignment="1">
      <alignment horizontal="center" vertical="center" wrapText="1" readingOrder="1"/>
    </xf>
    <xf numFmtId="0" fontId="39" fillId="0" borderId="5" xfId="0" applyFont="1" applyBorder="1" applyAlignment="1">
      <alignment horizontal="justify" vertical="top" wrapText="1" readingOrder="1"/>
    </xf>
    <xf numFmtId="0" fontId="25" fillId="9" borderId="2" xfId="0" applyFont="1" applyFill="1" applyBorder="1" applyAlignment="1">
      <alignment horizontal="center" vertical="center" wrapText="1"/>
    </xf>
    <xf numFmtId="0" fontId="25" fillId="9" borderId="55"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1" fontId="39" fillId="0" borderId="55" xfId="0" applyNumberFormat="1" applyFont="1" applyBorder="1" applyAlignment="1">
      <alignment horizontal="center" vertical="center" wrapText="1" readingOrder="1"/>
    </xf>
    <xf numFmtId="1" fontId="39" fillId="0" borderId="5" xfId="0" applyNumberFormat="1" applyFont="1" applyBorder="1" applyAlignment="1">
      <alignment horizontal="center" vertical="center" wrapText="1" readingOrder="1"/>
    </xf>
    <xf numFmtId="9" fontId="39" fillId="0" borderId="55" xfId="0" applyNumberFormat="1" applyFont="1" applyBorder="1" applyAlignment="1">
      <alignment horizontal="center" vertical="center" wrapText="1" readingOrder="1"/>
    </xf>
    <xf numFmtId="9" fontId="39" fillId="0" borderId="5" xfId="0" applyNumberFormat="1" applyFont="1" applyBorder="1" applyAlignment="1">
      <alignment horizontal="center" vertical="center" wrapText="1" readingOrder="1"/>
    </xf>
    <xf numFmtId="9" fontId="39" fillId="0" borderId="55" xfId="0" applyNumberFormat="1" applyFont="1" applyBorder="1" applyAlignment="1">
      <alignment horizontal="center" vertical="top" wrapText="1" readingOrder="1"/>
    </xf>
    <xf numFmtId="9" fontId="39" fillId="0" borderId="4" xfId="0" applyNumberFormat="1" applyFont="1" applyBorder="1" applyAlignment="1">
      <alignment horizontal="center" vertical="top" wrapText="1" readingOrder="1"/>
    </xf>
    <xf numFmtId="9" fontId="39" fillId="0" borderId="75" xfId="0" applyNumberFormat="1" applyFont="1" applyBorder="1" applyAlignment="1">
      <alignment horizontal="center" vertical="top" wrapText="1" readingOrder="1"/>
    </xf>
    <xf numFmtId="9" fontId="39" fillId="18" borderId="55" xfId="0" applyNumberFormat="1" applyFont="1" applyFill="1" applyBorder="1" applyAlignment="1">
      <alignment horizontal="center" vertical="top" wrapText="1" readingOrder="1"/>
    </xf>
    <xf numFmtId="9" fontId="39" fillId="18" borderId="4" xfId="0" applyNumberFormat="1" applyFont="1" applyFill="1" applyBorder="1" applyAlignment="1">
      <alignment horizontal="center" vertical="top" wrapText="1" readingOrder="1"/>
    </xf>
    <xf numFmtId="9" fontId="39" fillId="18" borderId="5" xfId="0" applyNumberFormat="1" applyFont="1" applyFill="1" applyBorder="1" applyAlignment="1">
      <alignment horizontal="center" vertical="top" wrapText="1" readingOrder="1"/>
    </xf>
    <xf numFmtId="164" fontId="21" fillId="18" borderId="54" xfId="34" applyNumberFormat="1" applyFont="1" applyFill="1" applyBorder="1" applyAlignment="1" applyProtection="1">
      <alignment horizontal="center" vertical="center" wrapText="1"/>
    </xf>
    <xf numFmtId="0" fontId="21" fillId="18" borderId="8" xfId="34" applyFont="1" applyFill="1" applyBorder="1" applyAlignment="1" applyProtection="1">
      <alignment horizontal="center" vertical="center" wrapText="1"/>
    </xf>
    <xf numFmtId="0" fontId="21" fillId="18" borderId="76" xfId="34" applyFont="1" applyFill="1" applyBorder="1" applyAlignment="1" applyProtection="1">
      <alignment horizontal="center" vertical="center" wrapText="1"/>
    </xf>
    <xf numFmtId="0" fontId="20" fillId="0" borderId="55" xfId="0" applyFont="1" applyFill="1" applyBorder="1" applyAlignment="1">
      <alignment horizontal="justify" vertical="center" wrapText="1"/>
    </xf>
    <xf numFmtId="0" fontId="20" fillId="0" borderId="5" xfId="0" applyFont="1" applyFill="1" applyBorder="1" applyAlignment="1">
      <alignment horizontal="justify" vertical="center" wrapText="1"/>
    </xf>
    <xf numFmtId="9" fontId="20" fillId="0" borderId="55" xfId="8" applyFont="1" applyBorder="1" applyAlignment="1" applyProtection="1">
      <alignment horizontal="center" vertical="center" wrapText="1"/>
    </xf>
    <xf numFmtId="9" fontId="20" fillId="0" borderId="5" xfId="8" applyFont="1" applyBorder="1" applyAlignment="1" applyProtection="1">
      <alignment horizontal="center" vertical="center" wrapText="1"/>
    </xf>
    <xf numFmtId="10" fontId="20" fillId="0" borderId="5" xfId="34" applyNumberFormat="1" applyFont="1" applyBorder="1" applyAlignment="1">
      <alignment horizontal="center" vertical="center" wrapText="1"/>
    </xf>
    <xf numFmtId="0" fontId="39" fillId="18" borderId="4" xfId="0" applyFont="1" applyFill="1" applyBorder="1" applyAlignment="1">
      <alignment horizontal="center" vertical="top" wrapText="1" readingOrder="1"/>
    </xf>
    <xf numFmtId="0" fontId="39" fillId="18" borderId="5" xfId="0" applyFont="1" applyFill="1" applyBorder="1" applyAlignment="1">
      <alignment horizontal="center" vertical="top" wrapText="1" readingOrder="1"/>
    </xf>
    <xf numFmtId="0" fontId="20" fillId="0" borderId="55"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5" xfId="0" applyFont="1" applyBorder="1" applyAlignment="1">
      <alignment horizontal="justify" vertical="center" wrapText="1"/>
    </xf>
    <xf numFmtId="9" fontId="39" fillId="0" borderId="5" xfId="0" applyNumberFormat="1" applyFont="1" applyBorder="1" applyAlignment="1">
      <alignment horizontal="center" vertical="top" wrapText="1" readingOrder="1"/>
    </xf>
    <xf numFmtId="9" fontId="20" fillId="0" borderId="4" xfId="8" applyFont="1" applyBorder="1" applyAlignment="1" applyProtection="1">
      <alignment horizontal="center" vertical="center" wrapText="1"/>
    </xf>
    <xf numFmtId="9" fontId="20" fillId="0" borderId="75" xfId="8" applyFont="1" applyBorder="1" applyAlignment="1" applyProtection="1">
      <alignment horizontal="center" vertical="center" wrapText="1"/>
    </xf>
    <xf numFmtId="0" fontId="42" fillId="0" borderId="55" xfId="0" applyFont="1" applyBorder="1" applyAlignment="1">
      <alignment horizontal="justify" vertical="center" wrapText="1"/>
    </xf>
    <xf numFmtId="0" fontId="42" fillId="0" borderId="75" xfId="0" applyFont="1" applyBorder="1" applyAlignment="1">
      <alignment horizontal="justify"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164" fontId="21" fillId="0" borderId="54" xfId="20" applyNumberFormat="1" applyFont="1" applyBorder="1" applyAlignment="1" applyProtection="1">
      <alignment horizontal="center" vertical="center" wrapText="1"/>
    </xf>
    <xf numFmtId="0" fontId="21" fillId="0" borderId="8" xfId="20" applyFont="1" applyBorder="1" applyAlignment="1" applyProtection="1">
      <alignment horizontal="center" vertical="center" wrapText="1"/>
    </xf>
    <xf numFmtId="0" fontId="21" fillId="0" borderId="76" xfId="20" applyFont="1" applyBorder="1" applyAlignment="1" applyProtection="1">
      <alignment horizontal="center" vertical="center" wrapText="1"/>
    </xf>
    <xf numFmtId="0" fontId="39" fillId="0" borderId="5" xfId="0" applyFont="1" applyBorder="1" applyAlignment="1">
      <alignment horizontal="center" vertical="center" wrapText="1" readingOrder="1"/>
    </xf>
    <xf numFmtId="9" fontId="39" fillId="0" borderId="4" xfId="0" applyNumberFormat="1" applyFont="1" applyBorder="1" applyAlignment="1">
      <alignment horizontal="center" vertical="center" wrapText="1" readingOrder="1"/>
    </xf>
    <xf numFmtId="0" fontId="39" fillId="0" borderId="4" xfId="0" applyFont="1" applyBorder="1" applyAlignment="1">
      <alignment horizontal="center" vertical="center" wrapText="1" readingOrder="1"/>
    </xf>
    <xf numFmtId="3" fontId="39" fillId="0" borderId="55" xfId="0" applyNumberFormat="1" applyFont="1" applyBorder="1" applyAlignment="1">
      <alignment horizontal="center" vertical="top" wrapText="1" readingOrder="1"/>
    </xf>
    <xf numFmtId="3" fontId="39" fillId="0" borderId="4" xfId="0" applyNumberFormat="1" applyFont="1" applyBorder="1" applyAlignment="1">
      <alignment horizontal="center" vertical="top" wrapText="1" readingOrder="1"/>
    </xf>
    <xf numFmtId="3" fontId="39" fillId="0" borderId="5" xfId="0" applyNumberFormat="1" applyFont="1" applyBorder="1" applyAlignment="1">
      <alignment horizontal="center" vertical="top" wrapText="1" readingOrder="1"/>
    </xf>
    <xf numFmtId="1" fontId="39" fillId="0" borderId="55" xfId="0" applyNumberFormat="1" applyFont="1" applyBorder="1" applyAlignment="1">
      <alignment horizontal="center" vertical="top" wrapText="1" readingOrder="1"/>
    </xf>
    <xf numFmtId="1" fontId="39" fillId="0" borderId="4" xfId="0" applyNumberFormat="1" applyFont="1" applyBorder="1" applyAlignment="1">
      <alignment horizontal="center" vertical="top" wrapText="1" readingOrder="1"/>
    </xf>
    <xf numFmtId="0" fontId="39" fillId="0" borderId="4" xfId="0" applyFont="1" applyBorder="1" applyAlignment="1">
      <alignment horizontal="center" vertical="top" wrapText="1" readingOrder="1"/>
    </xf>
    <xf numFmtId="0" fontId="39" fillId="0" borderId="5" xfId="0" applyFont="1" applyBorder="1" applyAlignment="1">
      <alignment horizontal="center" vertical="top" wrapText="1" readingOrder="1"/>
    </xf>
    <xf numFmtId="9" fontId="42" fillId="0" borderId="55" xfId="0" applyNumberFormat="1" applyFont="1" applyBorder="1" applyAlignment="1">
      <alignment horizontal="center" vertical="center" wrapText="1"/>
    </xf>
    <xf numFmtId="9" fontId="42" fillId="0" borderId="75" xfId="0" applyNumberFormat="1" applyFont="1" applyBorder="1" applyAlignment="1">
      <alignment horizontal="center" vertical="center" wrapText="1"/>
    </xf>
    <xf numFmtId="0" fontId="39" fillId="0" borderId="55" xfId="0" applyFont="1" applyBorder="1" applyAlignment="1">
      <alignment horizontal="justify" vertical="center" wrapText="1"/>
    </xf>
    <xf numFmtId="0" fontId="39" fillId="0" borderId="75" xfId="0" applyFont="1" applyBorder="1" applyAlignment="1">
      <alignment horizontal="justify" vertical="center" wrapText="1"/>
    </xf>
    <xf numFmtId="10" fontId="20" fillId="0" borderId="55" xfId="6" applyNumberFormat="1" applyFont="1" applyBorder="1" applyAlignment="1">
      <alignment horizontal="center" vertical="center" wrapText="1"/>
    </xf>
    <xf numFmtId="10" fontId="20" fillId="0" borderId="4" xfId="6" applyNumberFormat="1" applyFont="1" applyBorder="1" applyAlignment="1">
      <alignment horizontal="center" vertical="center" wrapText="1"/>
    </xf>
    <xf numFmtId="10" fontId="20" fillId="0" borderId="75" xfId="6" applyNumberFormat="1" applyFont="1" applyBorder="1" applyAlignment="1">
      <alignment horizontal="center" vertical="center" wrapText="1"/>
    </xf>
    <xf numFmtId="10" fontId="21" fillId="0" borderId="3" xfId="20" applyNumberFormat="1" applyFont="1" applyBorder="1" applyAlignment="1" applyProtection="1">
      <alignment horizontal="center" vertical="center" wrapText="1"/>
    </xf>
    <xf numFmtId="10" fontId="21" fillId="0" borderId="5" xfId="20" applyNumberFormat="1" applyFont="1" applyBorder="1" applyAlignment="1" applyProtection="1">
      <alignment horizontal="center" vertical="center" wrapText="1"/>
    </xf>
    <xf numFmtId="164" fontId="20" fillId="3" borderId="55" xfId="8" applyNumberFormat="1" applyFont="1" applyFill="1" applyBorder="1" applyAlignment="1" applyProtection="1">
      <alignment horizontal="center" vertical="center" wrapText="1"/>
    </xf>
    <xf numFmtId="164" fontId="20" fillId="3" borderId="75" xfId="8" applyNumberFormat="1" applyFont="1" applyFill="1" applyBorder="1" applyAlignment="1" applyProtection="1">
      <alignment horizontal="center" vertical="center" wrapText="1"/>
    </xf>
    <xf numFmtId="164" fontId="21" fillId="0" borderId="54" xfId="34" applyNumberFormat="1" applyFont="1" applyBorder="1" applyAlignment="1" applyProtection="1">
      <alignment horizontal="center" vertical="center" wrapText="1"/>
    </xf>
    <xf numFmtId="0" fontId="21" fillId="0" borderId="76" xfId="34" applyFont="1" applyBorder="1" applyAlignment="1" applyProtection="1">
      <alignment horizontal="center" vertical="center" wrapText="1"/>
    </xf>
    <xf numFmtId="0" fontId="25" fillId="9" borderId="2" xfId="0" applyFont="1" applyFill="1" applyBorder="1" applyAlignment="1">
      <alignment horizontal="center" vertical="center"/>
    </xf>
    <xf numFmtId="0" fontId="66" fillId="0" borderId="1" xfId="1" applyFont="1" applyAlignment="1">
      <alignment horizontal="left" vertical="center" wrapText="1"/>
    </xf>
    <xf numFmtId="0" fontId="20" fillId="0" borderId="2" xfId="23" applyFont="1" applyBorder="1" applyAlignment="1">
      <alignment horizontal="left" vertical="center" wrapText="1"/>
    </xf>
    <xf numFmtId="0" fontId="31" fillId="0" borderId="2" xfId="23" applyFont="1" applyBorder="1" applyAlignment="1">
      <alignment horizontal="left" vertical="center" wrapText="1"/>
    </xf>
    <xf numFmtId="0" fontId="92" fillId="0" borderId="13" xfId="23" applyFont="1" applyBorder="1" applyAlignment="1">
      <alignment horizontal="center" vertical="center" wrapText="1"/>
    </xf>
    <xf numFmtId="0" fontId="92" fillId="0" borderId="14" xfId="23" applyFont="1" applyBorder="1" applyAlignment="1">
      <alignment horizontal="center" vertical="center"/>
    </xf>
    <xf numFmtId="0" fontId="92" fillId="0" borderId="15" xfId="23" applyFont="1" applyBorder="1" applyAlignment="1">
      <alignment horizontal="center" vertical="center"/>
    </xf>
    <xf numFmtId="0" fontId="11" fillId="0" borderId="24" xfId="23" applyFont="1" applyBorder="1" applyAlignment="1">
      <alignment horizontal="center" vertical="center"/>
    </xf>
    <xf numFmtId="0" fontId="11" fillId="0" borderId="25"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2" xfId="23" applyFont="1" applyBorder="1" applyAlignment="1">
      <alignment horizontal="center" vertical="center"/>
    </xf>
    <xf numFmtId="0" fontId="11" fillId="0" borderId="27" xfId="23" applyFont="1" applyBorder="1" applyAlignment="1">
      <alignment horizontal="center" vertical="center"/>
    </xf>
    <xf numFmtId="0" fontId="25" fillId="3" borderId="16" xfId="23" applyFont="1" applyFill="1" applyBorder="1" applyAlignment="1">
      <alignment horizontal="left"/>
    </xf>
    <xf numFmtId="0" fontId="24" fillId="3" borderId="17" xfId="23" applyFont="1" applyFill="1" applyBorder="1" applyAlignment="1">
      <alignment horizontal="left"/>
    </xf>
    <xf numFmtId="0" fontId="25" fillId="3" borderId="54" xfId="23" applyFont="1" applyFill="1" applyBorder="1" applyAlignment="1">
      <alignment horizontal="left"/>
    </xf>
    <xf numFmtId="0" fontId="24" fillId="3" borderId="84" xfId="23" applyFont="1" applyFill="1" applyBorder="1" applyAlignment="1">
      <alignment horizontal="left"/>
    </xf>
    <xf numFmtId="168" fontId="24" fillId="39" borderId="76" xfId="0" applyNumberFormat="1" applyFont="1" applyFill="1" applyBorder="1" applyAlignment="1" applyProtection="1">
      <alignment horizontal="left"/>
      <protection locked="0"/>
    </xf>
    <xf numFmtId="168" fontId="24" fillId="39" borderId="83" xfId="0" applyNumberFormat="1" applyFont="1" applyFill="1" applyBorder="1" applyAlignment="1" applyProtection="1">
      <alignment horizontal="left"/>
      <protection locked="0"/>
    </xf>
    <xf numFmtId="0" fontId="25" fillId="9" borderId="29" xfId="23" applyFont="1" applyFill="1" applyBorder="1" applyAlignment="1">
      <alignment horizontal="center" vertical="center"/>
    </xf>
    <xf numFmtId="0" fontId="25" fillId="9" borderId="25" xfId="23" applyFont="1" applyFill="1" applyBorder="1" applyAlignment="1">
      <alignment horizontal="center" vertical="center"/>
    </xf>
    <xf numFmtId="0" fontId="25" fillId="9" borderId="30" xfId="23" applyFont="1" applyFill="1" applyBorder="1" applyAlignment="1">
      <alignment horizontal="center" vertical="center"/>
    </xf>
    <xf numFmtId="0" fontId="25" fillId="9" borderId="2" xfId="23" applyFont="1" applyFill="1" applyBorder="1" applyAlignment="1">
      <alignment horizontal="center" vertical="center"/>
    </xf>
    <xf numFmtId="0" fontId="60" fillId="0" borderId="1" xfId="0" applyFont="1" applyBorder="1" applyAlignment="1">
      <alignment horizontal="center" vertical="center" wrapText="1"/>
    </xf>
    <xf numFmtId="0" fontId="25" fillId="9" borderId="54" xfId="0" applyFont="1" applyFill="1" applyBorder="1" applyAlignment="1">
      <alignment horizontal="center" vertical="center" wrapText="1"/>
    </xf>
    <xf numFmtId="0" fontId="25" fillId="9" borderId="67" xfId="0" applyFont="1" applyFill="1" applyBorder="1" applyAlignment="1">
      <alignment horizontal="center" vertical="center" wrapText="1"/>
    </xf>
    <xf numFmtId="0" fontId="25" fillId="9" borderId="65" xfId="0" applyFont="1" applyFill="1" applyBorder="1" applyAlignment="1">
      <alignment horizontal="center" vertical="center" wrapText="1"/>
    </xf>
    <xf numFmtId="171" fontId="25" fillId="9" borderId="82" xfId="0" applyNumberFormat="1" applyFont="1" applyFill="1" applyBorder="1" applyAlignment="1">
      <alignment horizontal="left" vertical="center" wrapText="1"/>
    </xf>
    <xf numFmtId="0" fontId="25" fillId="25" borderId="13" xfId="0" applyFont="1" applyFill="1" applyBorder="1" applyAlignment="1">
      <alignment horizontal="center" vertical="center"/>
    </xf>
    <xf numFmtId="0" fontId="25" fillId="25" borderId="58" xfId="0" applyFont="1" applyFill="1" applyBorder="1" applyAlignment="1">
      <alignment horizontal="center" vertical="center"/>
    </xf>
    <xf numFmtId="0" fontId="25" fillId="25" borderId="64"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32"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5" fillId="9" borderId="76" xfId="0" applyFont="1" applyFill="1" applyBorder="1" applyAlignment="1">
      <alignment horizontal="right" vertical="center" wrapText="1"/>
    </xf>
    <xf numFmtId="0" fontId="25" fillId="9" borderId="82" xfId="0" applyFont="1" applyFill="1" applyBorder="1" applyAlignment="1">
      <alignment horizontal="right" vertical="center" wrapText="1"/>
    </xf>
    <xf numFmtId="0" fontId="52" fillId="0" borderId="2" xfId="0" applyFont="1" applyBorder="1" applyAlignment="1" applyProtection="1">
      <alignment horizontal="center" vertical="center" wrapText="1"/>
      <protection hidden="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43" fillId="0" borderId="1" xfId="0" applyFont="1" applyBorder="1" applyAlignment="1">
      <alignment horizontal="center"/>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9" fillId="34" borderId="38" xfId="0" applyFont="1" applyFill="1" applyBorder="1" applyAlignment="1" applyProtection="1">
      <alignment horizontal="center" vertical="center"/>
      <protection hidden="1"/>
    </xf>
    <xf numFmtId="0" fontId="29" fillId="34" borderId="56" xfId="0" applyFont="1" applyFill="1" applyBorder="1" applyAlignment="1" applyProtection="1">
      <alignment horizontal="center" vertical="center"/>
      <protection hidden="1"/>
    </xf>
    <xf numFmtId="0" fontId="29" fillId="34" borderId="37" xfId="0" applyFont="1" applyFill="1" applyBorder="1" applyAlignment="1" applyProtection="1">
      <alignment horizontal="center" vertical="center" wrapText="1"/>
      <protection hidden="1"/>
    </xf>
    <xf numFmtId="0" fontId="29" fillId="34" borderId="57" xfId="0" applyFont="1" applyFill="1" applyBorder="1" applyAlignment="1" applyProtection="1">
      <alignment horizontal="center" vertical="center" wrapText="1"/>
      <protection hidden="1"/>
    </xf>
    <xf numFmtId="0" fontId="29" fillId="34" borderId="39" xfId="0" applyFont="1" applyFill="1" applyBorder="1" applyAlignment="1" applyProtection="1">
      <alignment horizontal="center" vertical="center" wrapText="1"/>
      <protection hidden="1"/>
    </xf>
    <xf numFmtId="0" fontId="76" fillId="0" borderId="35" xfId="0" applyFont="1" applyFill="1" applyBorder="1" applyAlignment="1" applyProtection="1">
      <alignment horizontal="center" vertical="center"/>
      <protection hidden="1"/>
    </xf>
    <xf numFmtId="0" fontId="76" fillId="0" borderId="27" xfId="0" applyFont="1" applyFill="1" applyBorder="1" applyAlignment="1" applyProtection="1">
      <alignment horizontal="center" vertical="center"/>
      <protection hidden="1"/>
    </xf>
    <xf numFmtId="0" fontId="76" fillId="0" borderId="23" xfId="0" applyFont="1" applyFill="1" applyBorder="1" applyAlignment="1" applyProtection="1">
      <alignment horizontal="center" vertical="center"/>
      <protection hidden="1"/>
    </xf>
    <xf numFmtId="0" fontId="11"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43" fillId="0" borderId="1" xfId="0" applyFont="1" applyBorder="1" applyAlignment="1" applyProtection="1">
      <alignment horizontal="center"/>
      <protection hidden="1"/>
    </xf>
    <xf numFmtId="0" fontId="75" fillId="34" borderId="29" xfId="0" applyFont="1" applyFill="1" applyBorder="1" applyAlignment="1">
      <alignment horizontal="center" vertical="center" wrapText="1" readingOrder="1"/>
    </xf>
    <xf numFmtId="0" fontId="75" fillId="34" borderId="35" xfId="0" applyFont="1" applyFill="1" applyBorder="1" applyAlignment="1">
      <alignment horizontal="center" vertical="center" wrapText="1" readingOrder="1"/>
    </xf>
    <xf numFmtId="0" fontId="75" fillId="34" borderId="37" xfId="0" applyFont="1" applyFill="1" applyBorder="1" applyAlignment="1">
      <alignment horizontal="center" vertical="center" wrapText="1" readingOrder="1"/>
    </xf>
    <xf numFmtId="0" fontId="75" fillId="34" borderId="57" xfId="0" applyFont="1" applyFill="1" applyBorder="1" applyAlignment="1">
      <alignment horizontal="center" vertical="center" wrapText="1" readingOrder="1"/>
    </xf>
    <xf numFmtId="0" fontId="75" fillId="34" borderId="7" xfId="0" applyFont="1" applyFill="1" applyBorder="1" applyAlignment="1">
      <alignment horizontal="center" vertical="center" wrapText="1" readingOrder="1"/>
    </xf>
    <xf numFmtId="0" fontId="75" fillId="34" borderId="11" xfId="0" applyFont="1" applyFill="1" applyBorder="1" applyAlignment="1">
      <alignment horizontal="center" vertical="center" wrapText="1" readingOrder="1"/>
    </xf>
    <xf numFmtId="0" fontId="75" fillId="34" borderId="6" xfId="0" applyFont="1" applyFill="1" applyBorder="1" applyAlignment="1">
      <alignment horizontal="center" vertical="center" wrapText="1" readingOrder="1"/>
    </xf>
    <xf numFmtId="0" fontId="25" fillId="0" borderId="7" xfId="0" applyFont="1" applyBorder="1" applyAlignment="1" applyProtection="1">
      <alignment horizontal="center"/>
      <protection hidden="1"/>
    </xf>
    <xf numFmtId="0" fontId="25" fillId="0" borderId="11" xfId="0" applyFont="1" applyBorder="1" applyAlignment="1" applyProtection="1">
      <alignment horizontal="center"/>
      <protection hidden="1"/>
    </xf>
    <xf numFmtId="0" fontId="11" fillId="18" borderId="51" xfId="0" applyFont="1" applyFill="1" applyBorder="1" applyAlignment="1" applyProtection="1">
      <alignment horizontal="center" vertical="center"/>
      <protection hidden="1"/>
    </xf>
    <xf numFmtId="0" fontId="11" fillId="18" borderId="52" xfId="0" applyFont="1" applyFill="1" applyBorder="1" applyAlignment="1" applyProtection="1">
      <alignment horizontal="center" vertical="center"/>
      <protection hidden="1"/>
    </xf>
    <xf numFmtId="0" fontId="11" fillId="18" borderId="53" xfId="0" applyFont="1" applyFill="1" applyBorder="1" applyAlignment="1" applyProtection="1">
      <alignment horizontal="center" vertical="center"/>
      <protection hidden="1"/>
    </xf>
    <xf numFmtId="0" fontId="11" fillId="40" borderId="51" xfId="0" applyFont="1" applyFill="1" applyBorder="1" applyAlignment="1" applyProtection="1">
      <alignment horizontal="center" vertical="center"/>
      <protection hidden="1"/>
    </xf>
    <xf numFmtId="0" fontId="11" fillId="40" borderId="52" xfId="0" applyFont="1" applyFill="1" applyBorder="1" applyAlignment="1" applyProtection="1">
      <alignment horizontal="center" vertical="center"/>
      <protection hidden="1"/>
    </xf>
    <xf numFmtId="0" fontId="11" fillId="40" borderId="53" xfId="0" applyFont="1" applyFill="1" applyBorder="1" applyAlignment="1" applyProtection="1">
      <alignment horizontal="center" vertical="center"/>
      <protection hidden="1"/>
    </xf>
    <xf numFmtId="0" fontId="11" fillId="11" borderId="51" xfId="0" applyFont="1" applyFill="1" applyBorder="1" applyAlignment="1" applyProtection="1">
      <alignment horizontal="center" vertical="center"/>
      <protection hidden="1"/>
    </xf>
    <xf numFmtId="0" fontId="11" fillId="11" borderId="52" xfId="0" applyFont="1" applyFill="1" applyBorder="1" applyAlignment="1" applyProtection="1">
      <alignment horizontal="center" vertical="center"/>
      <protection hidden="1"/>
    </xf>
    <xf numFmtId="0" fontId="11" fillId="11" borderId="53" xfId="0" applyFont="1" applyFill="1" applyBorder="1" applyAlignment="1" applyProtection="1">
      <alignment horizontal="center" vertical="center"/>
      <protection hidden="1"/>
    </xf>
    <xf numFmtId="0" fontId="25" fillId="29" borderId="76" xfId="0" applyFont="1" applyFill="1" applyBorder="1" applyAlignment="1" applyProtection="1">
      <alignment horizontal="center" vertical="center" wrapText="1"/>
      <protection hidden="1"/>
    </xf>
    <xf numFmtId="0" fontId="25" fillId="29" borderId="82" xfId="0" applyFont="1" applyFill="1" applyBorder="1" applyAlignment="1" applyProtection="1">
      <alignment horizontal="center" vertical="center" wrapText="1"/>
      <protection hidden="1"/>
    </xf>
    <xf numFmtId="0" fontId="25" fillId="29" borderId="83" xfId="0" applyFont="1" applyFill="1" applyBorder="1" applyAlignment="1" applyProtection="1">
      <alignment horizontal="center" vertical="center" wrapText="1"/>
      <protection hidden="1"/>
    </xf>
    <xf numFmtId="0" fontId="25" fillId="29" borderId="75"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wrapText="1"/>
      <protection hidden="1"/>
    </xf>
    <xf numFmtId="0" fontId="25" fillId="27" borderId="75" xfId="0" applyFont="1" applyFill="1" applyBorder="1" applyAlignment="1" applyProtection="1">
      <alignment horizontal="center" vertical="center" wrapText="1"/>
      <protection hidden="1"/>
    </xf>
    <xf numFmtId="0" fontId="25" fillId="27" borderId="2" xfId="0" applyFont="1" applyFill="1" applyBorder="1" applyAlignment="1" applyProtection="1">
      <alignment horizontal="center" vertical="center" wrapText="1"/>
      <protection hidden="1"/>
    </xf>
    <xf numFmtId="0" fontId="25" fillId="29" borderId="2" xfId="0" applyFont="1" applyFill="1" applyBorder="1" applyAlignment="1" applyProtection="1">
      <alignment horizontal="center" vertical="center"/>
      <protection hidden="1"/>
    </xf>
    <xf numFmtId="0" fontId="52" fillId="0" borderId="7" xfId="0" applyFont="1" applyBorder="1" applyAlignment="1" applyProtection="1">
      <alignment horizontal="center" vertical="center" wrapText="1"/>
      <protection hidden="1"/>
    </xf>
    <xf numFmtId="0" fontId="35" fillId="7" borderId="2" xfId="0" applyFont="1" applyFill="1" applyBorder="1" applyAlignment="1" applyProtection="1">
      <alignment horizontal="center" vertical="center"/>
      <protection hidden="1"/>
    </xf>
    <xf numFmtId="0" fontId="37" fillId="0" borderId="54" xfId="0" applyFont="1" applyBorder="1" applyAlignment="1" applyProtection="1">
      <alignment horizontal="center" vertical="center" wrapText="1"/>
      <protection hidden="1"/>
    </xf>
    <xf numFmtId="0" fontId="37" fillId="0" borderId="67" xfId="0" applyFont="1" applyBorder="1" applyAlignment="1" applyProtection="1">
      <alignment horizontal="center" vertical="center" wrapText="1"/>
      <protection hidden="1"/>
    </xf>
    <xf numFmtId="0" fontId="37" fillId="0" borderId="65" xfId="0" applyFont="1" applyBorder="1" applyAlignment="1" applyProtection="1">
      <alignment horizontal="center" vertical="center" wrapText="1"/>
      <protection hidden="1"/>
    </xf>
    <xf numFmtId="0" fontId="37" fillId="0" borderId="8"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3" fillId="0" borderId="76" xfId="0" applyFont="1" applyBorder="1" applyAlignment="1" applyProtection="1">
      <alignment horizontal="center"/>
      <protection hidden="1"/>
    </xf>
    <xf numFmtId="0" fontId="43" fillId="0" borderId="82" xfId="0" applyFont="1" applyBorder="1" applyAlignment="1" applyProtection="1">
      <alignment horizontal="center"/>
      <protection hidden="1"/>
    </xf>
    <xf numFmtId="0" fontId="43" fillId="0" borderId="83" xfId="0" applyFont="1" applyBorder="1" applyAlignment="1" applyProtection="1">
      <alignment horizontal="center"/>
      <protection hidden="1"/>
    </xf>
    <xf numFmtId="0" fontId="11" fillId="8" borderId="3"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164" fontId="20" fillId="0" borderId="3" xfId="20" applyNumberFormat="1" applyFont="1" applyBorder="1" applyAlignment="1" applyProtection="1">
      <alignment horizontal="center" vertical="center" wrapText="1"/>
    </xf>
    <xf numFmtId="164" fontId="20" fillId="0" borderId="5" xfId="20" applyNumberFormat="1" applyFont="1" applyBorder="1" applyAlignment="1" applyProtection="1">
      <alignment horizontal="center" vertical="center" wrapText="1"/>
    </xf>
    <xf numFmtId="164" fontId="21" fillId="18" borderId="3" xfId="0" applyNumberFormat="1" applyFont="1" applyFill="1" applyBorder="1" applyAlignment="1" applyProtection="1">
      <alignment horizontal="center" vertical="center" wrapText="1"/>
    </xf>
    <xf numFmtId="0" fontId="21" fillId="18" borderId="4" xfId="0" applyFont="1" applyFill="1" applyBorder="1" applyAlignment="1" applyProtection="1">
      <alignment horizontal="center" vertical="center" wrapText="1"/>
    </xf>
    <xf numFmtId="0" fontId="21" fillId="18" borderId="5" xfId="0" applyFont="1" applyFill="1" applyBorder="1" applyAlignment="1" applyProtection="1">
      <alignment horizontal="center" vertical="center" wrapText="1"/>
    </xf>
    <xf numFmtId="164" fontId="20" fillId="0" borderId="4" xfId="20" applyNumberFormat="1" applyFont="1" applyBorder="1" applyAlignment="1" applyProtection="1">
      <alignment horizontal="center" vertical="center" wrapText="1"/>
    </xf>
    <xf numFmtId="164" fontId="21" fillId="18" borderId="55" xfId="20" applyNumberFormat="1" applyFont="1" applyFill="1" applyBorder="1" applyAlignment="1" applyProtection="1">
      <alignment horizontal="center" vertical="center" wrapText="1"/>
    </xf>
    <xf numFmtId="164" fontId="21" fillId="0" borderId="3" xfId="34" applyNumberFormat="1" applyFont="1" applyBorder="1" applyAlignment="1" applyProtection="1">
      <alignment horizontal="center" vertical="center" wrapText="1"/>
    </xf>
    <xf numFmtId="0" fontId="21" fillId="0" borderId="5" xfId="34" applyFont="1" applyBorder="1" applyAlignment="1" applyProtection="1">
      <alignment horizontal="center" vertical="center" wrapText="1"/>
    </xf>
    <xf numFmtId="164" fontId="21" fillId="18" borderId="3" xfId="6" applyNumberFormat="1" applyFont="1" applyFill="1" applyBorder="1" applyAlignment="1" applyProtection="1">
      <alignment horizontal="center" vertical="center" wrapText="1"/>
    </xf>
    <xf numFmtId="164" fontId="21" fillId="18" borderId="4" xfId="6" applyNumberFormat="1" applyFont="1" applyFill="1" applyBorder="1" applyAlignment="1" applyProtection="1">
      <alignment horizontal="center" vertical="center" wrapText="1"/>
    </xf>
    <xf numFmtId="164" fontId="21" fillId="18" borderId="5" xfId="6" applyNumberFormat="1" applyFont="1" applyFill="1" applyBorder="1" applyAlignment="1" applyProtection="1">
      <alignment horizontal="center" vertical="center" wrapText="1"/>
    </xf>
    <xf numFmtId="0" fontId="21" fillId="0" borderId="4" xfId="20" applyFont="1" applyBorder="1" applyAlignment="1" applyProtection="1">
      <alignment horizontal="center" vertical="center" wrapText="1"/>
    </xf>
    <xf numFmtId="0" fontId="21" fillId="0" borderId="5" xfId="20" applyFont="1" applyBorder="1" applyAlignment="1" applyProtection="1">
      <alignment horizontal="center" vertical="center" wrapText="1"/>
    </xf>
    <xf numFmtId="164" fontId="21" fillId="18" borderId="3" xfId="34" applyNumberFormat="1" applyFont="1" applyFill="1" applyBorder="1" applyAlignment="1" applyProtection="1">
      <alignment horizontal="center" vertical="center" wrapText="1"/>
    </xf>
    <xf numFmtId="0" fontId="21" fillId="18" borderId="4" xfId="34" applyFont="1" applyFill="1" applyBorder="1" applyAlignment="1" applyProtection="1">
      <alignment horizontal="center" vertical="center" wrapText="1"/>
    </xf>
    <xf numFmtId="0" fontId="21" fillId="18" borderId="5" xfId="34"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28" fillId="8" borderId="7" xfId="0" applyFont="1" applyFill="1" applyBorder="1" applyAlignment="1" applyProtection="1">
      <alignment horizontal="center" vertical="center" wrapText="1"/>
    </xf>
    <xf numFmtId="0" fontId="28" fillId="8" borderId="11"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wrapText="1"/>
    </xf>
    <xf numFmtId="0" fontId="11" fillId="38" borderId="3" xfId="0" applyFont="1" applyFill="1" applyBorder="1" applyAlignment="1" applyProtection="1">
      <alignment horizontal="center" vertical="center" wrapText="1"/>
    </xf>
    <xf numFmtId="0" fontId="11" fillId="38" borderId="5" xfId="0" applyFont="1" applyFill="1" applyBorder="1" applyAlignment="1" applyProtection="1">
      <alignment horizontal="center" vertical="center" wrapText="1"/>
    </xf>
    <xf numFmtId="0" fontId="12" fillId="9" borderId="2" xfId="1" applyFont="1" applyFill="1" applyBorder="1" applyAlignment="1" applyProtection="1">
      <alignment horizontal="center" vertical="center" wrapText="1"/>
    </xf>
    <xf numFmtId="0" fontId="11" fillId="20" borderId="3" xfId="0" applyFont="1" applyFill="1" applyBorder="1" applyAlignment="1" applyProtection="1">
      <alignment horizontal="center" vertical="center" wrapText="1"/>
    </xf>
    <xf numFmtId="0" fontId="11" fillId="20" borderId="5" xfId="0" applyFont="1" applyFill="1" applyBorder="1" applyAlignment="1" applyProtection="1">
      <alignment horizontal="center" vertical="center" wrapText="1"/>
    </xf>
    <xf numFmtId="0" fontId="43" fillId="0" borderId="3" xfId="0" applyFont="1" applyBorder="1" applyAlignment="1" applyProtection="1">
      <alignment horizontal="justify" vertical="top" wrapText="1"/>
    </xf>
    <xf numFmtId="0" fontId="43" fillId="0" borderId="4" xfId="0" applyFont="1" applyBorder="1" applyAlignment="1" applyProtection="1">
      <alignment horizontal="justify" vertical="top" wrapText="1"/>
    </xf>
    <xf numFmtId="0" fontId="43" fillId="0" borderId="5" xfId="0" applyFont="1" applyBorder="1" applyAlignment="1" applyProtection="1">
      <alignment horizontal="justify" vertical="top" wrapText="1"/>
    </xf>
    <xf numFmtId="0" fontId="43" fillId="18" borderId="3" xfId="0" applyFont="1" applyFill="1" applyBorder="1" applyAlignment="1" applyProtection="1">
      <alignment horizontal="justify" vertical="top" wrapText="1"/>
    </xf>
    <xf numFmtId="0" fontId="43" fillId="18" borderId="4" xfId="0" applyFont="1" applyFill="1" applyBorder="1" applyAlignment="1" applyProtection="1">
      <alignment horizontal="justify" vertical="top" wrapText="1"/>
    </xf>
    <xf numFmtId="0" fontId="43" fillId="18" borderId="5" xfId="0" applyFont="1" applyFill="1" applyBorder="1" applyAlignment="1" applyProtection="1">
      <alignment horizontal="justify" vertical="top" wrapText="1"/>
    </xf>
    <xf numFmtId="0" fontId="39" fillId="18" borderId="3" xfId="0" applyFont="1" applyFill="1" applyBorder="1" applyAlignment="1" applyProtection="1">
      <alignment horizontal="justify" vertical="top" wrapText="1" readingOrder="1"/>
    </xf>
    <xf numFmtId="0" fontId="39" fillId="18" borderId="5" xfId="0" applyFont="1" applyFill="1" applyBorder="1" applyAlignment="1" applyProtection="1">
      <alignment horizontal="justify" vertical="top" wrapText="1" readingOrder="1"/>
    </xf>
    <xf numFmtId="0" fontId="39" fillId="18" borderId="4" xfId="0" applyFont="1" applyFill="1" applyBorder="1" applyAlignment="1" applyProtection="1">
      <alignment horizontal="justify" vertical="top" wrapText="1" readingOrder="1"/>
    </xf>
    <xf numFmtId="0" fontId="39" fillId="0" borderId="3" xfId="0" applyFont="1" applyBorder="1" applyAlignment="1" applyProtection="1">
      <alignment horizontal="justify" vertical="top" wrapText="1" readingOrder="1"/>
    </xf>
    <xf numFmtId="0" fontId="39" fillId="0" borderId="5" xfId="0" applyFont="1" applyBorder="1" applyAlignment="1" applyProtection="1">
      <alignment horizontal="justify" vertical="top" wrapText="1" readingOrder="1"/>
    </xf>
    <xf numFmtId="0" fontId="39" fillId="0" borderId="4" xfId="0" applyFont="1" applyBorder="1" applyAlignment="1" applyProtection="1">
      <alignment horizontal="justify" vertical="top" wrapText="1" readingOrder="1"/>
    </xf>
    <xf numFmtId="0" fontId="42" fillId="0" borderId="55" xfId="0" applyFont="1" applyBorder="1" applyAlignment="1" applyProtection="1">
      <alignment horizontal="left" vertical="top" wrapText="1"/>
    </xf>
    <xf numFmtId="0" fontId="42" fillId="0" borderId="75" xfId="0" applyFont="1" applyBorder="1" applyAlignment="1" applyProtection="1">
      <alignment horizontal="left" vertical="top" wrapText="1"/>
    </xf>
    <xf numFmtId="0" fontId="28" fillId="0" borderId="29"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11" fillId="8" borderId="4" xfId="0" applyFont="1" applyFill="1" applyBorder="1" applyAlignment="1" applyProtection="1">
      <alignment horizontal="center" vertical="center" wrapText="1"/>
    </xf>
    <xf numFmtId="9" fontId="20" fillId="0" borderId="3" xfId="8" applyFont="1" applyFill="1" applyBorder="1" applyAlignment="1" applyProtection="1">
      <alignment horizontal="center" vertical="center" wrapText="1"/>
    </xf>
    <xf numFmtId="9" fontId="20" fillId="0" borderId="5" xfId="8" applyFont="1" applyFill="1" applyBorder="1" applyAlignment="1" applyProtection="1">
      <alignment horizontal="center" vertical="center" wrapText="1"/>
    </xf>
    <xf numFmtId="0" fontId="39" fillId="0" borderId="3" xfId="0" applyFont="1" applyFill="1" applyBorder="1" applyAlignment="1" applyProtection="1">
      <alignment horizontal="justify" vertical="top" wrapText="1" readingOrder="1"/>
    </xf>
    <xf numFmtId="0" fontId="39" fillId="0" borderId="5" xfId="0" applyFont="1" applyFill="1" applyBorder="1" applyAlignment="1" applyProtection="1">
      <alignment horizontal="justify" vertical="top" wrapText="1" readingOrder="1"/>
    </xf>
    <xf numFmtId="0" fontId="39" fillId="0" borderId="4" xfId="0" applyFont="1" applyFill="1" applyBorder="1" applyAlignment="1" applyProtection="1">
      <alignment horizontal="justify" vertical="top" wrapText="1" readingOrder="1"/>
    </xf>
    <xf numFmtId="0" fontId="20" fillId="0" borderId="3"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39" fillId="0" borderId="3" xfId="0" applyFont="1" applyBorder="1" applyAlignment="1">
      <alignment horizontal="justify" vertical="top" wrapText="1" readingOrder="1"/>
    </xf>
    <xf numFmtId="0" fontId="20" fillId="0" borderId="3" xfId="0" applyFont="1" applyBorder="1" applyAlignment="1" applyProtection="1">
      <alignment horizontal="justify" vertical="center" wrapText="1"/>
    </xf>
    <xf numFmtId="0" fontId="20" fillId="0" borderId="4" xfId="0" applyFont="1" applyBorder="1" applyAlignment="1" applyProtection="1">
      <alignment horizontal="justify" vertical="center" wrapText="1"/>
    </xf>
    <xf numFmtId="0" fontId="20" fillId="0" borderId="5" xfId="0" applyFont="1" applyBorder="1" applyAlignment="1" applyProtection="1">
      <alignment horizontal="justify" vertical="center" wrapText="1"/>
    </xf>
    <xf numFmtId="9" fontId="20" fillId="0" borderId="3" xfId="8" applyFont="1" applyBorder="1" applyAlignment="1" applyProtection="1">
      <alignment horizontal="center" vertical="center" wrapText="1"/>
    </xf>
    <xf numFmtId="0" fontId="39" fillId="0" borderId="55" xfId="0" applyFont="1" applyBorder="1" applyAlignment="1" applyProtection="1">
      <alignment horizontal="justify" vertical="top" wrapText="1" readingOrder="1"/>
    </xf>
    <xf numFmtId="0" fontId="39" fillId="0" borderId="75" xfId="0" applyFont="1" applyBorder="1" applyAlignment="1" applyProtection="1">
      <alignment horizontal="justify" vertical="top" wrapText="1" readingOrder="1"/>
    </xf>
    <xf numFmtId="0" fontId="25" fillId="3" borderId="16" xfId="0" applyFont="1" applyFill="1" applyBorder="1" applyAlignment="1" applyProtection="1">
      <alignment horizontal="left"/>
    </xf>
    <xf numFmtId="0" fontId="24" fillId="3" borderId="17" xfId="0" applyFont="1" applyFill="1" applyBorder="1" applyAlignment="1" applyProtection="1">
      <alignment horizontal="left"/>
    </xf>
    <xf numFmtId="0" fontId="25" fillId="3" borderId="20" xfId="0" applyFont="1" applyFill="1" applyBorder="1" applyAlignment="1" applyProtection="1">
      <alignment horizontal="left"/>
    </xf>
    <xf numFmtId="0" fontId="24" fillId="3" borderId="21" xfId="0" applyFont="1" applyFill="1" applyBorder="1" applyAlignment="1" applyProtection="1">
      <alignment horizontal="left"/>
    </xf>
    <xf numFmtId="165" fontId="24" fillId="3" borderId="22" xfId="0" quotePrefix="1" applyNumberFormat="1" applyFont="1" applyFill="1" applyBorder="1" applyAlignment="1" applyProtection="1">
      <alignment horizontal="left"/>
    </xf>
    <xf numFmtId="165" fontId="24" fillId="3" borderId="23" xfId="0" applyNumberFormat="1" applyFont="1" applyFill="1" applyBorder="1" applyAlignment="1" applyProtection="1">
      <alignment horizontal="left"/>
    </xf>
    <xf numFmtId="0" fontId="32" fillId="0" borderId="1" xfId="0" applyFont="1" applyBorder="1" applyAlignment="1" applyProtection="1">
      <alignment horizontal="left" vertical="center"/>
    </xf>
    <xf numFmtId="0" fontId="28" fillId="0" borderId="24"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8"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6" fillId="10" borderId="2" xfId="1" applyFont="1" applyFill="1" applyBorder="1" applyAlignment="1" applyProtection="1">
      <alignment horizontal="center" vertical="center" wrapText="1"/>
    </xf>
    <xf numFmtId="0" fontId="15" fillId="0" borderId="33" xfId="1" applyFont="1" applyBorder="1" applyAlignment="1" applyProtection="1">
      <alignment horizontal="center" vertical="center"/>
    </xf>
    <xf numFmtId="0" fontId="42" fillId="18" borderId="3" xfId="0" applyFont="1" applyFill="1" applyBorder="1" applyAlignment="1" applyProtection="1">
      <alignment horizontal="justify" vertical="top" wrapText="1" readingOrder="1"/>
    </xf>
    <xf numFmtId="0" fontId="42" fillId="18" borderId="4" xfId="0" applyFont="1" applyFill="1" applyBorder="1" applyAlignment="1" applyProtection="1">
      <alignment horizontal="justify" vertical="top" wrapText="1" readingOrder="1"/>
    </xf>
    <xf numFmtId="0" fontId="42" fillId="18" borderId="5" xfId="0" applyFont="1" applyFill="1" applyBorder="1" applyAlignment="1" applyProtection="1">
      <alignment horizontal="justify" vertical="top" wrapText="1" readingOrder="1"/>
    </xf>
    <xf numFmtId="0" fontId="14" fillId="12" borderId="7" xfId="1" applyFont="1" applyFill="1" applyBorder="1" applyAlignment="1" applyProtection="1">
      <alignment horizontal="right" vertical="center"/>
    </xf>
    <xf numFmtId="0" fontId="14" fillId="12" borderId="11" xfId="1" applyFont="1" applyFill="1" applyBorder="1" applyAlignment="1" applyProtection="1">
      <alignment horizontal="right" vertical="center"/>
    </xf>
    <xf numFmtId="0" fontId="39" fillId="18" borderId="55" xfId="0" applyFont="1" applyFill="1" applyBorder="1" applyAlignment="1" applyProtection="1">
      <alignment horizontal="justify" vertical="top" wrapText="1" readingOrder="1"/>
    </xf>
    <xf numFmtId="0" fontId="39" fillId="18" borderId="75" xfId="0" applyFont="1" applyFill="1" applyBorder="1" applyAlignment="1" applyProtection="1">
      <alignment horizontal="justify" vertical="top" wrapText="1" readingOrder="1"/>
    </xf>
    <xf numFmtId="165" fontId="24" fillId="3" borderId="22" xfId="0" quotePrefix="1" applyNumberFormat="1" applyFont="1" applyFill="1" applyBorder="1" applyAlignment="1">
      <alignment horizontal="left"/>
    </xf>
    <xf numFmtId="165" fontId="24" fillId="3" borderId="23" xfId="0" applyNumberFormat="1" applyFont="1" applyFill="1" applyBorder="1" applyAlignment="1">
      <alignment horizontal="left"/>
    </xf>
    <xf numFmtId="0" fontId="11" fillId="7" borderId="2" xfId="1" applyFont="1" applyFill="1" applyBorder="1" applyAlignment="1" applyProtection="1">
      <alignment horizontal="center" vertical="center" wrapText="1"/>
    </xf>
    <xf numFmtId="0" fontId="20" fillId="0" borderId="2" xfId="1" applyFont="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0" fontId="12" fillId="7" borderId="2" xfId="1" applyFont="1" applyFill="1" applyBorder="1" applyAlignment="1" applyProtection="1">
      <alignment horizontal="center" vertical="center" wrapText="1"/>
    </xf>
    <xf numFmtId="10" fontId="22" fillId="4" borderId="44" xfId="3" applyNumberFormat="1" applyFont="1" applyFill="1" applyBorder="1" applyAlignment="1" applyProtection="1">
      <alignment horizontal="center" vertical="center"/>
    </xf>
    <xf numFmtId="10" fontId="22" fillId="4" borderId="45" xfId="3" applyNumberFormat="1" applyFont="1" applyFill="1" applyBorder="1" applyAlignment="1" applyProtection="1">
      <alignment horizontal="center" vertical="center"/>
    </xf>
    <xf numFmtId="10" fontId="22" fillId="4" borderId="9" xfId="3" applyNumberFormat="1" applyFont="1" applyFill="1" applyBorder="1" applyAlignment="1" applyProtection="1">
      <alignment horizontal="center" vertical="center"/>
    </xf>
    <xf numFmtId="0" fontId="9" fillId="0" borderId="1" xfId="1" applyFont="1" applyBorder="1" applyAlignment="1" applyProtection="1">
      <alignment horizontal="left" vertical="center"/>
    </xf>
    <xf numFmtId="0" fontId="20" fillId="0" borderId="1" xfId="1" applyFont="1" applyFill="1" applyBorder="1" applyAlignment="1" applyProtection="1">
      <alignment horizontal="left" vertical="center"/>
    </xf>
    <xf numFmtId="0" fontId="11" fillId="0" borderId="1" xfId="1" applyFont="1" applyFill="1" applyBorder="1" applyAlignment="1" applyProtection="1">
      <alignment horizontal="left" vertical="center"/>
    </xf>
    <xf numFmtId="0" fontId="9" fillId="0" borderId="1" xfId="1" applyFont="1" applyAlignment="1" applyProtection="1">
      <alignment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38" fillId="0" borderId="29" xfId="0" applyFont="1" applyBorder="1" applyAlignment="1" applyProtection="1">
      <alignment horizontal="center" vertical="center" wrapText="1"/>
    </xf>
    <xf numFmtId="0" fontId="38" fillId="0" borderId="25" xfId="0" applyFont="1" applyBorder="1" applyAlignment="1" applyProtection="1">
      <alignment horizontal="center" vertical="center"/>
    </xf>
    <xf numFmtId="0" fontId="38" fillId="0" borderId="30"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36"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27" xfId="0" applyFont="1" applyBorder="1" applyAlignment="1" applyProtection="1">
      <alignment horizontal="center" vertical="center"/>
    </xf>
    <xf numFmtId="0" fontId="38" fillId="0" borderId="23" xfId="0" applyFont="1" applyBorder="1" applyAlignment="1" applyProtection="1">
      <alignment horizontal="center" vertical="center"/>
    </xf>
    <xf numFmtId="0" fontId="36" fillId="0" borderId="2" xfId="0" applyFont="1" applyBorder="1" applyAlignment="1" applyProtection="1">
      <alignment horizontal="left" vertical="center"/>
    </xf>
    <xf numFmtId="0" fontId="20" fillId="0" borderId="7" xfId="0" applyFont="1" applyBorder="1" applyAlignment="1" applyProtection="1">
      <alignment horizontal="justify" vertical="center"/>
    </xf>
    <xf numFmtId="0" fontId="20" fillId="0" borderId="6" xfId="0" applyFont="1" applyBorder="1" applyAlignment="1" applyProtection="1">
      <alignment horizontal="justify" vertical="center"/>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14" fillId="6" borderId="8" xfId="1" applyFont="1" applyFill="1" applyBorder="1" applyAlignment="1" applyProtection="1">
      <alignment horizontal="right" vertical="center"/>
    </xf>
    <xf numFmtId="0" fontId="14" fillId="6" borderId="1" xfId="1" applyFont="1" applyFill="1" applyBorder="1" applyAlignment="1" applyProtection="1">
      <alignment horizontal="right" vertical="center"/>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1" fillId="10" borderId="7" xfId="1" applyFont="1" applyFill="1" applyBorder="1" applyAlignment="1">
      <alignment horizontal="center" vertical="center" wrapText="1"/>
    </xf>
    <xf numFmtId="0" fontId="11" fillId="10" borderId="11" xfId="1" applyFont="1" applyFill="1" applyBorder="1" applyAlignment="1">
      <alignment horizontal="center" vertical="center" wrapText="1"/>
    </xf>
    <xf numFmtId="0" fontId="11" fillId="10" borderId="6" xfId="1" applyFont="1" applyFill="1" applyBorder="1" applyAlignment="1">
      <alignment horizontal="center" vertical="center" wrapText="1"/>
    </xf>
    <xf numFmtId="0" fontId="20" fillId="0" borderId="12" xfId="1" applyFont="1" applyBorder="1" applyAlignment="1" applyProtection="1">
      <alignment horizontal="left" vertical="center"/>
    </xf>
    <xf numFmtId="0" fontId="20" fillId="0" borderId="1" xfId="1" applyFont="1" applyBorder="1" applyAlignment="1" applyProtection="1">
      <alignment horizontal="left" vertical="center"/>
    </xf>
    <xf numFmtId="0" fontId="20" fillId="0" borderId="8" xfId="1" applyFont="1" applyBorder="1" applyAlignment="1" applyProtection="1">
      <alignment horizontal="left" vertical="center"/>
    </xf>
    <xf numFmtId="0" fontId="13" fillId="10" borderId="2" xfId="1" applyFont="1" applyFill="1" applyBorder="1" applyAlignment="1" applyProtection="1">
      <alignment horizontal="center" vertical="center" wrapText="1"/>
    </xf>
    <xf numFmtId="0" fontId="29" fillId="13" borderId="7" xfId="1" applyFont="1" applyFill="1" applyBorder="1" applyAlignment="1">
      <alignment horizontal="center" vertical="center" wrapText="1"/>
    </xf>
    <xf numFmtId="0" fontId="29" fillId="13" borderId="11" xfId="1" applyFont="1" applyFill="1" applyBorder="1" applyAlignment="1">
      <alignment horizontal="center" vertical="center" wrapText="1"/>
    </xf>
    <xf numFmtId="0" fontId="29" fillId="13" borderId="6" xfId="1" applyFont="1" applyFill="1" applyBorder="1" applyAlignment="1">
      <alignment horizontal="center" vertical="center" wrapText="1"/>
    </xf>
    <xf numFmtId="0" fontId="34" fillId="13" borderId="3" xfId="1" applyFont="1" applyFill="1" applyBorder="1" applyAlignment="1" applyProtection="1">
      <alignment horizontal="center" vertical="center" wrapText="1"/>
    </xf>
    <xf numFmtId="0" fontId="34" fillId="13" borderId="4" xfId="1" applyFont="1" applyFill="1" applyBorder="1" applyAlignment="1" applyProtection="1">
      <alignment horizontal="center" vertical="center" wrapText="1"/>
    </xf>
    <xf numFmtId="0" fontId="34" fillId="13" borderId="5" xfId="1" applyFont="1" applyFill="1" applyBorder="1" applyAlignment="1" applyProtection="1">
      <alignment horizontal="center" vertical="center" wrapText="1"/>
    </xf>
    <xf numFmtId="0" fontId="11" fillId="14" borderId="7" xfId="1"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14" borderId="6" xfId="1" applyFont="1" applyFill="1" applyBorder="1" applyAlignment="1">
      <alignment horizontal="center" vertical="center" wrapText="1"/>
    </xf>
    <xf numFmtId="0" fontId="33" fillId="14" borderId="3" xfId="1" applyFont="1" applyFill="1" applyBorder="1" applyAlignment="1" applyProtection="1">
      <alignment horizontal="center" vertical="center" wrapText="1"/>
    </xf>
    <xf numFmtId="0" fontId="33" fillId="14" borderId="4" xfId="1" applyFont="1" applyFill="1" applyBorder="1" applyAlignment="1" applyProtection="1">
      <alignment horizontal="center" vertical="center" wrapText="1"/>
    </xf>
    <xf numFmtId="0" fontId="33" fillId="14" borderId="5" xfId="1" applyFont="1" applyFill="1" applyBorder="1" applyAlignment="1" applyProtection="1">
      <alignment horizontal="center" vertical="center" wrapText="1"/>
    </xf>
    <xf numFmtId="0" fontId="33" fillId="10" borderId="3" xfId="1" applyFont="1" applyFill="1" applyBorder="1" applyAlignment="1" applyProtection="1">
      <alignment horizontal="center" vertical="center" wrapText="1"/>
    </xf>
    <xf numFmtId="0" fontId="33" fillId="10" borderId="4" xfId="1" applyFont="1" applyFill="1" applyBorder="1" applyAlignment="1" applyProtection="1">
      <alignment horizontal="center" vertical="center" wrapText="1"/>
    </xf>
    <xf numFmtId="0" fontId="33" fillId="10" borderId="5" xfId="1" applyFont="1" applyFill="1" applyBorder="1" applyAlignment="1" applyProtection="1">
      <alignment horizontal="center" vertical="center" wrapText="1"/>
    </xf>
    <xf numFmtId="9" fontId="22" fillId="4" borderId="7" xfId="3" applyFont="1" applyFill="1" applyBorder="1" applyAlignment="1" applyProtection="1">
      <alignment horizontal="center" vertical="center"/>
    </xf>
    <xf numFmtId="9" fontId="22" fillId="4" borderId="11" xfId="3" applyFont="1" applyFill="1" applyBorder="1" applyAlignment="1" applyProtection="1">
      <alignment horizontal="center" vertical="center"/>
    </xf>
    <xf numFmtId="9" fontId="22" fillId="4" borderId="6" xfId="3" applyFont="1" applyFill="1" applyBorder="1" applyAlignment="1" applyProtection="1">
      <alignment horizontal="center" vertical="center"/>
    </xf>
    <xf numFmtId="0" fontId="20" fillId="0" borderId="1" xfId="1" applyFont="1" applyAlignment="1" applyProtection="1">
      <alignment horizontal="left" vertical="center"/>
    </xf>
    <xf numFmtId="0" fontId="39" fillId="0" borderId="2" xfId="0" applyFont="1" applyBorder="1" applyAlignment="1" applyProtection="1">
      <alignment horizontal="left" vertical="center"/>
    </xf>
    <xf numFmtId="0" fontId="11" fillId="10" borderId="7" xfId="1" applyFont="1" applyFill="1" applyBorder="1" applyAlignment="1" applyProtection="1">
      <alignment horizontal="center" vertical="center" wrapText="1"/>
    </xf>
    <xf numFmtId="0" fontId="11" fillId="10" borderId="11"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39" fillId="0" borderId="7" xfId="0" applyFont="1" applyBorder="1" applyAlignment="1" applyProtection="1">
      <alignment horizontal="justify" vertical="center"/>
    </xf>
    <xf numFmtId="0" fontId="39" fillId="0" borderId="6" xfId="0" applyFont="1" applyBorder="1" applyAlignment="1" applyProtection="1">
      <alignment horizontal="justify" vertical="center"/>
    </xf>
    <xf numFmtId="0" fontId="29" fillId="13" borderId="7" xfId="1" applyFont="1" applyFill="1" applyBorder="1" applyAlignment="1" applyProtection="1">
      <alignment horizontal="center" vertical="center" wrapText="1"/>
    </xf>
    <xf numFmtId="0" fontId="29" fillId="13" borderId="11" xfId="1" applyFont="1" applyFill="1" applyBorder="1" applyAlignment="1" applyProtection="1">
      <alignment horizontal="center" vertical="center" wrapText="1"/>
    </xf>
    <xf numFmtId="0" fontId="29" fillId="13" borderId="6" xfId="1" applyFont="1" applyFill="1" applyBorder="1" applyAlignment="1" applyProtection="1">
      <alignment horizontal="center" vertical="center" wrapText="1"/>
    </xf>
    <xf numFmtId="0" fontId="11" fillId="14" borderId="7" xfId="1" applyFont="1" applyFill="1" applyBorder="1" applyAlignment="1" applyProtection="1">
      <alignment horizontal="center" vertical="center" wrapText="1"/>
    </xf>
    <xf numFmtId="0" fontId="11" fillId="14" borderId="11" xfId="1" applyFont="1" applyFill="1" applyBorder="1" applyAlignment="1" applyProtection="1">
      <alignment horizontal="center" vertical="center" wrapText="1"/>
    </xf>
    <xf numFmtId="0" fontId="11" fillId="14" borderId="6" xfId="1" applyFont="1" applyFill="1" applyBorder="1" applyAlignment="1" applyProtection="1">
      <alignment horizontal="center" vertical="center" wrapText="1"/>
    </xf>
    <xf numFmtId="0" fontId="14" fillId="6" borderId="1" xfId="1" applyFont="1" applyFill="1" applyAlignment="1" applyProtection="1">
      <alignment horizontal="right" vertical="center"/>
    </xf>
    <xf numFmtId="0" fontId="20" fillId="0" borderId="5" xfId="0" applyFont="1" applyBorder="1" applyAlignment="1" applyProtection="1">
      <alignment horizontal="center" vertical="center" wrapText="1"/>
    </xf>
    <xf numFmtId="0" fontId="14" fillId="12" borderId="6" xfId="1" applyFont="1" applyFill="1" applyBorder="1" applyAlignment="1" applyProtection="1">
      <alignment horizontal="right" vertical="center"/>
    </xf>
    <xf numFmtId="0" fontId="20" fillId="0" borderId="55" xfId="0" applyFont="1" applyBorder="1" applyAlignment="1" applyProtection="1">
      <alignment horizontal="justify" vertical="center" wrapText="1"/>
    </xf>
    <xf numFmtId="0" fontId="20" fillId="0" borderId="75" xfId="0" applyFont="1" applyBorder="1" applyAlignment="1" applyProtection="1">
      <alignment horizontal="justify" vertical="center" wrapText="1"/>
    </xf>
    <xf numFmtId="0" fontId="9" fillId="0" borderId="1" xfId="1" applyFont="1" applyAlignment="1" applyProtection="1">
      <alignment horizontal="left" vertical="center"/>
    </xf>
    <xf numFmtId="0" fontId="11" fillId="0" borderId="1" xfId="1" applyFont="1" applyAlignment="1" applyProtection="1">
      <alignment horizontal="left" vertical="center"/>
    </xf>
    <xf numFmtId="0" fontId="20" fillId="0" borderId="20" xfId="1" applyFont="1" applyBorder="1" applyAlignment="1" applyProtection="1">
      <alignment horizontal="left" vertical="center" wrapText="1"/>
    </xf>
    <xf numFmtId="0" fontId="20" fillId="0" borderId="33" xfId="1" applyFont="1" applyBorder="1" applyAlignment="1" applyProtection="1">
      <alignment horizontal="left" vertical="center" wrapText="1"/>
    </xf>
    <xf numFmtId="0" fontId="20" fillId="0" borderId="31" xfId="1" applyFont="1" applyBorder="1" applyAlignment="1" applyProtection="1">
      <alignment horizontal="left" vertical="center" wrapText="1"/>
    </xf>
    <xf numFmtId="0" fontId="20" fillId="0" borderId="46" xfId="1" applyFont="1" applyBorder="1" applyAlignment="1" applyProtection="1">
      <alignment horizontal="left" vertical="center" wrapText="1"/>
    </xf>
    <xf numFmtId="0" fontId="20" fillId="0" borderId="47" xfId="1" applyFont="1" applyBorder="1" applyAlignment="1" applyProtection="1">
      <alignment horizontal="left" vertical="center" wrapText="1"/>
    </xf>
    <xf numFmtId="0" fontId="20" fillId="0" borderId="10" xfId="1" applyFont="1" applyBorder="1" applyAlignment="1" applyProtection="1">
      <alignment horizontal="left" vertical="center" wrapText="1"/>
    </xf>
    <xf numFmtId="0" fontId="44" fillId="0" borderId="2" xfId="0" applyFont="1" applyBorder="1" applyAlignment="1" applyProtection="1">
      <alignment horizontal="left" vertical="center"/>
    </xf>
    <xf numFmtId="9" fontId="22" fillId="4" borderId="44" xfId="3" applyFont="1" applyFill="1" applyBorder="1" applyAlignment="1" applyProtection="1">
      <alignment horizontal="center" vertical="center"/>
    </xf>
    <xf numFmtId="9" fontId="22" fillId="4" borderId="45" xfId="3" applyFont="1" applyFill="1" applyBorder="1" applyAlignment="1" applyProtection="1">
      <alignment horizontal="center" vertical="center"/>
    </xf>
    <xf numFmtId="9" fontId="22" fillId="4" borderId="9" xfId="3" applyFont="1" applyFill="1" applyBorder="1" applyAlignment="1" applyProtection="1">
      <alignment horizontal="center" vertical="center"/>
    </xf>
    <xf numFmtId="0" fontId="20" fillId="0" borderId="54" xfId="1" applyFont="1" applyBorder="1" applyAlignment="1" applyProtection="1">
      <alignment horizontal="left" vertical="center" wrapText="1"/>
    </xf>
    <xf numFmtId="0" fontId="20" fillId="0" borderId="67" xfId="1" applyFont="1" applyBorder="1" applyAlignment="1" applyProtection="1">
      <alignment horizontal="left" vertical="center" wrapText="1"/>
    </xf>
    <xf numFmtId="0" fontId="20" fillId="0" borderId="65" xfId="1" applyFont="1" applyBorder="1" applyAlignment="1" applyProtection="1">
      <alignment horizontal="left" vertical="center" wrapText="1"/>
    </xf>
    <xf numFmtId="0" fontId="20" fillId="0" borderId="76" xfId="1" applyFont="1" applyBorder="1" applyAlignment="1" applyProtection="1">
      <alignment horizontal="left" vertical="center" wrapText="1"/>
    </xf>
    <xf numFmtId="0" fontId="20" fillId="0" borderId="82" xfId="1" applyFont="1" applyBorder="1" applyAlignment="1" applyProtection="1">
      <alignment horizontal="left" vertical="center" wrapText="1"/>
    </xf>
    <xf numFmtId="0" fontId="20" fillId="0" borderId="83" xfId="1" applyFont="1" applyBorder="1" applyAlignment="1" applyProtection="1">
      <alignment horizontal="left" vertical="center" wrapText="1"/>
    </xf>
    <xf numFmtId="0" fontId="14" fillId="6" borderId="2" xfId="1" applyFont="1" applyFill="1" applyBorder="1" applyAlignment="1" applyProtection="1">
      <alignment horizontal="right" vertical="center"/>
    </xf>
    <xf numFmtId="0" fontId="11" fillId="0" borderId="3" xfId="0" applyFont="1" applyBorder="1" applyAlignment="1" applyProtection="1">
      <alignment horizontal="justify" vertical="center" wrapText="1"/>
    </xf>
    <xf numFmtId="0" fontId="11" fillId="0" borderId="4" xfId="0" applyFont="1" applyBorder="1" applyAlignment="1" applyProtection="1">
      <alignment horizontal="justify" vertical="center" wrapText="1"/>
    </xf>
    <xf numFmtId="0" fontId="21" fillId="0" borderId="2" xfId="0" applyFont="1" applyBorder="1" applyAlignment="1" applyProtection="1">
      <alignment horizontal="left" vertical="center"/>
    </xf>
    <xf numFmtId="9" fontId="11" fillId="4" borderId="44" xfId="3" applyFont="1" applyFill="1" applyBorder="1" applyAlignment="1" applyProtection="1">
      <alignment horizontal="center" vertical="center"/>
    </xf>
    <xf numFmtId="9" fontId="11" fillId="4" borderId="45" xfId="3" applyFont="1" applyFill="1" applyBorder="1" applyAlignment="1" applyProtection="1">
      <alignment horizontal="center" vertical="center"/>
    </xf>
    <xf numFmtId="9" fontId="11" fillId="4" borderId="9" xfId="3" applyFont="1" applyFill="1" applyBorder="1" applyAlignment="1" applyProtection="1">
      <alignment horizontal="center" vertical="center"/>
    </xf>
    <xf numFmtId="0" fontId="11" fillId="10" borderId="3" xfId="1" applyFont="1" applyFill="1" applyBorder="1" applyAlignment="1" applyProtection="1">
      <alignment horizontal="center" vertical="center" wrapText="1"/>
    </xf>
    <xf numFmtId="0" fontId="11" fillId="10" borderId="4" xfId="1" applyFont="1" applyFill="1" applyBorder="1" applyAlignment="1" applyProtection="1">
      <alignment horizontal="center" vertical="center" wrapText="1"/>
    </xf>
    <xf numFmtId="0" fontId="11" fillId="10" borderId="5" xfId="1" applyFont="1" applyFill="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11" fillId="14" borderId="3" xfId="1" applyFont="1" applyFill="1" applyBorder="1" applyAlignment="1" applyProtection="1">
      <alignment horizontal="center" vertical="center" wrapText="1"/>
    </xf>
    <xf numFmtId="0" fontId="11" fillId="14" borderId="4" xfId="1" applyFont="1" applyFill="1" applyBorder="1" applyAlignment="1" applyProtection="1">
      <alignment horizontal="center" vertical="center" wrapText="1"/>
    </xf>
    <xf numFmtId="0" fontId="11" fillId="14" borderId="5" xfId="1" applyFont="1" applyFill="1" applyBorder="1" applyAlignment="1" applyProtection="1">
      <alignment horizontal="center" vertical="center" wrapText="1"/>
    </xf>
    <xf numFmtId="0" fontId="11" fillId="6" borderId="8" xfId="1" applyFont="1" applyFill="1" applyBorder="1" applyAlignment="1" applyProtection="1">
      <alignment horizontal="right" vertical="center"/>
    </xf>
    <xf numFmtId="0" fontId="11" fillId="6" borderId="1" xfId="1" applyFont="1" applyFill="1" applyAlignment="1" applyProtection="1">
      <alignment horizontal="right" vertical="center"/>
    </xf>
    <xf numFmtId="0" fontId="20" fillId="0" borderId="7" xfId="0" applyFont="1" applyBorder="1" applyAlignment="1" applyProtection="1">
      <alignment horizontal="justify" vertical="center" wrapText="1"/>
    </xf>
    <xf numFmtId="0" fontId="20" fillId="0" borderId="2"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0" borderId="6" xfId="0" applyFont="1" applyBorder="1" applyAlignment="1" applyProtection="1">
      <alignment horizontal="left" vertical="center"/>
    </xf>
    <xf numFmtId="0" fontId="29" fillId="13" borderId="3" xfId="1" applyFont="1" applyFill="1" applyBorder="1" applyAlignment="1" applyProtection="1">
      <alignment horizontal="center" vertical="center" wrapText="1"/>
    </xf>
    <xf numFmtId="0" fontId="29" fillId="13" borderId="4" xfId="1" applyFont="1" applyFill="1" applyBorder="1" applyAlignment="1" applyProtection="1">
      <alignment horizontal="center" vertical="center" wrapText="1"/>
    </xf>
    <xf numFmtId="0" fontId="29" fillId="13" borderId="5" xfId="1" applyFont="1" applyFill="1" applyBorder="1" applyAlignment="1" applyProtection="1">
      <alignment horizontal="center" vertical="center" wrapText="1"/>
    </xf>
    <xf numFmtId="0" fontId="20" fillId="0" borderId="1" xfId="1" applyFont="1" applyAlignment="1" applyProtection="1">
      <alignment vertical="center"/>
    </xf>
    <xf numFmtId="0" fontId="44" fillId="0" borderId="3" xfId="0" applyFont="1" applyBorder="1" applyAlignment="1" applyProtection="1">
      <alignment horizontal="center" vertical="top" wrapText="1"/>
    </xf>
    <xf numFmtId="0" fontId="44" fillId="0" borderId="4" xfId="0" applyFont="1" applyBorder="1" applyAlignment="1" applyProtection="1">
      <alignment horizontal="center" vertical="top" wrapText="1"/>
    </xf>
    <xf numFmtId="0" fontId="44" fillId="0" borderId="5" xfId="0" applyFont="1" applyBorder="1" applyAlignment="1" applyProtection="1">
      <alignment horizontal="center" vertical="top" wrapText="1"/>
    </xf>
    <xf numFmtId="0" fontId="11" fillId="10" borderId="2" xfId="1" applyFont="1" applyFill="1" applyBorder="1" applyAlignment="1" applyProtection="1">
      <alignment horizontal="center" vertical="center" wrapText="1"/>
    </xf>
    <xf numFmtId="0" fontId="11" fillId="12" borderId="7" xfId="1" applyFont="1" applyFill="1" applyBorder="1" applyAlignment="1" applyProtection="1">
      <alignment horizontal="right" vertical="center"/>
    </xf>
    <xf numFmtId="0" fontId="11" fillId="12" borderId="11"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9" fontId="22" fillId="4" borderId="48" xfId="3" applyFont="1" applyFill="1" applyBorder="1" applyAlignment="1" applyProtection="1">
      <alignment horizontal="center" vertical="center"/>
    </xf>
    <xf numFmtId="9" fontId="22" fillId="4" borderId="49" xfId="3" applyFont="1" applyFill="1" applyBorder="1" applyAlignment="1" applyProtection="1">
      <alignment horizontal="center" vertical="center"/>
    </xf>
    <xf numFmtId="0" fontId="20" fillId="0" borderId="8"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54" xfId="1" applyFont="1" applyBorder="1" applyAlignment="1" applyProtection="1">
      <alignment horizontal="center" vertical="center" wrapText="1"/>
    </xf>
    <xf numFmtId="0" fontId="20" fillId="0" borderId="67" xfId="1" applyFont="1" applyBorder="1" applyAlignment="1" applyProtection="1">
      <alignment horizontal="center" vertical="center" wrapText="1"/>
    </xf>
    <xf numFmtId="0" fontId="20" fillId="0" borderId="65" xfId="1" applyFont="1" applyBorder="1" applyAlignment="1" applyProtection="1">
      <alignment horizontal="center" vertical="center" wrapText="1"/>
    </xf>
    <xf numFmtId="0" fontId="20" fillId="0" borderId="76" xfId="1" applyFont="1" applyBorder="1" applyAlignment="1" applyProtection="1">
      <alignment horizontal="center" vertical="center" wrapText="1"/>
    </xf>
    <xf numFmtId="0" fontId="20" fillId="0" borderId="82" xfId="1" applyFont="1" applyBorder="1" applyAlignment="1" applyProtection="1">
      <alignment horizontal="center" vertical="center" wrapText="1"/>
    </xf>
    <xf numFmtId="0" fontId="20" fillId="0" borderId="83" xfId="1" applyFont="1" applyBorder="1" applyAlignment="1" applyProtection="1">
      <alignment horizontal="center" vertical="center" wrapText="1"/>
    </xf>
    <xf numFmtId="0" fontId="15" fillId="0" borderId="1" xfId="1" applyFont="1" applyBorder="1" applyAlignment="1" applyProtection="1">
      <alignment horizontal="left" vertical="center"/>
    </xf>
    <xf numFmtId="9" fontId="22" fillId="4" borderId="66" xfId="3" applyFont="1" applyFill="1" applyBorder="1" applyAlignment="1" applyProtection="1">
      <alignment horizontal="center" vertical="center"/>
    </xf>
    <xf numFmtId="0" fontId="9" fillId="0" borderId="1" xfId="1" applyFont="1" applyAlignment="1" applyProtection="1">
      <alignment horizontal="right" vertical="center"/>
    </xf>
    <xf numFmtId="0" fontId="14" fillId="12" borderId="47" xfId="1" applyFont="1" applyFill="1" applyBorder="1" applyAlignment="1" applyProtection="1">
      <alignment horizontal="right" vertical="center"/>
    </xf>
    <xf numFmtId="0" fontId="14" fillId="12" borderId="10" xfId="1" applyFont="1" applyFill="1" applyBorder="1" applyAlignment="1" applyProtection="1">
      <alignment horizontal="right" vertical="center"/>
    </xf>
    <xf numFmtId="164" fontId="22" fillId="4" borderId="44" xfId="3" applyNumberFormat="1" applyFont="1" applyFill="1" applyBorder="1" applyAlignment="1" applyProtection="1">
      <alignment horizontal="center" vertical="center"/>
    </xf>
    <xf numFmtId="164" fontId="22" fillId="4" borderId="45" xfId="3" applyNumberFormat="1" applyFont="1" applyFill="1" applyBorder="1" applyAlignment="1" applyProtection="1">
      <alignment horizontal="center" vertical="center"/>
    </xf>
    <xf numFmtId="164" fontId="22" fillId="4" borderId="9" xfId="3" applyNumberFormat="1" applyFont="1" applyFill="1" applyBorder="1" applyAlignment="1" applyProtection="1">
      <alignment horizontal="center" vertical="center"/>
    </xf>
    <xf numFmtId="0" fontId="9" fillId="0" borderId="1" xfId="1" applyFont="1" applyBorder="1" applyAlignment="1" applyProtection="1">
      <alignment horizontal="left" vertical="center" wrapText="1"/>
    </xf>
    <xf numFmtId="0" fontId="20" fillId="0" borderId="2" xfId="23" applyFont="1" applyBorder="1" applyAlignment="1">
      <alignment horizontal="justify" vertical="center" wrapText="1"/>
    </xf>
    <xf numFmtId="0" fontId="31" fillId="0" borderId="2" xfId="23" applyFont="1" applyBorder="1" applyAlignment="1">
      <alignment horizontal="justify" vertical="center" wrapText="1"/>
    </xf>
    <xf numFmtId="0" fontId="29" fillId="15" borderId="2" xfId="23" applyFont="1" applyFill="1" applyBorder="1" applyAlignment="1">
      <alignment horizontal="center" vertical="center"/>
    </xf>
    <xf numFmtId="0" fontId="29" fillId="17" borderId="2" xfId="23" applyFont="1" applyFill="1" applyBorder="1" applyAlignment="1">
      <alignment horizontal="center" vertical="center"/>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14" fillId="0" borderId="24" xfId="23" applyFont="1" applyBorder="1" applyAlignment="1">
      <alignment horizontal="center" vertical="center"/>
    </xf>
    <xf numFmtId="0" fontId="14" fillId="0" borderId="25" xfId="23" applyFont="1" applyBorder="1" applyAlignment="1">
      <alignment horizontal="center" vertical="center"/>
    </xf>
    <xf numFmtId="0" fontId="14" fillId="0" borderId="8" xfId="23" applyFont="1" applyBorder="1" applyAlignment="1">
      <alignment horizontal="center" vertical="center"/>
    </xf>
    <xf numFmtId="0" fontId="14" fillId="0" borderId="1" xfId="23" applyFont="1" applyAlignment="1">
      <alignment horizontal="center" vertical="center"/>
    </xf>
    <xf numFmtId="0" fontId="14" fillId="0" borderId="22" xfId="23" applyFont="1" applyBorder="1" applyAlignment="1">
      <alignment horizontal="center" vertical="center"/>
    </xf>
    <xf numFmtId="0" fontId="14" fillId="0" borderId="27" xfId="23" applyFont="1" applyBorder="1" applyAlignment="1">
      <alignment horizontal="center" vertical="center"/>
    </xf>
    <xf numFmtId="0" fontId="25" fillId="3" borderId="20" xfId="23" applyFont="1" applyFill="1" applyBorder="1" applyAlignment="1">
      <alignment horizontal="left"/>
    </xf>
    <xf numFmtId="0" fontId="24" fillId="3" borderId="21" xfId="23" applyFont="1" applyFill="1" applyBorder="1" applyAlignment="1">
      <alignment horizontal="left"/>
    </xf>
    <xf numFmtId="165" fontId="24" fillId="3" borderId="22" xfId="23" quotePrefix="1" applyNumberFormat="1" applyFont="1" applyFill="1" applyBorder="1" applyAlignment="1">
      <alignment horizontal="left"/>
    </xf>
    <xf numFmtId="165" fontId="24" fillId="3" borderId="23" xfId="23" applyNumberFormat="1" applyFont="1" applyFill="1" applyBorder="1" applyAlignment="1">
      <alignment horizontal="left"/>
    </xf>
    <xf numFmtId="0" fontId="29" fillId="16" borderId="2" xfId="23" applyFont="1" applyFill="1" applyBorder="1" applyAlignment="1">
      <alignment horizontal="center" vertical="center"/>
    </xf>
    <xf numFmtId="9" fontId="52" fillId="9" borderId="2" xfId="6" applyNumberFormat="1" applyFont="1" applyFill="1" applyBorder="1" applyAlignment="1" applyProtection="1">
      <alignment horizontal="center"/>
    </xf>
    <xf numFmtId="0" fontId="80" fillId="39" borderId="55" xfId="0" applyFont="1" applyFill="1" applyBorder="1" applyAlignment="1" applyProtection="1">
      <alignment horizontal="center" vertical="center" wrapText="1"/>
    </xf>
    <xf numFmtId="0" fontId="78" fillId="39" borderId="54" xfId="0" applyFont="1" applyFill="1" applyBorder="1" applyAlignment="1" applyProtection="1">
      <alignment horizontal="center" vertical="center"/>
    </xf>
    <xf numFmtId="0" fontId="78" fillId="39" borderId="67" xfId="0" applyFont="1" applyFill="1" applyBorder="1" applyAlignment="1" applyProtection="1">
      <alignment horizontal="center" vertical="center"/>
    </xf>
    <xf numFmtId="0" fontId="78" fillId="39" borderId="67" xfId="0" applyFont="1" applyFill="1" applyBorder="1" applyAlignment="1" applyProtection="1">
      <alignment vertical="center"/>
    </xf>
    <xf numFmtId="0" fontId="25" fillId="39" borderId="7" xfId="0" applyFont="1" applyFill="1" applyBorder="1" applyProtection="1"/>
    <xf numFmtId="0" fontId="25" fillId="39" borderId="6" xfId="0" applyFont="1" applyFill="1" applyBorder="1" applyAlignment="1" applyProtection="1">
      <alignment horizontal="left"/>
    </xf>
    <xf numFmtId="0" fontId="24" fillId="39" borderId="0" xfId="0" applyFont="1" applyFill="1" applyProtection="1"/>
    <xf numFmtId="0" fontId="80" fillId="39" borderId="4" xfId="0" applyFont="1" applyFill="1" applyBorder="1" applyAlignment="1" applyProtection="1">
      <alignment horizontal="center" vertical="center"/>
    </xf>
    <xf numFmtId="0" fontId="78" fillId="39" borderId="8" xfId="0" applyFont="1" applyFill="1" applyBorder="1" applyAlignment="1" applyProtection="1">
      <alignment horizontal="center" vertical="center"/>
    </xf>
    <xf numFmtId="0" fontId="78" fillId="39" borderId="1" xfId="0" applyFont="1" applyFill="1" applyBorder="1" applyAlignment="1" applyProtection="1">
      <alignment horizontal="center" vertical="center"/>
    </xf>
    <xf numFmtId="0" fontId="78" fillId="39" borderId="1" xfId="0" applyFont="1" applyFill="1" applyBorder="1" applyAlignment="1" applyProtection="1">
      <alignment vertical="center"/>
    </xf>
    <xf numFmtId="0" fontId="25" fillId="39" borderId="2" xfId="0" applyFont="1" applyFill="1" applyBorder="1" applyAlignment="1" applyProtection="1">
      <alignment wrapText="1"/>
    </xf>
    <xf numFmtId="0" fontId="25" fillId="39" borderId="54" xfId="0" applyFont="1" applyFill="1" applyBorder="1" applyAlignment="1" applyProtection="1">
      <alignment horizontal="left"/>
    </xf>
    <xf numFmtId="0" fontId="25" fillId="39" borderId="65" xfId="0" applyFont="1" applyFill="1" applyBorder="1" applyAlignment="1" applyProtection="1">
      <alignment horizontal="left"/>
    </xf>
    <xf numFmtId="0" fontId="80" fillId="39" borderId="5" xfId="0" applyFont="1" applyFill="1" applyBorder="1" applyAlignment="1" applyProtection="1">
      <alignment horizontal="center" vertical="center"/>
    </xf>
    <xf numFmtId="0" fontId="78" fillId="39" borderId="76" xfId="0" applyFont="1" applyFill="1" applyBorder="1" applyAlignment="1" applyProtection="1">
      <alignment horizontal="center" vertical="center"/>
    </xf>
    <xf numFmtId="0" fontId="78" fillId="39" borderId="82" xfId="0" applyFont="1" applyFill="1" applyBorder="1" applyAlignment="1" applyProtection="1">
      <alignment horizontal="center" vertical="center"/>
    </xf>
    <xf numFmtId="0" fontId="78" fillId="39" borderId="47" xfId="0" applyFont="1" applyFill="1" applyBorder="1" applyAlignment="1" applyProtection="1">
      <alignment vertical="center"/>
    </xf>
    <xf numFmtId="168" fontId="24" fillId="39" borderId="76" xfId="0" applyNumberFormat="1" applyFont="1" applyFill="1" applyBorder="1" applyAlignment="1" applyProtection="1">
      <alignment horizontal="left"/>
    </xf>
    <xf numFmtId="168" fontId="24" fillId="39" borderId="83" xfId="0" applyNumberFormat="1" applyFont="1" applyFill="1" applyBorder="1" applyProtection="1"/>
    <xf numFmtId="0" fontId="24" fillId="39" borderId="47" xfId="0" applyFont="1" applyFill="1" applyBorder="1" applyAlignment="1" applyProtection="1">
      <alignment horizontal="center"/>
    </xf>
    <xf numFmtId="0" fontId="25" fillId="9" borderId="2" xfId="0" applyFont="1" applyFill="1" applyBorder="1" applyAlignment="1" applyProtection="1">
      <alignment horizontal="center" vertical="center" wrapText="1"/>
    </xf>
    <xf numFmtId="0" fontId="25" fillId="9" borderId="55" xfId="0" applyFont="1" applyFill="1" applyBorder="1" applyAlignment="1" applyProtection="1">
      <alignment horizontal="center" vertical="center" wrapText="1"/>
    </xf>
    <xf numFmtId="0" fontId="25" fillId="9" borderId="2" xfId="0" applyFont="1" applyFill="1" applyBorder="1" applyAlignment="1" applyProtection="1">
      <alignment horizontal="center" vertical="center"/>
    </xf>
    <xf numFmtId="0" fontId="25" fillId="15" borderId="2" xfId="0" applyFont="1" applyFill="1" applyBorder="1" applyAlignment="1" applyProtection="1">
      <alignment vertical="center" wrapText="1"/>
    </xf>
    <xf numFmtId="0" fontId="25" fillId="9" borderId="4" xfId="0" applyFont="1" applyFill="1" applyBorder="1" applyAlignment="1" applyProtection="1">
      <alignment horizontal="center" vertical="center" wrapText="1"/>
    </xf>
    <xf numFmtId="0" fontId="25" fillId="9" borderId="46" xfId="0" applyFont="1" applyFill="1" applyBorder="1" applyAlignment="1" applyProtection="1">
      <alignment horizontal="center" vertical="center"/>
    </xf>
    <xf numFmtId="0" fontId="25" fillId="9" borderId="75" xfId="0" applyFont="1" applyFill="1" applyBorder="1" applyAlignment="1" applyProtection="1">
      <alignment horizontal="center" vertical="center" wrapText="1"/>
    </xf>
    <xf numFmtId="0" fontId="25" fillId="15" borderId="4" xfId="0" applyFont="1" applyFill="1" applyBorder="1" applyAlignment="1" applyProtection="1">
      <alignment horizontal="center" vertical="center" wrapText="1"/>
    </xf>
    <xf numFmtId="0" fontId="25" fillId="9" borderId="5" xfId="0" applyFont="1" applyFill="1" applyBorder="1" applyAlignment="1" applyProtection="1">
      <alignment horizontal="center" vertical="center" wrapText="1"/>
    </xf>
    <xf numFmtId="0" fontId="25" fillId="11" borderId="2" xfId="0" applyFont="1" applyFill="1" applyBorder="1" applyAlignment="1" applyProtection="1">
      <alignment horizontal="center" vertical="center"/>
    </xf>
    <xf numFmtId="0" fontId="25" fillId="9" borderId="2" xfId="0" applyFont="1" applyFill="1" applyBorder="1" applyAlignment="1" applyProtection="1">
      <alignment horizontal="center" vertical="center" wrapText="1"/>
    </xf>
    <xf numFmtId="0" fontId="25" fillId="15" borderId="5" xfId="0" applyFont="1" applyFill="1" applyBorder="1" applyAlignment="1" applyProtection="1">
      <alignment horizontal="center" vertical="center" wrapText="1"/>
    </xf>
    <xf numFmtId="0" fontId="24" fillId="0" borderId="2" xfId="0" applyFont="1" applyBorder="1" applyAlignment="1" applyProtection="1">
      <alignment horizontal="justify" vertical="center" wrapText="1"/>
    </xf>
    <xf numFmtId="0" fontId="20" fillId="0" borderId="2" xfId="0" applyFont="1" applyBorder="1" applyAlignment="1" applyProtection="1">
      <alignment horizontal="justify" vertical="center" wrapText="1" readingOrder="1"/>
    </xf>
    <xf numFmtId="0" fontId="24" fillId="0" borderId="2" xfId="0" applyFont="1" applyBorder="1" applyAlignment="1" applyProtection="1">
      <alignment horizontal="justify" vertical="center" wrapText="1"/>
    </xf>
    <xf numFmtId="3" fontId="24" fillId="0" borderId="2" xfId="0" applyNumberFormat="1" applyFont="1" applyFill="1" applyBorder="1" applyAlignment="1" applyProtection="1">
      <alignment horizontal="center" vertical="center" wrapText="1"/>
    </xf>
    <xf numFmtId="170" fontId="24" fillId="0" borderId="55" xfId="0" applyNumberFormat="1" applyFont="1" applyBorder="1" applyAlignment="1" applyProtection="1">
      <alignment horizontal="center" vertical="center" wrapText="1"/>
    </xf>
    <xf numFmtId="170" fontId="24" fillId="0" borderId="4" xfId="0" applyNumberFormat="1" applyFont="1" applyBorder="1" applyAlignment="1" applyProtection="1">
      <alignment horizontal="center" vertical="center" wrapText="1"/>
    </xf>
    <xf numFmtId="170" fontId="24" fillId="0" borderId="5" xfId="0" applyNumberFormat="1" applyFont="1" applyBorder="1" applyAlignment="1" applyProtection="1">
      <alignment horizontal="center" vertical="center" wrapText="1"/>
    </xf>
    <xf numFmtId="0" fontId="24" fillId="5" borderId="2" xfId="0" applyFont="1" applyFill="1" applyBorder="1" applyAlignment="1" applyProtection="1">
      <alignment horizontal="justify" vertical="center" wrapText="1"/>
    </xf>
    <xf numFmtId="0" fontId="20" fillId="5" borderId="2" xfId="0" applyFont="1" applyFill="1" applyBorder="1" applyAlignment="1" applyProtection="1">
      <alignment horizontal="justify" vertical="center" wrapText="1" readingOrder="1"/>
    </xf>
    <xf numFmtId="0" fontId="24" fillId="5" borderId="2" xfId="0" applyFont="1" applyFill="1" applyBorder="1" applyAlignment="1" applyProtection="1">
      <alignment horizontal="justify" vertical="center" wrapText="1"/>
    </xf>
    <xf numFmtId="3" fontId="24" fillId="5" borderId="2" xfId="0" applyNumberFormat="1" applyFont="1" applyFill="1" applyBorder="1" applyAlignment="1" applyProtection="1">
      <alignment horizontal="center" vertical="center" wrapText="1"/>
    </xf>
    <xf numFmtId="169" fontId="24" fillId="0" borderId="55" xfId="0" applyNumberFormat="1" applyFont="1" applyBorder="1" applyAlignment="1" applyProtection="1">
      <alignment horizontal="center" vertical="center" wrapText="1"/>
    </xf>
    <xf numFmtId="169" fontId="24" fillId="0" borderId="4" xfId="0" applyNumberFormat="1" applyFont="1" applyBorder="1" applyAlignment="1" applyProtection="1">
      <alignment horizontal="center" vertical="center" wrapText="1"/>
    </xf>
    <xf numFmtId="169" fontId="24" fillId="0" borderId="5" xfId="0" applyNumberFormat="1" applyFont="1" applyBorder="1" applyAlignment="1" applyProtection="1">
      <alignment horizontal="center" vertical="center" wrapText="1"/>
    </xf>
    <xf numFmtId="0" fontId="24" fillId="0" borderId="55" xfId="0" applyFont="1" applyBorder="1" applyAlignment="1" applyProtection="1">
      <alignment horizontal="justify" vertical="center" wrapText="1"/>
    </xf>
    <xf numFmtId="0" fontId="24" fillId="0" borderId="4" xfId="0" applyFont="1" applyBorder="1" applyAlignment="1" applyProtection="1">
      <alignment horizontal="justify" vertical="center" wrapText="1"/>
    </xf>
    <xf numFmtId="1" fontId="24" fillId="0" borderId="2" xfId="0" applyNumberFormat="1" applyFont="1" applyBorder="1" applyAlignment="1" applyProtection="1">
      <alignment horizontal="center" vertical="center" wrapText="1"/>
    </xf>
    <xf numFmtId="0" fontId="24" fillId="0" borderId="5" xfId="0" applyFont="1" applyBorder="1" applyAlignment="1" applyProtection="1">
      <alignment horizontal="justify" vertical="center" wrapText="1"/>
    </xf>
    <xf numFmtId="0" fontId="24" fillId="0" borderId="2" xfId="0" applyFont="1" applyFill="1" applyBorder="1" applyAlignment="1" applyProtection="1">
      <alignment horizontal="justify" vertical="center" wrapText="1"/>
    </xf>
    <xf numFmtId="0" fontId="24" fillId="5" borderId="4" xfId="0" applyFont="1" applyFill="1" applyBorder="1" applyAlignment="1" applyProtection="1">
      <alignment horizontal="justify" vertical="center" wrapText="1"/>
    </xf>
    <xf numFmtId="9" fontId="20" fillId="5" borderId="2" xfId="0" applyNumberFormat="1" applyFont="1" applyFill="1" applyBorder="1" applyAlignment="1" applyProtection="1">
      <alignment horizontal="center" vertical="center" wrapText="1" readingOrder="1"/>
    </xf>
    <xf numFmtId="169" fontId="24" fillId="0" borderId="2" xfId="0" applyNumberFormat="1" applyFont="1" applyBorder="1" applyAlignment="1" applyProtection="1">
      <alignment horizontal="center" vertical="center" wrapText="1"/>
    </xf>
    <xf numFmtId="0" fontId="24" fillId="5" borderId="5" xfId="0" applyFont="1" applyFill="1" applyBorder="1" applyAlignment="1" applyProtection="1">
      <alignment horizontal="justify" vertical="center" wrapText="1"/>
    </xf>
    <xf numFmtId="1" fontId="24" fillId="5" borderId="2" xfId="0" applyNumberFormat="1" applyFont="1" applyFill="1" applyBorder="1" applyAlignment="1" applyProtection="1">
      <alignment horizontal="center" vertical="center" wrapText="1"/>
    </xf>
    <xf numFmtId="0" fontId="24" fillId="0" borderId="5" xfId="0" applyFont="1" applyBorder="1" applyAlignment="1" applyProtection="1">
      <alignment horizontal="justify" vertical="center" wrapText="1"/>
    </xf>
    <xf numFmtId="0" fontId="24" fillId="3" borderId="2" xfId="0" applyFont="1" applyFill="1" applyBorder="1" applyAlignment="1" applyProtection="1">
      <alignment horizontal="justify" vertical="center" wrapText="1"/>
    </xf>
    <xf numFmtId="0" fontId="79" fillId="9" borderId="2" xfId="0" applyFont="1" applyFill="1" applyBorder="1" applyAlignment="1" applyProtection="1">
      <alignment horizontal="center"/>
    </xf>
    <xf numFmtId="0" fontId="79" fillId="9" borderId="2" xfId="0" applyFont="1" applyFill="1" applyBorder="1" applyAlignment="1" applyProtection="1">
      <alignment horizontal="center" vertical="center"/>
    </xf>
    <xf numFmtId="169" fontId="24" fillId="39" borderId="0" xfId="0" applyNumberFormat="1" applyFont="1" applyFill="1" applyProtection="1"/>
    <xf numFmtId="0" fontId="24" fillId="9" borderId="2" xfId="0" applyFont="1" applyFill="1" applyBorder="1" applyAlignment="1" applyProtection="1">
      <alignment vertical="center" wrapText="1"/>
    </xf>
    <xf numFmtId="14" fontId="24" fillId="39" borderId="6" xfId="0" applyNumberFormat="1" applyFont="1" applyFill="1" applyBorder="1" applyAlignment="1" applyProtection="1">
      <alignment horizontal="center" vertical="center" wrapText="1"/>
    </xf>
    <xf numFmtId="0" fontId="24" fillId="39" borderId="1" xfId="0" applyFont="1" applyFill="1" applyBorder="1" applyAlignment="1" applyProtection="1">
      <alignment horizontal="center" vertical="center" wrapText="1"/>
    </xf>
  </cellXfs>
  <cellStyles count="68">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20" xfId="65" xr:uid="{4BF30963-F3BC-4DDB-BAB7-1CC296854E04}"/>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3 6" xfId="66" xr:uid="{619C25F4-DC6D-4649-B5C6-8A7816E7DBDE}"/>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 name="Porcentaje 7" xfId="67" xr:uid="{0011DA3C-BBFC-4933-80B6-1AAEEC690928}"/>
  </cellStyles>
  <dxfs count="840">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3" tint="0.79998168889431442"/>
        </patternFill>
      </fill>
    </dxf>
    <dxf>
      <fill>
        <patternFill>
          <bgColor rgb="FF0070C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0" tint="-0.14996795556505021"/>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theme="0" tint="-0.14996795556505021"/>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0" tint="-0.14996795556505021"/>
        </patternFill>
      </fill>
    </dxf>
    <dxf>
      <fill>
        <patternFill>
          <bgColor rgb="FFFF0000"/>
        </patternFill>
      </fill>
    </dxf>
    <dxf>
      <fill>
        <patternFill>
          <bgColor rgb="FF00B050"/>
        </patternFill>
      </fill>
    </dxf>
    <dxf>
      <fill>
        <patternFill>
          <bgColor rgb="FF0070C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0" tint="-0.14996795556505021"/>
        </patternFill>
      </fill>
    </dxf>
    <dxf>
      <fill>
        <patternFill>
          <bgColor rgb="FF0070C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theme="3" tint="0.79998168889431442"/>
        </patternFill>
      </fill>
    </dxf>
    <dxf>
      <fill>
        <patternFill>
          <bgColor rgb="FFFFFF00"/>
        </patternFill>
      </fill>
    </dxf>
    <dxf>
      <fill>
        <patternFill>
          <bgColor rgb="FF0070C0"/>
        </patternFill>
      </fill>
    </dxf>
    <dxf>
      <fill>
        <patternFill>
          <bgColor rgb="FF00B05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4.9989318521683403E-2"/>
        </patternFill>
      </fill>
    </dxf>
    <dxf>
      <fill>
        <patternFill>
          <bgColor rgb="FF0070C0"/>
        </patternFill>
      </fill>
    </dxf>
    <dxf>
      <fill>
        <patternFill>
          <bgColor rgb="FF0070C0"/>
        </patternFill>
      </fill>
    </dxf>
    <dxf>
      <fill>
        <patternFill>
          <bgColor rgb="FFFF0000"/>
        </patternFill>
      </fill>
    </dxf>
    <dxf>
      <fill>
        <patternFill>
          <bgColor theme="0" tint="-4.9989318521683403E-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4.9989318521683403E-2"/>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B050"/>
        </patternFill>
      </fill>
    </dxf>
    <dxf>
      <fill>
        <patternFill>
          <bgColor rgb="FFFF0000"/>
        </patternFill>
      </fill>
    </dxf>
    <dxf>
      <fill>
        <patternFill>
          <bgColor theme="0" tint="-4.9989318521683403E-2"/>
        </patternFill>
      </fill>
    </dxf>
    <dxf>
      <fill>
        <patternFill>
          <bgColor rgb="FFFFFF00"/>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0" tint="-4.9989318521683403E-2"/>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70C0"/>
        </patternFill>
      </fill>
    </dxf>
    <dxf>
      <fill>
        <patternFill>
          <bgColor theme="0" tint="-0.1499679555650502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
      <numFmt numFmtId="164" formatCode="0.0%"/>
    </dxf>
    <dxf>
      <numFmt numFmtId="3" formatCode="#,##0"/>
    </dxf>
    <dxf>
      <numFmt numFmtId="175" formatCode="&quot;$&quot;\ #,##0"/>
    </dxf>
  </dxfs>
  <tableStyles count="0" defaultTableStyle="TableStyleMedium9" defaultPivotStyle="PivotStyleMedium4"/>
  <colors>
    <mruColors>
      <color rgb="FF0099FF"/>
      <color rgb="FF99FF33"/>
      <color rgb="FFFF66FF"/>
      <color rgb="FFFFFFCC"/>
      <color rgb="FF66FF33"/>
      <color rgb="FF00FF99"/>
      <color rgb="FFFFFF99"/>
      <color rgb="FFFF0000"/>
      <color rgb="FFFFCC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explosion val="5"/>
          <c:dPt>
            <c:idx val="0"/>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9F71-4DFC-A434-AD0CDDB3CC47}"/>
              </c:ext>
            </c:extLst>
          </c:dPt>
          <c:dPt>
            <c:idx val="1"/>
            <c:bubble3D val="0"/>
            <c:spPr>
              <a:solidFill>
                <a:srgbClr val="CC99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F71-4DFC-A434-AD0CDDB3CC47}"/>
              </c:ext>
            </c:extLst>
          </c:dPt>
          <c:dPt>
            <c:idx val="2"/>
            <c:bubble3D val="0"/>
            <c:spPr>
              <a:solidFill>
                <a:srgbClr val="00FF99"/>
              </a:solidFill>
              <a:ln w="25400">
                <a:solidFill>
                  <a:schemeClr val="lt1"/>
                </a:solidFill>
              </a:ln>
              <a:effectLst/>
              <a:sp3d contourW="25400">
                <a:contourClr>
                  <a:schemeClr val="lt1"/>
                </a:contourClr>
              </a:sp3d>
            </c:spPr>
            <c:extLst>
              <c:ext xmlns:c16="http://schemas.microsoft.com/office/drawing/2014/chart" uri="{C3380CC4-5D6E-409C-BE32-E72D297353CC}">
                <c16:uniqueId val="{00000005-9F71-4DFC-A434-AD0CDDB3CC47}"/>
              </c:ext>
            </c:extLst>
          </c:dPt>
          <c:dPt>
            <c:idx val="3"/>
            <c:bubble3D val="0"/>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7-9F71-4DFC-A434-AD0CDDB3CC47}"/>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F71-4DFC-A434-AD0CDDB3CC47}"/>
              </c:ext>
            </c:extLst>
          </c:dPt>
          <c:dLbls>
            <c:spPr>
              <a:noFill/>
              <a:ln>
                <a:noFill/>
              </a:ln>
              <a:effectLst/>
            </c:spPr>
            <c:txPr>
              <a:bodyPr rot="0" spcFirstLastPara="1" vertOverflow="ellipsis" vert="horz" wrap="square" lIns="38100" tIns="19050" rIns="38100" bIns="19050" anchor="ctr" anchorCtr="1">
                <a:spAutoFit/>
              </a:bodyPr>
              <a:lstStyle/>
              <a:p>
                <a:pPr>
                  <a:defRPr sz="3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'3-Grado Cump Metas Estratégicas'!$C$66:$C$70</c:f>
              <c:strCache>
                <c:ptCount val="5"/>
                <c:pt idx="0">
                  <c:v>Objetivo Estratégico 1</c:v>
                </c:pt>
                <c:pt idx="1">
                  <c:v>Objetivo Estratégico 2</c:v>
                </c:pt>
                <c:pt idx="2">
                  <c:v>Objetivo Estratégico 3</c:v>
                </c:pt>
                <c:pt idx="3">
                  <c:v>Objetivo Estratégico 4</c:v>
                </c:pt>
                <c:pt idx="4">
                  <c:v>Objetivo Estratégico 5</c:v>
                </c:pt>
              </c:strCache>
            </c:strRef>
          </c:cat>
          <c:val>
            <c:numRef>
              <c:f>'3-Grado Cump Metas Estratégicas'!$D$66:$D$70</c:f>
              <c:numCache>
                <c:formatCode>0.0%</c:formatCode>
                <c:ptCount val="5"/>
                <c:pt idx="0">
                  <c:v>0.68535995631230484</c:v>
                </c:pt>
                <c:pt idx="1">
                  <c:v>0.73000770416024652</c:v>
                </c:pt>
                <c:pt idx="2">
                  <c:v>0.55319902985074632</c:v>
                </c:pt>
                <c:pt idx="3">
                  <c:v>0.6796724398821552</c:v>
                </c:pt>
                <c:pt idx="4">
                  <c:v>0.55374999999999996</c:v>
                </c:pt>
              </c:numCache>
            </c:numRef>
          </c:val>
          <c:extLst>
            <c:ext xmlns:c16="http://schemas.microsoft.com/office/drawing/2014/chart" uri="{C3380CC4-5D6E-409C-BE32-E72D297353CC}">
              <c16:uniqueId val="{0000000A-9F71-4DFC-A434-AD0CDDB3CC4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89258896247122199"/>
          <c:h val="7.625648911447434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'3-Grado Cump Metas Estratégicas'!$D$40</c:f>
              <c:strCache>
                <c:ptCount val="1"/>
                <c:pt idx="0">
                  <c:v>GRADO DE CUMPLIMIENTO POR META ESTRATÉGICA</c:v>
                </c:pt>
              </c:strCache>
            </c:strRef>
          </c:tx>
          <c:spPr>
            <a:solidFill>
              <a:srgbClr val="00FF99"/>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Estratégicas'!$C$41:$C$61</c:f>
              <c:strCache>
                <c:ptCount val="21"/>
                <c:pt idx="1">
                  <c:v>Meta Estratégica 1.1</c:v>
                </c:pt>
                <c:pt idx="2">
                  <c:v>Meta Estratégica 1.2</c:v>
                </c:pt>
                <c:pt idx="3">
                  <c:v>Meta Estratégica 1.3</c:v>
                </c:pt>
                <c:pt idx="4">
                  <c:v>Meta Estratégica 2.1</c:v>
                </c:pt>
                <c:pt idx="5">
                  <c:v>Meta Estratégica 2.2</c:v>
                </c:pt>
                <c:pt idx="6">
                  <c:v>Meta Estratégica 2.3</c:v>
                </c:pt>
                <c:pt idx="7">
                  <c:v>Meta Estratégica 3.1</c:v>
                </c:pt>
                <c:pt idx="8">
                  <c:v>Meta Estratégica 3.2</c:v>
                </c:pt>
                <c:pt idx="9">
                  <c:v>Meta Estratégica 3.3</c:v>
                </c:pt>
                <c:pt idx="10">
                  <c:v>Meta Estratégica 3.4</c:v>
                </c:pt>
                <c:pt idx="11">
                  <c:v>Meta Estratégica 4.1</c:v>
                </c:pt>
                <c:pt idx="12">
                  <c:v>Meta Estratégica 4.2</c:v>
                </c:pt>
                <c:pt idx="13">
                  <c:v>Meta Estratégica 4.3</c:v>
                </c:pt>
                <c:pt idx="14">
                  <c:v>Meta Estratégica 4.4</c:v>
                </c:pt>
                <c:pt idx="15">
                  <c:v>Meta Estratégica 4.5</c:v>
                </c:pt>
                <c:pt idx="16">
                  <c:v>Meta Estratégica 4.6</c:v>
                </c:pt>
                <c:pt idx="17">
                  <c:v>Meta Estratégica 4.7</c:v>
                </c:pt>
                <c:pt idx="18">
                  <c:v>Meta Estratégica 5.1</c:v>
                </c:pt>
                <c:pt idx="19">
                  <c:v>Meta Estratégica 5.2</c:v>
                </c:pt>
                <c:pt idx="20">
                  <c:v>Meta Estratégica 5.3</c:v>
                </c:pt>
              </c:strCache>
            </c:strRef>
          </c:cat>
          <c:val>
            <c:numRef>
              <c:f>'3-Grado Cump Metas Estratégicas'!$D$41:$D$61</c:f>
              <c:numCache>
                <c:formatCode>0.0%</c:formatCode>
                <c:ptCount val="21"/>
                <c:pt idx="1">
                  <c:v>0.69146267277259543</c:v>
                </c:pt>
                <c:pt idx="2">
                  <c:v>0.75463497231198573</c:v>
                </c:pt>
                <c:pt idx="3">
                  <c:v>0.50409090909090915</c:v>
                </c:pt>
                <c:pt idx="4">
                  <c:v>0.49999999999999989</c:v>
                </c:pt>
                <c:pt idx="5">
                  <c:v>0.80227272727272725</c:v>
                </c:pt>
                <c:pt idx="6">
                  <c:v>0.98644067796610169</c:v>
                </c:pt>
                <c:pt idx="7">
                  <c:v>0.49349757462686572</c:v>
                </c:pt>
                <c:pt idx="8">
                  <c:v>0.4986666666666667</c:v>
                </c:pt>
                <c:pt idx="9">
                  <c:v>0.5</c:v>
                </c:pt>
                <c:pt idx="10">
                  <c:v>0.66</c:v>
                </c:pt>
                <c:pt idx="11">
                  <c:v>0.7</c:v>
                </c:pt>
                <c:pt idx="12">
                  <c:v>0.63841403602328473</c:v>
                </c:pt>
                <c:pt idx="13">
                  <c:v>0.51071176092574044</c:v>
                </c:pt>
                <c:pt idx="14">
                  <c:v>0.50601327943021401</c:v>
                </c:pt>
                <c:pt idx="15">
                  <c:v>0.5707297297297298</c:v>
                </c:pt>
                <c:pt idx="16">
                  <c:v>0.5</c:v>
                </c:pt>
                <c:pt idx="17">
                  <c:v>1.3333333333333333</c:v>
                </c:pt>
                <c:pt idx="18">
                  <c:v>0.625</c:v>
                </c:pt>
                <c:pt idx="19">
                  <c:v>0.5</c:v>
                </c:pt>
                <c:pt idx="20">
                  <c:v>0.51249999999999996</c:v>
                </c:pt>
              </c:numCache>
            </c:numRef>
          </c:val>
          <c:extLst>
            <c:ext xmlns:c16="http://schemas.microsoft.com/office/drawing/2014/chart" uri="{C3380CC4-5D6E-409C-BE32-E72D297353CC}">
              <c16:uniqueId val="{00000000-8B16-4E83-BE0E-45ADBDD52DF8}"/>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0EA-4A8D-9727-27A4A293A0A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0EA-4A8D-9727-27A4A293A0A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0EA-4A8D-9727-27A4A293A0A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0EA-4A8D-9727-27A4A293A0A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EA-4A8D-9727-27A4A293A0A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EA-4A8D-9727-27A4A293A0A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EA-4A8D-9727-27A4A293A0A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0EA-4A8D-9727-27A4A293A0A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8-F0EA-4A8D-9727-27A4A293A0A5}"/>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0EA-4A8D-9727-27A4A293A0A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0EA-4A8D-9727-27A4A293A0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0EA-4A8D-9727-27A4A293A0A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0EA-4A8D-9727-27A4A293A0A5}"/>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F0EA-4A8D-9727-27A4A293A0A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41B-4876-B35F-E0E6F4E111B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41B-4876-B35F-E0E6F4E111B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41B-4876-B35F-E0E6F4E111B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41B-4876-B35F-E0E6F4E111B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B-4876-B35F-E0E6F4E111B8}"/>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1B-4876-B35F-E0E6F4E111B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8-C41B-4876-B35F-E0E6F4E111B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018-4B52-978B-81E64BE6C49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018-4B52-978B-81E64BE6C49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018-4B52-978B-81E64BE6C49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1018-4B52-978B-81E64BE6C49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18-4B52-978B-81E64BE6C49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18-4B52-978B-81E64BE6C49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18-4B52-978B-81E64BE6C49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1018-4B52-978B-81E64BE6C49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T2'!$E$27:$E$30</c:f>
              <c:numCache>
                <c:formatCode>0</c:formatCode>
                <c:ptCount val="4"/>
                <c:pt idx="0">
                  <c:v>35</c:v>
                </c:pt>
                <c:pt idx="1">
                  <c:v>22</c:v>
                </c:pt>
                <c:pt idx="2">
                  <c:v>19</c:v>
                </c:pt>
                <c:pt idx="3">
                  <c:v>11</c:v>
                </c:pt>
              </c:numCache>
            </c:numRef>
          </c:val>
          <c:extLst>
            <c:ext xmlns:c16="http://schemas.microsoft.com/office/drawing/2014/chart" uri="{C3380CC4-5D6E-409C-BE32-E72D297353CC}">
              <c16:uniqueId val="{00000008-1018-4B52-978B-81E64BE6C49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1018-4B52-978B-81E64BE6C49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1018-4B52-978B-81E64BE6C49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1018-4B52-978B-81E64BE6C49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1018-4B52-978B-81E64BE6C49E}"/>
              </c:ext>
            </c:extLst>
          </c:dPt>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1018-4B52-978B-81E64BE6C49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AAC-4084-94C8-F5E0E4E4625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AAC-4084-94C8-F5E0E4E4625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AAC-4084-94C8-F5E0E4E4625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AAC-4084-94C8-F5E0E4E4625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AC-4084-94C8-F5E0E4E4625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AC-4084-94C8-F5E0E4E4625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AC-4084-94C8-F5E0E4E4625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T2'!$E$56:$E$59</c:f>
              <c:numCache>
                <c:formatCode>0</c:formatCode>
                <c:ptCount val="4"/>
                <c:pt idx="0">
                  <c:v>35</c:v>
                </c:pt>
                <c:pt idx="1">
                  <c:v>28</c:v>
                </c:pt>
                <c:pt idx="2">
                  <c:v>15</c:v>
                </c:pt>
                <c:pt idx="3">
                  <c:v>9</c:v>
                </c:pt>
              </c:numCache>
            </c:numRef>
          </c:val>
          <c:extLst>
            <c:ext xmlns:c16="http://schemas.microsoft.com/office/drawing/2014/chart" uri="{C3380CC4-5D6E-409C-BE32-E72D297353CC}">
              <c16:uniqueId val="{00000008-AAAC-4084-94C8-F5E0E4E4625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4981504849392661"/>
          <c:y val="0.8217655689475021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T2'!$C$8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B3D0-401C-99DE-55FADC2BE93C}"/>
              </c:ext>
            </c:extLst>
          </c:dPt>
          <c:dPt>
            <c:idx val="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3-B3D0-401C-99DE-55FADC2BE93C}"/>
              </c:ext>
            </c:extLst>
          </c:dPt>
          <c:dPt>
            <c:idx val="2"/>
            <c:invertIfNegative val="0"/>
            <c:bubble3D val="0"/>
            <c:extLst>
              <c:ext xmlns:c16="http://schemas.microsoft.com/office/drawing/2014/chart" uri="{C3380CC4-5D6E-409C-BE32-E72D297353CC}">
                <c16:uniqueId val="{00000005-B3D0-401C-99DE-55FADC2BE93C}"/>
              </c:ext>
            </c:extLst>
          </c:dPt>
          <c:dPt>
            <c:idx val="3"/>
            <c:invertIfNegative val="0"/>
            <c:bubble3D val="0"/>
            <c:extLst>
              <c:ext xmlns:c16="http://schemas.microsoft.com/office/drawing/2014/chart" uri="{C3380CC4-5D6E-409C-BE32-E72D297353CC}">
                <c16:uniqueId val="{00000007-B3D0-401C-99DE-55FADC2BE93C}"/>
              </c:ext>
            </c:extLst>
          </c:dPt>
          <c:dPt>
            <c:idx val="4"/>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09-B3D0-401C-99DE-55FADC2BE93C}"/>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B3D0-401C-99DE-55FADC2BE93C}"/>
              </c:ext>
            </c:extLst>
          </c:dPt>
          <c:dPt>
            <c:idx val="6"/>
            <c:invertIfNegative val="0"/>
            <c:bubble3D val="0"/>
            <c:spPr>
              <a:solidFill>
                <a:srgbClr val="FF0000"/>
              </a:solidFill>
              <a:ln>
                <a:noFill/>
              </a:ln>
              <a:effectLst/>
              <a:scene3d>
                <a:camera prst="orthographicFront"/>
                <a:lightRig rig="threePt" dir="t"/>
              </a:scene3d>
              <a:sp3d>
                <a:bevelT/>
              </a:sp3d>
            </c:spPr>
            <c:extLst>
              <c:ext xmlns:c16="http://schemas.microsoft.com/office/drawing/2014/chart" uri="{C3380CC4-5D6E-409C-BE32-E72D297353CC}">
                <c16:uniqueId val="{0000000D-B3D0-401C-99DE-55FADC2BE93C}"/>
              </c:ext>
            </c:extLst>
          </c:dPt>
          <c:dPt>
            <c:idx val="7"/>
            <c:invertIfNegative val="0"/>
            <c:bubble3D val="0"/>
            <c:extLst>
              <c:ext xmlns:c16="http://schemas.microsoft.com/office/drawing/2014/chart" uri="{C3380CC4-5D6E-409C-BE32-E72D297353CC}">
                <c16:uniqueId val="{0000000F-B3D0-401C-99DE-55FADC2BE93C}"/>
              </c:ext>
            </c:extLst>
          </c:dPt>
          <c:dPt>
            <c:idx val="8"/>
            <c:invertIfNegative val="0"/>
            <c:bubble3D val="0"/>
            <c:extLst>
              <c:ext xmlns:c16="http://schemas.microsoft.com/office/drawing/2014/chart" uri="{C3380CC4-5D6E-409C-BE32-E72D297353CC}">
                <c16:uniqueId val="{00000011-B3D0-401C-99DE-55FADC2BE93C}"/>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B3D0-401C-99DE-55FADC2BE93C}"/>
              </c:ext>
            </c:extLst>
          </c:dPt>
          <c:dPt>
            <c:idx val="10"/>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5-B3D0-401C-99DE-55FADC2BE93C}"/>
              </c:ext>
            </c:extLst>
          </c:dPt>
          <c:dPt>
            <c:idx val="11"/>
            <c:invertIfNegative val="0"/>
            <c:bubble3D val="0"/>
            <c:spPr>
              <a:solidFill>
                <a:srgbClr val="66FF33"/>
              </a:solidFill>
              <a:ln>
                <a:noFill/>
              </a:ln>
              <a:effectLst/>
              <a:scene3d>
                <a:camera prst="orthographicFront"/>
                <a:lightRig rig="threePt" dir="t"/>
              </a:scene3d>
              <a:sp3d>
                <a:bevelT/>
              </a:sp3d>
            </c:spPr>
            <c:extLst>
              <c:ext xmlns:c16="http://schemas.microsoft.com/office/drawing/2014/chart" uri="{C3380CC4-5D6E-409C-BE32-E72D297353CC}">
                <c16:uniqueId val="{00000017-B3D0-401C-99DE-55FADC2BE93C}"/>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B3D0-401C-99DE-55FADC2BE93C}"/>
              </c:ext>
            </c:extLst>
          </c:dPt>
          <c:dPt>
            <c:idx val="13"/>
            <c:invertIfNegative val="0"/>
            <c:bubble3D val="0"/>
            <c:extLst>
              <c:ext xmlns:c16="http://schemas.microsoft.com/office/drawing/2014/chart" uri="{C3380CC4-5D6E-409C-BE32-E72D297353CC}">
                <c16:uniqueId val="{0000001B-B3D0-401C-99DE-55FADC2BE93C}"/>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B3D0-401C-99DE-55FADC2BE93C}"/>
              </c:ext>
            </c:extLst>
          </c:dPt>
          <c:dPt>
            <c:idx val="15"/>
            <c:invertIfNegative val="0"/>
            <c:bubble3D val="0"/>
            <c:extLst>
              <c:ext xmlns:c16="http://schemas.microsoft.com/office/drawing/2014/chart" uri="{C3380CC4-5D6E-409C-BE32-E72D297353CC}">
                <c16:uniqueId val="{0000001F-B3D0-401C-99DE-55FADC2BE9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T2'!$B$9:$B$24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T2'!$C$9:$C$24</c:f>
              <c:numCache>
                <c:formatCode>0.0%</c:formatCode>
                <c:ptCount val="16"/>
                <c:pt idx="0">
                  <c:v>0.58378571428571424</c:v>
                </c:pt>
                <c:pt idx="1">
                  <c:v>0.26315789473684215</c:v>
                </c:pt>
                <c:pt idx="2">
                  <c:v>0.5</c:v>
                </c:pt>
                <c:pt idx="3">
                  <c:v>0.5</c:v>
                </c:pt>
                <c:pt idx="4">
                  <c:v>0.57740740740740737</c:v>
                </c:pt>
                <c:pt idx="5">
                  <c:v>0.53085099681429748</c:v>
                </c:pt>
                <c:pt idx="6">
                  <c:v>0.2550677822532833</c:v>
                </c:pt>
                <c:pt idx="7">
                  <c:v>0.39768750000000003</c:v>
                </c:pt>
                <c:pt idx="8">
                  <c:v>0.50473979591836726</c:v>
                </c:pt>
                <c:pt idx="9">
                  <c:v>0.53170103092783505</c:v>
                </c:pt>
                <c:pt idx="10">
                  <c:v>0.48954385964912284</c:v>
                </c:pt>
                <c:pt idx="11">
                  <c:v>0.56132401315789471</c:v>
                </c:pt>
                <c:pt idx="12">
                  <c:v>0.52481907894736834</c:v>
                </c:pt>
                <c:pt idx="13">
                  <c:v>0.5</c:v>
                </c:pt>
                <c:pt idx="14">
                  <c:v>0.62085470085470085</c:v>
                </c:pt>
                <c:pt idx="15">
                  <c:v>0.5</c:v>
                </c:pt>
              </c:numCache>
            </c:numRef>
          </c:val>
          <c:extLst>
            <c:ext xmlns:c16="http://schemas.microsoft.com/office/drawing/2014/chart" uri="{C3380CC4-5D6E-409C-BE32-E72D297353CC}">
              <c16:uniqueId val="{00000020-B3D0-401C-99DE-55FADC2BE93C}"/>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4CB5-4B2D-B210-A308ED441471}"/>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CB5-4B2D-B210-A308ED441471}"/>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CB5-4B2D-B210-A308ED441471}"/>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4CB5-4B2D-B210-A308ED44147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T2'!$B$30:$B$33</c:f>
              <c:strCache>
                <c:ptCount val="4"/>
                <c:pt idx="0">
                  <c:v>Procesos Estratégicos </c:v>
                </c:pt>
                <c:pt idx="1">
                  <c:v>Procesos Misionales </c:v>
                </c:pt>
                <c:pt idx="2">
                  <c:v>Procesos Apoyo </c:v>
                </c:pt>
                <c:pt idx="3">
                  <c:v>Procesos de Evaluación, Seguimiento y Control</c:v>
                </c:pt>
              </c:strCache>
            </c:strRef>
          </c:cat>
          <c:val>
            <c:numRef>
              <c:f>'3.Resum Desemp Procesos POA T2'!$C$30:$C$33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4CB5-4B2D-B210-A308ED44147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D7C-4746-9A4C-8A612452A573}"/>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D7C-4746-9A4C-8A612452A573}"/>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D7C-4746-9A4C-8A612452A573}"/>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D7C-4746-9A4C-8A612452A57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7C-4746-9A4C-8A612452A573}"/>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7C-4746-9A4C-8A612452A573}"/>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7C-4746-9A4C-8A612452A573}"/>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7D7C-4746-9A4C-8A612452A57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8-7D7C-4746-9A4C-8A612452A573}"/>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D7C-4746-9A4C-8A612452A57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D7C-4746-9A4C-8A612452A57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D7C-4746-9A4C-8A612452A57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D7C-4746-9A4C-8A612452A573}"/>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7D7C-4746-9A4C-8A612452A57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28D-46F2-949C-B6E2137A077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28D-46F2-949C-B6E2137A077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28D-46F2-949C-B6E2137A077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28D-46F2-949C-B6E2137A077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8D-46F2-949C-B6E2137A077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8D-46F2-949C-B6E2137A077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8-528D-46F2-949C-B6E2137A077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927-49BD-A3D8-1688224A311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927-49BD-A3D8-1688224A311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927-49BD-A3D8-1688224A311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927-49BD-A3D8-1688224A3110}"/>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7-49BD-A3D8-1688224A3110}"/>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7-49BD-A3D8-1688224A3110}"/>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27-49BD-A3D8-1688224A311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927-49BD-A3D8-1688224A311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T2'!$E$27:$E$30</c:f>
              <c:numCache>
                <c:formatCode>0</c:formatCode>
                <c:ptCount val="4"/>
                <c:pt idx="0">
                  <c:v>35</c:v>
                </c:pt>
                <c:pt idx="1">
                  <c:v>22</c:v>
                </c:pt>
                <c:pt idx="2">
                  <c:v>19</c:v>
                </c:pt>
                <c:pt idx="3">
                  <c:v>11</c:v>
                </c:pt>
              </c:numCache>
            </c:numRef>
          </c:val>
          <c:extLst>
            <c:ext xmlns:c16="http://schemas.microsoft.com/office/drawing/2014/chart" uri="{C3380CC4-5D6E-409C-BE32-E72D297353CC}">
              <c16:uniqueId val="{00000008-0927-49BD-A3D8-1688224A311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927-49BD-A3D8-1688224A311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927-49BD-A3D8-1688224A311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927-49BD-A3D8-1688224A311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927-49BD-A3D8-1688224A3110}"/>
              </c:ext>
            </c:extLst>
          </c:dPt>
          <c:cat>
            <c:strRef>
              <c:f>'4.Segto Medición POA 2022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927-49BD-A3D8-1688224A31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4DA-4F71-836D-12569E6B62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4DA-4F71-836D-12569E6B62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4DA-4F71-836D-12569E6B62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4DA-4F71-836D-12569E6B62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4DA-4F71-836D-12569E6B62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DA-4F71-836D-12569E6B62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DA-4F71-836D-12569E6B62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T2'!$E$56:$E$59</c:f>
              <c:numCache>
                <c:formatCode>0</c:formatCode>
                <c:ptCount val="4"/>
                <c:pt idx="0">
                  <c:v>35</c:v>
                </c:pt>
                <c:pt idx="1">
                  <c:v>28</c:v>
                </c:pt>
                <c:pt idx="2">
                  <c:v>15</c:v>
                </c:pt>
                <c:pt idx="3">
                  <c:v>9</c:v>
                </c:pt>
              </c:numCache>
            </c:numRef>
          </c:val>
          <c:extLst>
            <c:ext xmlns:c16="http://schemas.microsoft.com/office/drawing/2014/chart" uri="{C3380CC4-5D6E-409C-BE32-E72D297353CC}">
              <c16:uniqueId val="{00000008-D4DA-4F71-836D-12569E6B62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9AB6-4E6E-B858-2A13B7589467}"/>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9AB6-4E6E-B858-2A13B7589467}"/>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9AB6-4E6E-B858-2A13B7589467}"/>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9AB6-4E6E-B858-2A13B7589467}"/>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AB6-4E6E-B858-2A13B7589467}"/>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AB6-4E6E-B858-2A13B7589467}"/>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AB6-4E6E-B858-2A13B7589467}"/>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9AB6-4E6E-B858-2A13B7589467}"/>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8-9AB6-4E6E-B858-2A13B7589467}"/>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9AB6-4E6E-B858-2A13B75894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9AB6-4E6E-B858-2A13B758946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9AB6-4E6E-B858-2A13B758946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9AB6-4E6E-B858-2A13B7589467}"/>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9AB6-4E6E-B858-2A13B758946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162-4D07-A8FA-8CC16A8814DB}"/>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162-4D07-A8FA-8CC16A8814DB}"/>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162-4D07-A8FA-8CC16A8814DB}"/>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162-4D07-A8FA-8CC16A8814DB}"/>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2-4D07-A8FA-8CC16A8814DB}"/>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162-4D07-A8FA-8CC16A8814D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8-2162-4D07-A8FA-8CC16A8814D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1C2-4456-8881-9C3FB487CF4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1C2-4456-8881-9C3FB487CF4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1C2-4456-8881-9C3FB487CF4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1C2-4456-8881-9C3FB487CF4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1C2-4456-8881-9C3FB487CF4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1C2-4456-8881-9C3FB487CF4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1C2-4456-8881-9C3FB487CF4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51C2-4456-8881-9C3FB487CF4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T3'!$E$27:$E$30</c:f>
              <c:numCache>
                <c:formatCode>0</c:formatCode>
                <c:ptCount val="4"/>
                <c:pt idx="0">
                  <c:v>28</c:v>
                </c:pt>
                <c:pt idx="1">
                  <c:v>28</c:v>
                </c:pt>
                <c:pt idx="2">
                  <c:v>20</c:v>
                </c:pt>
                <c:pt idx="3">
                  <c:v>11</c:v>
                </c:pt>
              </c:numCache>
            </c:numRef>
          </c:val>
          <c:extLst>
            <c:ext xmlns:c16="http://schemas.microsoft.com/office/drawing/2014/chart" uri="{C3380CC4-5D6E-409C-BE32-E72D297353CC}">
              <c16:uniqueId val="{00000008-51C2-4456-8881-9C3FB487CF4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51C2-4456-8881-9C3FB487CF4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51C2-4456-8881-9C3FB487CF4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51C2-4456-8881-9C3FB487CF4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51C2-4456-8881-9C3FB487CF4E}"/>
              </c:ext>
            </c:extLst>
          </c:dPt>
          <c:cat>
            <c:strRef>
              <c:f>'4.Segto Medición POA 2022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51C2-4456-8881-9C3FB487CF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2E6B-4583-80E0-A6814C74745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2E6B-4583-80E0-A6814C74745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2E6B-4583-80E0-A6814C74745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2E6B-4583-80E0-A6814C74745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E6B-4583-80E0-A6814C747450}"/>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E6B-4583-80E0-A6814C747450}"/>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E6B-4583-80E0-A6814C74745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T3'!$D$56:$D$59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T3'!$E$56:$E$59</c:f>
              <c:numCache>
                <c:formatCode>0</c:formatCode>
                <c:ptCount val="4"/>
                <c:pt idx="0">
                  <c:v>33</c:v>
                </c:pt>
                <c:pt idx="1">
                  <c:v>30</c:v>
                </c:pt>
                <c:pt idx="2">
                  <c:v>17</c:v>
                </c:pt>
                <c:pt idx="3">
                  <c:v>7</c:v>
                </c:pt>
              </c:numCache>
            </c:numRef>
          </c:val>
          <c:extLst>
            <c:ext xmlns:c16="http://schemas.microsoft.com/office/drawing/2014/chart" uri="{C3380CC4-5D6E-409C-BE32-E72D297353CC}">
              <c16:uniqueId val="{00000008-2E6B-4583-80E0-A6814C74745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1569599058738345"/>
          <c:y val="0.10004813973091424"/>
          <c:w val="0.69170354783238297"/>
          <c:h val="0.66023198210212752"/>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B31-458E-984F-2518A6A397F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0-33AB-48CD-B75F-50E0E4F829FF}"/>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833-467E-BD75-E817C9B4A0F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2-1833-467E-BD75-E817C9B4A0F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833-467E-BD75-E817C9B4A0F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4-1833-467E-BD75-E817C9B4A0F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33-467E-BD75-E817C9B4A0F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33-467E-BD75-E817C9B4A0F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0-1833-467E-BD75-E817C9B4A0F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3805-44E0-82E3-37660BC3CA80}"/>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3805-44E0-82E3-37660BC3CA80}"/>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3805-44E0-82E3-37660BC3CA80}"/>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3805-44E0-82E3-37660BC3CA80}"/>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3805-44E0-82E3-37660BC3CA8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T4 '!$C$8</c:f>
              <c:strCache>
                <c:ptCount val="1"/>
                <c:pt idx="0">
                  <c:v>Desempeño Promedio 
Año 2022</c:v>
                </c:pt>
              </c:strCache>
            </c:strRef>
          </c:tx>
          <c:spPr>
            <a:solidFill>
              <a:schemeClr val="accent1"/>
            </a:solidFill>
            <a:ln>
              <a:noFill/>
            </a:ln>
            <a:effectLst/>
            <a:scene3d>
              <a:camera prst="orthographicFront"/>
              <a:lightRig rig="threePt" dir="t"/>
            </a:scene3d>
            <a:sp3d>
              <a:bevelT/>
            </a:sp3d>
          </c:spPr>
          <c:invertIfNegative val="0"/>
          <c:dPt>
            <c:idx val="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1-86CD-45FC-B9EC-8951990CE5F7}"/>
              </c:ext>
            </c:extLst>
          </c:dPt>
          <c:dPt>
            <c:idx val="1"/>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2-86CD-45FC-B9EC-8951990CE5F7}"/>
              </c:ext>
            </c:extLst>
          </c:dPt>
          <c:dPt>
            <c:idx val="2"/>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3-86CD-45FC-B9EC-8951990CE5F7}"/>
              </c:ext>
            </c:extLst>
          </c:dPt>
          <c:dPt>
            <c:idx val="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4-86CD-45FC-B9EC-8951990CE5F7}"/>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5-86CD-45FC-B9EC-8951990CE5F7}"/>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C-86CD-45FC-B9EC-8951990CE5F7}"/>
              </c:ext>
            </c:extLst>
          </c:dPt>
          <c:dPt>
            <c:idx val="6"/>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D-86CD-45FC-B9EC-8951990CE5F7}"/>
              </c:ext>
            </c:extLst>
          </c:dPt>
          <c:dPt>
            <c:idx val="7"/>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6-86CD-45FC-B9EC-8951990CE5F7}"/>
              </c:ext>
            </c:extLst>
          </c:dPt>
          <c:dPt>
            <c:idx val="8"/>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B-86CD-45FC-B9EC-8951990CE5F7}"/>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E-86CD-45FC-B9EC-8951990CE5F7}"/>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86CD-45FC-B9EC-8951990CE5F7}"/>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F-86CD-45FC-B9EC-8951990CE5F7}"/>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86CD-45FC-B9EC-8951990CE5F7}"/>
              </c:ext>
            </c:extLst>
          </c:dPt>
          <c:dPt>
            <c:idx val="13"/>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8-86CD-45FC-B9EC-8951990CE5F7}"/>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0-86CD-45FC-B9EC-8951990CE5F7}"/>
              </c:ext>
            </c:extLst>
          </c:dPt>
          <c:dPt>
            <c:idx val="15"/>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09-86CD-45FC-B9EC-8951990CE5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 '!$C$9:$C$24</c:f>
              <c:numCache>
                <c:formatCode>0.0%</c:formatCode>
                <c:ptCount val="16"/>
                <c:pt idx="0">
                  <c:v>0.99990000000000001</c:v>
                </c:pt>
                <c:pt idx="1">
                  <c:v>1</c:v>
                </c:pt>
                <c:pt idx="2">
                  <c:v>1</c:v>
                </c:pt>
                <c:pt idx="3">
                  <c:v>1</c:v>
                </c:pt>
                <c:pt idx="4">
                  <c:v>1.355185185185185</c:v>
                </c:pt>
                <c:pt idx="5">
                  <c:v>1.2962340594143875</c:v>
                </c:pt>
                <c:pt idx="6">
                  <c:v>1.1623400409114697</c:v>
                </c:pt>
                <c:pt idx="7">
                  <c:v>0.99051388888888892</c:v>
                </c:pt>
                <c:pt idx="8">
                  <c:v>0.99233635204081627</c:v>
                </c:pt>
                <c:pt idx="9">
                  <c:v>1.0829896907216496</c:v>
                </c:pt>
                <c:pt idx="10">
                  <c:v>1.0485935769416643</c:v>
                </c:pt>
                <c:pt idx="11">
                  <c:v>1.0832072368421053</c:v>
                </c:pt>
                <c:pt idx="12">
                  <c:v>1.0295427631578948</c:v>
                </c:pt>
                <c:pt idx="13">
                  <c:v>1</c:v>
                </c:pt>
                <c:pt idx="14">
                  <c:v>1.3423076923076922</c:v>
                </c:pt>
                <c:pt idx="15">
                  <c:v>1</c:v>
                </c:pt>
              </c:numCache>
            </c:numRef>
          </c:val>
          <c:extLst>
            <c:ext xmlns:c16="http://schemas.microsoft.com/office/drawing/2014/chart" uri="{C3380CC4-5D6E-409C-BE32-E72D297353CC}">
              <c16:uniqueId val="{00000000-86CD-45FC-B9EC-8951990CE5F7}"/>
            </c:ext>
          </c:extLst>
        </c:ser>
        <c:dLbls>
          <c:showLegendKey val="0"/>
          <c:showVal val="0"/>
          <c:showCatName val="0"/>
          <c:showSerName val="0"/>
          <c:showPercent val="0"/>
          <c:showBubbleSize val="0"/>
        </c:dLbls>
        <c:gapWidth val="182"/>
        <c:axId val="1602936688"/>
        <c:axId val="1610797312"/>
      </c:barChart>
      <c:catAx>
        <c:axId val="1602936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10797312"/>
        <c:crosses val="autoZero"/>
        <c:auto val="1"/>
        <c:lblAlgn val="ctr"/>
        <c:lblOffset val="100"/>
        <c:noMultiLvlLbl val="0"/>
      </c:catAx>
      <c:valAx>
        <c:axId val="16107973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2936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T3'!$C$8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01-9FCB-4E34-86DC-1F9684B41E55}"/>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9FCB-4E34-86DC-1F9684B41E55}"/>
              </c:ext>
            </c:extLst>
          </c:dPt>
          <c:dPt>
            <c:idx val="2"/>
            <c:invertIfNegative val="0"/>
            <c:bubble3D val="0"/>
            <c:extLst>
              <c:ext xmlns:c16="http://schemas.microsoft.com/office/drawing/2014/chart" uri="{C3380CC4-5D6E-409C-BE32-E72D297353CC}">
                <c16:uniqueId val="{00000005-9FCB-4E34-86DC-1F9684B41E55}"/>
              </c:ext>
            </c:extLst>
          </c:dPt>
          <c:dPt>
            <c:idx val="3"/>
            <c:invertIfNegative val="0"/>
            <c:bubble3D val="0"/>
            <c:extLst>
              <c:ext xmlns:c16="http://schemas.microsoft.com/office/drawing/2014/chart" uri="{C3380CC4-5D6E-409C-BE32-E72D297353CC}">
                <c16:uniqueId val="{00000007-9FCB-4E34-86DC-1F9684B41E5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9FCB-4E34-86DC-1F9684B41E5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B-9FCB-4E34-86DC-1F9684B41E55}"/>
              </c:ext>
            </c:extLst>
          </c:dPt>
          <c:dPt>
            <c:idx val="6"/>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D-9FCB-4E34-86DC-1F9684B41E55}"/>
              </c:ext>
            </c:extLst>
          </c:dPt>
          <c:dPt>
            <c:idx val="7"/>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F-9FCB-4E34-86DC-1F9684B41E55}"/>
              </c:ext>
            </c:extLst>
          </c:dPt>
          <c:dPt>
            <c:idx val="8"/>
            <c:invertIfNegative val="0"/>
            <c:bubble3D val="0"/>
            <c:extLst>
              <c:ext xmlns:c16="http://schemas.microsoft.com/office/drawing/2014/chart" uri="{C3380CC4-5D6E-409C-BE32-E72D297353CC}">
                <c16:uniqueId val="{00000011-9FCB-4E34-86DC-1F9684B41E55}"/>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3-9FCB-4E34-86DC-1F9684B41E55}"/>
              </c:ext>
            </c:extLst>
          </c:dPt>
          <c:dPt>
            <c:idx val="10"/>
            <c:invertIfNegative val="0"/>
            <c:bubble3D val="0"/>
            <c:spPr>
              <a:solidFill>
                <a:srgbClr val="99FF33"/>
              </a:solidFill>
              <a:ln>
                <a:noFill/>
              </a:ln>
              <a:effectLst/>
              <a:scene3d>
                <a:camera prst="orthographicFront"/>
                <a:lightRig rig="threePt" dir="t"/>
              </a:scene3d>
              <a:sp3d>
                <a:bevelT/>
              </a:sp3d>
            </c:spPr>
            <c:extLst>
              <c:ext xmlns:c16="http://schemas.microsoft.com/office/drawing/2014/chart" uri="{C3380CC4-5D6E-409C-BE32-E72D297353CC}">
                <c16:uniqueId val="{00000015-9FCB-4E34-86DC-1F9684B41E55}"/>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7-9FCB-4E34-86DC-1F9684B41E55}"/>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9-9FCB-4E34-86DC-1F9684B41E55}"/>
              </c:ext>
            </c:extLst>
          </c:dPt>
          <c:dPt>
            <c:idx val="13"/>
            <c:invertIfNegative val="0"/>
            <c:bubble3D val="0"/>
            <c:extLst>
              <c:ext xmlns:c16="http://schemas.microsoft.com/office/drawing/2014/chart" uri="{C3380CC4-5D6E-409C-BE32-E72D297353CC}">
                <c16:uniqueId val="{0000001B-9FCB-4E34-86DC-1F9684B41E5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D-9FCB-4E34-86DC-1F9684B41E55}"/>
              </c:ext>
            </c:extLst>
          </c:dPt>
          <c:dPt>
            <c:idx val="15"/>
            <c:invertIfNegative val="0"/>
            <c:bubble3D val="0"/>
            <c:extLst>
              <c:ext xmlns:c16="http://schemas.microsoft.com/office/drawing/2014/chart" uri="{C3380CC4-5D6E-409C-BE32-E72D297353CC}">
                <c16:uniqueId val="{0000001F-9FCB-4E34-86DC-1F9684B41E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0.85149999999999992</c:v>
                </c:pt>
                <c:pt idx="1">
                  <c:v>0.32894736842105265</c:v>
                </c:pt>
                <c:pt idx="2">
                  <c:v>0.82500000000000007</c:v>
                </c:pt>
                <c:pt idx="3">
                  <c:v>0.75</c:v>
                </c:pt>
                <c:pt idx="4">
                  <c:v>0.57740740740740737</c:v>
                </c:pt>
                <c:pt idx="5">
                  <c:v>0.87744668920257796</c:v>
                </c:pt>
                <c:pt idx="6">
                  <c:v>0.53483211884064763</c:v>
                </c:pt>
                <c:pt idx="7">
                  <c:v>0.64612132352941176</c:v>
                </c:pt>
                <c:pt idx="8">
                  <c:v>0.70113914221938778</c:v>
                </c:pt>
                <c:pt idx="9">
                  <c:v>0.82074742268041234</c:v>
                </c:pt>
                <c:pt idx="10">
                  <c:v>0.72951929824561412</c:v>
                </c:pt>
                <c:pt idx="11">
                  <c:v>0.81530838815789475</c:v>
                </c:pt>
                <c:pt idx="12">
                  <c:v>0.78152713815789476</c:v>
                </c:pt>
                <c:pt idx="13">
                  <c:v>0.75</c:v>
                </c:pt>
                <c:pt idx="14">
                  <c:v>1.0045299145299145</c:v>
                </c:pt>
                <c:pt idx="15">
                  <c:v>0.64666666666666661</c:v>
                </c:pt>
              </c:numCache>
            </c:numRef>
          </c:val>
          <c:extLst>
            <c:ext xmlns:c16="http://schemas.microsoft.com/office/drawing/2014/chart" uri="{C3380CC4-5D6E-409C-BE32-E72D297353CC}">
              <c16:uniqueId val="{00000020-9FCB-4E34-86DC-1F9684B41E55}"/>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BEBB-418D-86D7-3EF4B23A6949}"/>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BEBB-418D-86D7-3EF4B23A6949}"/>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BEBB-418D-86D7-3EF4B23A6949}"/>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BEBB-418D-86D7-3EF4B23A694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8-BEBB-418D-86D7-3EF4B23A69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02C-409E-9B04-0E6C55C78E5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02C-409E-9B04-0E6C55C78E5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02C-409E-9B04-0E6C55C78E5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02C-409E-9B04-0E6C55C78E5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2C-409E-9B04-0E6C55C78E5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2C-409E-9B04-0E6C55C78E5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2C-409E-9B04-0E6C55C78E5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002C-409E-9B04-0E6C55C78E5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T4'!$E$55:$E$58</c:f>
              <c:numCache>
                <c:formatCode>0</c:formatCode>
                <c:ptCount val="4"/>
                <c:pt idx="0">
                  <c:v>34</c:v>
                </c:pt>
                <c:pt idx="1">
                  <c:v>40</c:v>
                </c:pt>
                <c:pt idx="2">
                  <c:v>6</c:v>
                </c:pt>
                <c:pt idx="3">
                  <c:v>7</c:v>
                </c:pt>
              </c:numCache>
            </c:numRef>
          </c:val>
          <c:extLst>
            <c:ext xmlns:c16="http://schemas.microsoft.com/office/drawing/2014/chart" uri="{C3380CC4-5D6E-409C-BE32-E72D297353CC}">
              <c16:uniqueId val="{00000008-002C-409E-9B04-0E6C55C78E50}"/>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02C-409E-9B04-0E6C55C78E5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02C-409E-9B04-0E6C55C78E5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02C-409E-9B04-0E6C55C78E5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02C-409E-9B04-0E6C55C78E50}"/>
              </c:ext>
            </c:extLst>
          </c:dPt>
          <c:cat>
            <c:strRef>
              <c:f>'4.Segto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002C-409E-9B04-0E6C55C78E5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AB74-41F3-A99B-B6A94F28C70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AB74-41F3-A99B-B6A94F28C70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AB74-41F3-A99B-B6A94F28C70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AB74-41F3-A99B-B6A94F28C70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B74-41F3-A99B-B6A94F28C70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B74-41F3-A99B-B6A94F28C7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T4'!$E$28:$E$31</c:f>
              <c:numCache>
                <c:formatCode>0</c:formatCode>
                <c:ptCount val="4"/>
                <c:pt idx="0">
                  <c:v>46</c:v>
                </c:pt>
                <c:pt idx="1">
                  <c:v>34</c:v>
                </c:pt>
                <c:pt idx="2">
                  <c:v>6</c:v>
                </c:pt>
                <c:pt idx="3">
                  <c:v>1</c:v>
                </c:pt>
              </c:numCache>
            </c:numRef>
          </c:val>
          <c:extLst>
            <c:ext xmlns:c16="http://schemas.microsoft.com/office/drawing/2014/chart" uri="{C3380CC4-5D6E-409C-BE32-E72D297353CC}">
              <c16:uniqueId val="{00000008-AB74-41F3-A99B-B6A94F28C70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'4.Segto Medición POA 2022 T1'!$E$34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3F2-4BF6-B9EE-56772352DAD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3F2-4BF6-B9EE-56772352DAD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3F2-4BF6-B9EE-56772352DAD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3F2-4BF6-B9EE-56772352DADE}"/>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F2-4BF6-B9EE-56772352DADE}"/>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F2-4BF6-B9EE-56772352DADE}"/>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F2-4BF6-B9EE-56772352DAD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B3F2-4BF6-B9EE-56772352DAD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T1'!$E$27:$E$30</c:f>
              <c:numCache>
                <c:formatCode>0</c:formatCode>
                <c:ptCount val="4"/>
                <c:pt idx="0">
                  <c:v>33</c:v>
                </c:pt>
                <c:pt idx="1">
                  <c:v>27</c:v>
                </c:pt>
                <c:pt idx="2">
                  <c:v>11</c:v>
                </c:pt>
                <c:pt idx="3">
                  <c:v>16</c:v>
                </c:pt>
              </c:numCache>
            </c:numRef>
          </c:val>
          <c:extLst>
            <c:ext xmlns:c16="http://schemas.microsoft.com/office/drawing/2014/chart" uri="{C3380CC4-5D6E-409C-BE32-E72D297353CC}">
              <c16:uniqueId val="{00000008-B3F2-4BF6-B9EE-56772352DADE}"/>
            </c:ext>
          </c:extLst>
        </c:ser>
        <c:ser>
          <c:idx val="1"/>
          <c:order val="1"/>
          <c:tx>
            <c:strRef>
              <c:f>'4.Segto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3F2-4BF6-B9EE-56772352DAD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B3F2-4BF6-B9EE-56772352DAD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B3F2-4BF6-B9EE-56772352DAD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B3F2-4BF6-B9EE-56772352DADE}"/>
              </c:ext>
            </c:extLst>
          </c:dPt>
          <c:cat>
            <c:strRef>
              <c:f>'4.Segto Medición POA 2022 T1'!$D$27:$D$30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T4'!$F$28:$F$31</c:f>
              <c:numCache>
                <c:formatCode>0%</c:formatCode>
                <c:ptCount val="4"/>
              </c:numCache>
            </c:numRef>
          </c:val>
          <c:extLst>
            <c:ext xmlns:c16="http://schemas.microsoft.com/office/drawing/2014/chart" uri="{C3380CC4-5D6E-409C-BE32-E72D297353CC}">
              <c16:uniqueId val="{00000011-B3F2-4BF6-B9EE-56772352DA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F093-4713-B8E7-B727B8446D58}"/>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F093-4713-B8E7-B727B8446D58}"/>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F093-4713-B8E7-B727B8446D58}"/>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F093-4713-B8E7-B727B8446D58}"/>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93-4713-B8E7-B727B8446D58}"/>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093-4713-B8E7-B727B8446D58}"/>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093-4713-B8E7-B727B8446D5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2022 T1'!$D$56:$D$59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2022 T1'!$E$56:$E$59</c:f>
              <c:numCache>
                <c:formatCode>0</c:formatCode>
                <c:ptCount val="4"/>
                <c:pt idx="0">
                  <c:v>33</c:v>
                </c:pt>
                <c:pt idx="1">
                  <c:v>27</c:v>
                </c:pt>
                <c:pt idx="2">
                  <c:v>11</c:v>
                </c:pt>
                <c:pt idx="3">
                  <c:v>16</c:v>
                </c:pt>
              </c:numCache>
            </c:numRef>
          </c:val>
          <c:extLst>
            <c:ext xmlns:c16="http://schemas.microsoft.com/office/drawing/2014/chart" uri="{C3380CC4-5D6E-409C-BE32-E72D297353CC}">
              <c16:uniqueId val="{00000008-F093-4713-B8E7-B727B8446D5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Desempeño Promedio 
Año 2022</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'3.Resum Desemp Procesos POA T1'!$C$8</c:f>
              <c:strCache>
                <c:ptCount val="1"/>
                <c:pt idx="0">
                  <c:v>Desempeño Promedio 
Año 2022</c:v>
                </c:pt>
              </c:strCache>
            </c:strRef>
          </c:tx>
          <c:spPr>
            <a:solidFill>
              <a:srgbClr val="66FF33"/>
            </a:solidFill>
            <a:ln>
              <a:noFill/>
            </a:ln>
            <a:effectLst/>
            <a:scene3d>
              <a:camera prst="orthographicFront"/>
              <a:lightRig rig="threePt" dir="t"/>
            </a:scene3d>
            <a:sp3d>
              <a:bevelT/>
            </a:sp3d>
          </c:spPr>
          <c:invertIfNegative val="0"/>
          <c:dPt>
            <c:idx val="0"/>
            <c:invertIfNegative val="0"/>
            <c:bubble3D val="0"/>
            <c:extLst>
              <c:ext xmlns:c16="http://schemas.microsoft.com/office/drawing/2014/chart" uri="{C3380CC4-5D6E-409C-BE32-E72D297353CC}">
                <c16:uniqueId val="{00000013-894A-4910-A57B-F4544D443F5A}"/>
              </c:ext>
            </c:extLst>
          </c:dPt>
          <c:dPt>
            <c:idx val="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2"/>
            <c:invertIfNegative val="0"/>
            <c:bubble3D val="0"/>
            <c:extLst>
              <c:ext xmlns:c16="http://schemas.microsoft.com/office/drawing/2014/chart" uri="{C3380CC4-5D6E-409C-BE32-E72D297353CC}">
                <c16:uniqueId val="{0000001B-D13F-4E02-8782-6856BEF803B5}"/>
              </c:ext>
            </c:extLst>
          </c:dPt>
          <c:dPt>
            <c:idx val="3"/>
            <c:invertIfNegative val="0"/>
            <c:bubble3D val="0"/>
            <c:extLst>
              <c:ext xmlns:c16="http://schemas.microsoft.com/office/drawing/2014/chart" uri="{C3380CC4-5D6E-409C-BE32-E72D297353CC}">
                <c16:uniqueId val="{0000001A-D13F-4E02-8782-6856BEF803B5}"/>
              </c:ext>
            </c:extLst>
          </c:dPt>
          <c:dPt>
            <c:idx val="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solidFill>
                <a:srgbClr val="FFFF00"/>
              </a:soli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extLst>
              <c:ext xmlns:c16="http://schemas.microsoft.com/office/drawing/2014/chart" uri="{C3380CC4-5D6E-409C-BE32-E72D297353CC}">
                <c16:uniqueId val="{00000005-F9CC-4A3E-9CFD-5EEDFFF7CEFD}"/>
              </c:ext>
            </c:extLst>
          </c:dPt>
          <c:dPt>
            <c:idx val="8"/>
            <c:invertIfNegative val="0"/>
            <c:bubble3D val="0"/>
            <c:extLst>
              <c:ext xmlns:c16="http://schemas.microsoft.com/office/drawing/2014/chart" uri="{C3380CC4-5D6E-409C-BE32-E72D297353CC}">
                <c16:uniqueId val="{00000014-894A-4910-A57B-F4544D443F5A}"/>
              </c:ext>
            </c:extLst>
          </c:dPt>
          <c:dPt>
            <c:idx val="9"/>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3"/>
            <c:invertIfNegative val="0"/>
            <c:bubble3D val="0"/>
            <c:extLst>
              <c:ext xmlns:c16="http://schemas.microsoft.com/office/drawing/2014/chart" uri="{C3380CC4-5D6E-409C-BE32-E72D297353CC}">
                <c16:uniqueId val="{00000018-D13F-4E02-8782-6856BEF803B5}"/>
              </c:ext>
            </c:extLst>
          </c:dPt>
          <c:dPt>
            <c:idx val="14"/>
            <c:invertIfNegative val="0"/>
            <c:bubble3D val="0"/>
            <c:spPr>
              <a:solidFill>
                <a:srgbClr val="0099FF"/>
              </a:soli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Pt>
            <c:idx val="15"/>
            <c:invertIfNegative val="0"/>
            <c:bubble3D val="0"/>
            <c:extLst>
              <c:ext xmlns:c16="http://schemas.microsoft.com/office/drawing/2014/chart" uri="{C3380CC4-5D6E-409C-BE32-E72D297353CC}">
                <c16:uniqueId val="{00000019-D13F-4E02-8782-6856BEF803B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T1'!$B$9:$B$24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T1'!$C$9:$C$24</c:f>
              <c:numCache>
                <c:formatCode>0.0%</c:formatCode>
                <c:ptCount val="16"/>
                <c:pt idx="0">
                  <c:v>0.30107142857142855</c:v>
                </c:pt>
                <c:pt idx="1">
                  <c:v>0.30921052631578949</c:v>
                </c:pt>
                <c:pt idx="2">
                  <c:v>0.17500000000000002</c:v>
                </c:pt>
                <c:pt idx="3">
                  <c:v>0.25</c:v>
                </c:pt>
                <c:pt idx="4">
                  <c:v>0.19990740740740742</c:v>
                </c:pt>
                <c:pt idx="5">
                  <c:v>0.22556159419572125</c:v>
                </c:pt>
                <c:pt idx="6">
                  <c:v>0.11701830507800658</c:v>
                </c:pt>
                <c:pt idx="7">
                  <c:v>0.14054166666666668</c:v>
                </c:pt>
                <c:pt idx="8">
                  <c:v>0.30672285820578232</c:v>
                </c:pt>
                <c:pt idx="9">
                  <c:v>0.26576460481099656</c:v>
                </c:pt>
                <c:pt idx="10">
                  <c:v>0.22459649122807021</c:v>
                </c:pt>
                <c:pt idx="11">
                  <c:v>0.31874999999999998</c:v>
                </c:pt>
                <c:pt idx="12">
                  <c:v>0.24320339912280703</c:v>
                </c:pt>
                <c:pt idx="13">
                  <c:v>0.25</c:v>
                </c:pt>
                <c:pt idx="14">
                  <c:v>0.32222222222222219</c:v>
                </c:pt>
                <c:pt idx="15">
                  <c:v>0.11666666666666665</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'3.Resum Desemp Procesos POA T1'!$B$30:$B$33</c:f>
              <c:strCache>
                <c:ptCount val="4"/>
                <c:pt idx="0">
                  <c:v>Procesos Estratégicos </c:v>
                </c:pt>
                <c:pt idx="1">
                  <c:v>Procesos Misionales </c:v>
                </c:pt>
                <c:pt idx="2">
                  <c:v>Procesos Apoyo </c:v>
                </c:pt>
                <c:pt idx="3">
                  <c:v>Procesos de Evaluación, Seguimiento y Control</c:v>
                </c:pt>
              </c:strCache>
            </c:strRef>
          </c:cat>
          <c:val>
            <c:numRef>
              <c:f>'3.Resum Desemp Procesos POA T1'!$C$30:$C$33</c:f>
              <c:numCache>
                <c:formatCode>0</c:formatCode>
                <c:ptCount val="4"/>
                <c:pt idx="0">
                  <c:v>20</c:v>
                </c:pt>
                <c:pt idx="1">
                  <c:v>35</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852C26E-39BD-40B3-B13F-5A1375D8B7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694218D4-D837-4D3C-B844-241EAED00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15</xdr:row>
      <xdr:rowOff>0</xdr:rowOff>
    </xdr:to>
    <xdr:sp macro="" textlink="">
      <xdr:nvSpPr>
        <xdr:cNvPr id="2" name="AutoShape 23">
          <a:extLst>
            <a:ext uri="{FF2B5EF4-FFF2-40B4-BE49-F238E27FC236}">
              <a16:creationId xmlns:a16="http://schemas.microsoft.com/office/drawing/2014/main" id="{FEB468A2-68C7-440C-BCA9-B389D25C0704}"/>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23</xdr:row>
      <xdr:rowOff>0</xdr:rowOff>
    </xdr:from>
    <xdr:to>
      <xdr:col>2</xdr:col>
      <xdr:colOff>0</xdr:colOff>
      <xdr:row>46</xdr:row>
      <xdr:rowOff>0</xdr:rowOff>
    </xdr:to>
    <xdr:sp macro="" textlink="">
      <xdr:nvSpPr>
        <xdr:cNvPr id="3" name="AutoShape 23">
          <a:extLst>
            <a:ext uri="{FF2B5EF4-FFF2-40B4-BE49-F238E27FC236}">
              <a16:creationId xmlns:a16="http://schemas.microsoft.com/office/drawing/2014/main" id="{FEB154DF-3B67-4BF4-B14E-8D5C34022711}"/>
            </a:ext>
          </a:extLst>
        </xdr:cNvPr>
        <xdr:cNvSpPr>
          <a:spLocks noChangeArrowheads="1"/>
        </xdr:cNvSpPr>
      </xdr:nvSpPr>
      <xdr:spPr bwMode="auto">
        <a:xfrm>
          <a:off x="297180" y="29420820"/>
          <a:ext cx="11148060" cy="64846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3</xdr:col>
      <xdr:colOff>1828800</xdr:colOff>
      <xdr:row>6</xdr:row>
      <xdr:rowOff>381000</xdr:rowOff>
    </xdr:from>
    <xdr:to>
      <xdr:col>11</xdr:col>
      <xdr:colOff>228600</xdr:colOff>
      <xdr:row>15</xdr:row>
      <xdr:rowOff>171450</xdr:rowOff>
    </xdr:to>
    <xdr:grpSp>
      <xdr:nvGrpSpPr>
        <xdr:cNvPr id="7" name="Grupo 6">
          <a:extLst>
            <a:ext uri="{FF2B5EF4-FFF2-40B4-BE49-F238E27FC236}">
              <a16:creationId xmlns:a16="http://schemas.microsoft.com/office/drawing/2014/main" id="{66685E67-B145-40A0-A366-88E465D2117E}"/>
            </a:ext>
          </a:extLst>
        </xdr:cNvPr>
        <xdr:cNvGrpSpPr/>
      </xdr:nvGrpSpPr>
      <xdr:grpSpPr>
        <a:xfrm>
          <a:off x="14916150" y="2857500"/>
          <a:ext cx="10782300" cy="13220700"/>
          <a:chOff x="13658850" y="2381250"/>
          <a:chExt cx="10782300" cy="11296650"/>
        </a:xfrm>
      </xdr:grpSpPr>
      <xdr:graphicFrame macro="">
        <xdr:nvGraphicFramePr>
          <xdr:cNvPr id="5" name="Gráfico 4">
            <a:extLst>
              <a:ext uri="{FF2B5EF4-FFF2-40B4-BE49-F238E27FC236}">
                <a16:creationId xmlns:a16="http://schemas.microsoft.com/office/drawing/2014/main" id="{08C1D475-BD48-43BD-AE74-34ADD3858778}"/>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4539C8D2-3A8E-49EE-B2AF-4DD89CF3F0FB}"/>
              </a:ext>
            </a:extLst>
          </xdr:cNvPr>
          <xdr:cNvSpPr txBox="1"/>
        </xdr:nvSpPr>
        <xdr:spPr>
          <a:xfrm>
            <a:off x="14935200" y="3638550"/>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a:t>
            </a:r>
            <a:r>
              <a:rPr lang="es-CO" sz="2800" b="1" baseline="0"/>
              <a:t> OBJETIVOS  ESTRATÉGICOS Y DE LA CALIDAD</a:t>
            </a:r>
            <a:endParaRPr lang="es-CO" sz="28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1A3F905D-C4D3-413F-B0CD-73970569648C}"/>
            </a:ext>
          </a:extLst>
        </xdr:cNvPr>
        <xdr:cNvSpPr>
          <a:spLocks noChangeArrowheads="1"/>
        </xdr:cNvSpPr>
      </xdr:nvSpPr>
      <xdr:spPr bwMode="auto">
        <a:xfrm>
          <a:off x="297180" y="1981200"/>
          <a:ext cx="31531560" cy="1003325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38</xdr:row>
      <xdr:rowOff>0</xdr:rowOff>
    </xdr:from>
    <xdr:to>
      <xdr:col>3</xdr:col>
      <xdr:colOff>0</xdr:colOff>
      <xdr:row>61</xdr:row>
      <xdr:rowOff>0</xdr:rowOff>
    </xdr:to>
    <xdr:sp macro="" textlink="">
      <xdr:nvSpPr>
        <xdr:cNvPr id="4" name="AutoShape 23">
          <a:extLst>
            <a:ext uri="{FF2B5EF4-FFF2-40B4-BE49-F238E27FC236}">
              <a16:creationId xmlns:a16="http://schemas.microsoft.com/office/drawing/2014/main" id="{497185E9-2A3F-48F7-B156-2A43068EDF84}"/>
            </a:ext>
          </a:extLst>
        </xdr:cNvPr>
        <xdr:cNvSpPr>
          <a:spLocks noChangeArrowheads="1"/>
        </xdr:cNvSpPr>
      </xdr:nvSpPr>
      <xdr:spPr bwMode="auto">
        <a:xfrm>
          <a:off x="290945" y="2438400"/>
          <a:ext cx="11152910" cy="2637905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1163779</xdr:colOff>
      <xdr:row>7</xdr:row>
      <xdr:rowOff>258040</xdr:rowOff>
    </xdr:from>
    <xdr:to>
      <xdr:col>15</xdr:col>
      <xdr:colOff>800100</xdr:colOff>
      <xdr:row>17</xdr:row>
      <xdr:rowOff>933450</xdr:rowOff>
    </xdr:to>
    <xdr:graphicFrame macro="">
      <xdr:nvGraphicFramePr>
        <xdr:cNvPr id="5" name="Gráfico 4">
          <a:extLst>
            <a:ext uri="{FF2B5EF4-FFF2-40B4-BE49-F238E27FC236}">
              <a16:creationId xmlns:a16="http://schemas.microsoft.com/office/drawing/2014/main" id="{885EA56C-1B01-489B-9500-882AD8948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48</xdr:row>
      <xdr:rowOff>0</xdr:rowOff>
    </xdr:to>
    <xdr:sp macro="" textlink="">
      <xdr:nvSpPr>
        <xdr:cNvPr id="2" name="AutoShape 23">
          <a:extLst>
            <a:ext uri="{FF2B5EF4-FFF2-40B4-BE49-F238E27FC236}">
              <a16:creationId xmlns:a16="http://schemas.microsoft.com/office/drawing/2014/main" id="{3154AA38-842A-4A7F-AF85-1228AB6937F0}"/>
            </a:ext>
          </a:extLst>
        </xdr:cNvPr>
        <xdr:cNvSpPr>
          <a:spLocks noChangeArrowheads="1"/>
        </xdr:cNvSpPr>
      </xdr:nvSpPr>
      <xdr:spPr bwMode="auto">
        <a:xfrm>
          <a:off x="297180" y="2415540"/>
          <a:ext cx="11148060" cy="254660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95</xdr:row>
      <xdr:rowOff>0</xdr:rowOff>
    </xdr:to>
    <xdr:sp macro="" textlink="">
      <xdr:nvSpPr>
        <xdr:cNvPr id="2" name="AutoShape 23">
          <a:extLst>
            <a:ext uri="{FF2B5EF4-FFF2-40B4-BE49-F238E27FC236}">
              <a16:creationId xmlns:a16="http://schemas.microsoft.com/office/drawing/2014/main" id="{38906399-37BF-4003-ACC6-17A0E894C068}"/>
            </a:ext>
          </a:extLst>
        </xdr:cNvPr>
        <xdr:cNvSpPr>
          <a:spLocks noChangeArrowheads="1"/>
        </xdr:cNvSpPr>
      </xdr:nvSpPr>
      <xdr:spPr bwMode="auto">
        <a:xfrm>
          <a:off x="297180" y="1981200"/>
          <a:ext cx="31531560" cy="965682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DEF70CD4-FE44-4169-92D6-932DF72E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79E0450-0971-4703-A626-4EAA2CB24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ED12BA94-D682-44BA-AE84-766D5610F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8986855-E950-40C6-BB36-FD5C2A694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F16CBA3B-9E8C-4E53-81C7-8AD828771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33F1B3AF-6124-4B0C-8F8A-CBD2B47D9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EF413C6F-C03E-4D90-B24B-063B0700E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40785769-D73B-45C5-B3CB-D13C3051D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B58AAC16-7FA4-4CEA-AD3A-29252015B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E061101-B055-44AA-BA31-A194AC29F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BB333EAA-D316-496A-9FB0-EDA12E51A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EEC66926-906C-48C2-80ED-BB7F24731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8" name="Gráfico 7">
          <a:extLst>
            <a:ext uri="{FF2B5EF4-FFF2-40B4-BE49-F238E27FC236}">
              <a16:creationId xmlns:a16="http://schemas.microsoft.com/office/drawing/2014/main" id="{9DA0E36E-D686-4771-B9C4-7EA7574D7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9" name="Gráfico 8">
          <a:extLst>
            <a:ext uri="{FF2B5EF4-FFF2-40B4-BE49-F238E27FC236}">
              <a16:creationId xmlns:a16="http://schemas.microsoft.com/office/drawing/2014/main" id="{26542588-124E-408D-A5F6-C99F9D8FC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735106</xdr:colOff>
      <xdr:row>33</xdr:row>
      <xdr:rowOff>201705</xdr:rowOff>
    </xdr:from>
    <xdr:to>
      <xdr:col>15</xdr:col>
      <xdr:colOff>582706</xdr:colOff>
      <xdr:row>52</xdr:row>
      <xdr:rowOff>170329</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6</xdr:row>
      <xdr:rowOff>80681</xdr:rowOff>
    </xdr:from>
    <xdr:to>
      <xdr:col>16</xdr:col>
      <xdr:colOff>2581835</xdr:colOff>
      <xdr:row>26</xdr:row>
      <xdr:rowOff>71716</xdr:rowOff>
    </xdr:to>
    <xdr:graphicFrame macro="">
      <xdr:nvGraphicFramePr>
        <xdr:cNvPr id="2" name="Gráfico 1">
          <a:extLst>
            <a:ext uri="{FF2B5EF4-FFF2-40B4-BE49-F238E27FC236}">
              <a16:creationId xmlns:a16="http://schemas.microsoft.com/office/drawing/2014/main" id="{7C01D88A-3A06-4E4F-B35D-B8A17F0AA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A0DC7005-C79B-4275-9C6C-0270E5046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358587</xdr:colOff>
      <xdr:row>6</xdr:row>
      <xdr:rowOff>40341</xdr:rowOff>
    </xdr:from>
    <xdr:to>
      <xdr:col>6</xdr:col>
      <xdr:colOff>3048000</xdr:colOff>
      <xdr:row>26</xdr:row>
      <xdr:rowOff>89646</xdr:rowOff>
    </xdr:to>
    <xdr:graphicFrame macro="">
      <xdr:nvGraphicFramePr>
        <xdr:cNvPr id="4" name="Gráfico 3">
          <a:extLst>
            <a:ext uri="{FF2B5EF4-FFF2-40B4-BE49-F238E27FC236}">
              <a16:creationId xmlns:a16="http://schemas.microsoft.com/office/drawing/2014/main" id="{42AE0CD0-BD8B-40D3-A84A-D98E1DE95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2" name="Gráfico 1">
          <a:extLst>
            <a:ext uri="{FF2B5EF4-FFF2-40B4-BE49-F238E27FC236}">
              <a16:creationId xmlns:a16="http://schemas.microsoft.com/office/drawing/2014/main" id="{7B2856A3-EB37-4490-8180-AD857DE26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3" name="Gráfico 2">
          <a:extLst>
            <a:ext uri="{FF2B5EF4-FFF2-40B4-BE49-F238E27FC236}">
              <a16:creationId xmlns:a16="http://schemas.microsoft.com/office/drawing/2014/main" id="{9AB9FF5C-76D9-44EA-A319-FF7B0D962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63FA5A0-CEE1-4A25-A10D-3F82DD08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CDE62399-C229-4279-82F8-598AC5302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C4C23827-995A-4E31-800B-0BE09D6B4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F343FBBD-5A81-4590-8E46-1382B06BA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35</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Mayis\POA\POA2022\Seg_Trim_1_2022\01-PL-09%20Plan%20Operativo%20Anual_POA_V5_CIGD_2001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yis\0-PlanEstrategica\PEI-POA2021\POA%202021\Promoci&#243;n%20Defensa%20Derechos\01-FR-03%20Plan%20Operativo%20An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ayis\0-PlanEstrategica\PEI-POA2021\POA%202021\G%20Administrativa\01-FR-03%20Plan%20Operativo%20Anual%20-%20GESTI&#211;N%20ADMINISTRATIVA-RevDLC28012020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PL-09 POA (Pág 1 de 2)"/>
      <sheetName val="01-PL-09 POA (Pág 2 de 2)"/>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 val="LISTAS"/>
    </sheetNames>
    <sheetDataSet>
      <sheetData sheetId="0"/>
      <sheetData sheetId="1"/>
      <sheetData sheetId="2">
        <row r="97">
          <cell r="J97" t="str">
            <v xml:space="preserve">Dirección de Gestión del Conocimiento e Innovación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zoomScale="70" zoomScaleNormal="70" workbookViewId="0">
      <selection activeCell="A5" sqref="A5:F24"/>
    </sheetView>
  </sheetViews>
  <sheetFormatPr baseColWidth="10" defaultColWidth="12.5546875" defaultRowHeight="13.2"/>
  <cols>
    <col min="1" max="1" width="4.33203125" style="66" customWidth="1"/>
    <col min="2" max="2" width="13.6640625" style="66" customWidth="1"/>
    <col min="3" max="3" width="16.44140625" style="66" customWidth="1"/>
    <col min="4" max="4" width="52.44140625" style="66" customWidth="1"/>
    <col min="5" max="5" width="16.44140625" style="66" customWidth="1"/>
    <col min="6" max="6" width="13.6640625" style="66" customWidth="1"/>
    <col min="7" max="16384" width="12.5546875" style="66"/>
  </cols>
  <sheetData>
    <row r="1" spans="1:6" ht="19.5" customHeight="1">
      <c r="A1" s="1053"/>
      <c r="B1" s="1054"/>
      <c r="C1" s="1054"/>
      <c r="D1" s="1057" t="s">
        <v>610</v>
      </c>
      <c r="E1" s="1059" t="s">
        <v>611</v>
      </c>
      <c r="F1" s="1060"/>
    </row>
    <row r="2" spans="1:6" ht="23.25" customHeight="1">
      <c r="A2" s="1055"/>
      <c r="B2" s="1056"/>
      <c r="C2" s="1056"/>
      <c r="D2" s="1058"/>
      <c r="E2" s="67" t="s">
        <v>626</v>
      </c>
      <c r="F2" s="68" t="s">
        <v>612</v>
      </c>
    </row>
    <row r="3" spans="1:6" ht="30" customHeight="1">
      <c r="A3" s="1055"/>
      <c r="B3" s="1056"/>
      <c r="C3" s="1056"/>
      <c r="D3" s="1058"/>
      <c r="E3" s="1061" t="s">
        <v>613</v>
      </c>
      <c r="F3" s="1062"/>
    </row>
    <row r="4" spans="1:6" ht="9" customHeight="1">
      <c r="A4" s="69"/>
      <c r="B4" s="70"/>
      <c r="C4" s="70"/>
      <c r="D4" s="70"/>
      <c r="E4" s="70"/>
      <c r="F4" s="71"/>
    </row>
    <row r="5" spans="1:6" ht="17.850000000000001" customHeight="1">
      <c r="A5" s="72"/>
      <c r="B5" s="73"/>
      <c r="C5" s="73"/>
      <c r="D5" s="73"/>
      <c r="E5" s="73"/>
      <c r="F5" s="74"/>
    </row>
    <row r="6" spans="1:6" ht="30" customHeight="1">
      <c r="A6" s="75"/>
      <c r="B6" s="1066" t="s">
        <v>614</v>
      </c>
      <c r="C6" s="1066"/>
      <c r="D6" s="1066"/>
      <c r="E6" s="1066"/>
      <c r="F6" s="76"/>
    </row>
    <row r="7" spans="1:6" ht="19.5" customHeight="1">
      <c r="A7" s="75"/>
      <c r="B7" s="48" t="s">
        <v>615</v>
      </c>
      <c r="C7" s="48" t="s">
        <v>616</v>
      </c>
      <c r="D7" s="1058" t="s">
        <v>617</v>
      </c>
      <c r="E7" s="1058"/>
      <c r="F7" s="77"/>
    </row>
    <row r="8" spans="1:6" ht="15">
      <c r="A8" s="78"/>
      <c r="B8" s="47">
        <v>1</v>
      </c>
      <c r="C8" s="79">
        <v>44226</v>
      </c>
      <c r="D8" s="1067" t="s">
        <v>618</v>
      </c>
      <c r="E8" s="1067"/>
      <c r="F8" s="71"/>
    </row>
    <row r="9" spans="1:6">
      <c r="A9" s="69"/>
      <c r="B9" s="70"/>
      <c r="C9" s="70"/>
      <c r="D9" s="70"/>
      <c r="E9" s="70"/>
      <c r="F9" s="71"/>
    </row>
    <row r="10" spans="1:6" ht="19.5" customHeight="1">
      <c r="A10" s="80"/>
      <c r="B10" s="81"/>
      <c r="C10" s="81"/>
      <c r="D10" s="81"/>
      <c r="E10" s="82"/>
      <c r="F10" s="83"/>
    </row>
    <row r="11" spans="1:6" ht="19.5" customHeight="1">
      <c r="A11" s="69"/>
      <c r="B11" s="70"/>
      <c r="C11" s="70"/>
      <c r="D11" s="70"/>
      <c r="E11" s="84"/>
      <c r="F11" s="85"/>
    </row>
    <row r="12" spans="1:6" ht="19.5" customHeight="1">
      <c r="A12" s="86"/>
      <c r="B12" s="81"/>
      <c r="C12" s="70"/>
      <c r="D12" s="70"/>
      <c r="E12" s="70"/>
      <c r="F12" s="71"/>
    </row>
    <row r="13" spans="1:6" ht="19.5" customHeight="1">
      <c r="A13" s="86"/>
      <c r="B13" s="81"/>
      <c r="C13" s="87"/>
      <c r="D13" s="81"/>
      <c r="E13" s="81"/>
      <c r="F13" s="83"/>
    </row>
    <row r="14" spans="1:6" ht="19.5" customHeight="1">
      <c r="A14" s="88"/>
      <c r="B14" s="82"/>
      <c r="C14" s="82"/>
      <c r="D14" s="82"/>
      <c r="E14" s="82"/>
      <c r="F14" s="89"/>
    </row>
    <row r="15" spans="1:6" ht="16.350000000000001" customHeight="1">
      <c r="A15" s="88"/>
      <c r="B15" s="82"/>
      <c r="C15" s="82"/>
      <c r="D15" s="82"/>
      <c r="E15" s="81"/>
      <c r="F15" s="83"/>
    </row>
    <row r="16" spans="1:6" ht="16.350000000000001" customHeight="1">
      <c r="A16" s="86"/>
      <c r="B16" s="81"/>
      <c r="C16" s="87"/>
      <c r="D16" s="87"/>
      <c r="E16" s="87"/>
      <c r="F16" s="90"/>
    </row>
    <row r="17" spans="1:6" ht="16.350000000000001" customHeight="1">
      <c r="A17" s="86"/>
      <c r="B17" s="81"/>
      <c r="C17" s="87"/>
      <c r="D17" s="87"/>
      <c r="E17" s="87"/>
      <c r="F17" s="90"/>
    </row>
    <row r="18" spans="1:6" ht="16.350000000000001" customHeight="1">
      <c r="A18" s="91"/>
      <c r="B18" s="92"/>
      <c r="C18" s="92"/>
      <c r="D18" s="92"/>
      <c r="E18" s="87"/>
      <c r="F18" s="90"/>
    </row>
    <row r="19" spans="1:6" ht="16.350000000000001" customHeight="1">
      <c r="A19" s="93"/>
      <c r="B19" s="87"/>
      <c r="C19" s="87"/>
      <c r="D19" s="87"/>
      <c r="E19" s="87"/>
      <c r="F19" s="90"/>
    </row>
    <row r="20" spans="1:6" ht="16.350000000000001" customHeight="1">
      <c r="A20" s="88"/>
      <c r="B20" s="82"/>
      <c r="C20" s="82"/>
      <c r="D20" s="81"/>
      <c r="E20" s="81"/>
      <c r="F20" s="83"/>
    </row>
    <row r="21" spans="1:6" ht="16.350000000000001" customHeight="1">
      <c r="A21" s="88"/>
      <c r="B21" s="82"/>
      <c r="C21" s="82"/>
      <c r="D21" s="81"/>
      <c r="E21" s="81"/>
      <c r="F21" s="83"/>
    </row>
    <row r="22" spans="1:6" ht="16.350000000000001" customHeight="1">
      <c r="A22" s="93"/>
      <c r="B22" s="87"/>
      <c r="C22" s="87"/>
      <c r="D22" s="87"/>
      <c r="E22" s="87"/>
      <c r="F22" s="90"/>
    </row>
    <row r="23" spans="1:6" ht="16.350000000000001" customHeight="1">
      <c r="A23" s="93"/>
      <c r="B23" s="87"/>
      <c r="C23" s="87"/>
      <c r="D23" s="87"/>
      <c r="E23" s="87"/>
      <c r="F23" s="90"/>
    </row>
    <row r="24" spans="1:6" ht="16.350000000000001" customHeight="1">
      <c r="A24" s="93"/>
      <c r="B24" s="87"/>
      <c r="C24" s="87"/>
      <c r="D24" s="87"/>
      <c r="E24" s="87"/>
      <c r="F24" s="90"/>
    </row>
    <row r="25" spans="1:6" ht="25.5" customHeight="1">
      <c r="A25" s="1075" t="s">
        <v>620</v>
      </c>
      <c r="B25" s="1076"/>
      <c r="C25" s="1077"/>
      <c r="D25" s="94" t="s">
        <v>621</v>
      </c>
      <c r="E25" s="1073" t="s">
        <v>622</v>
      </c>
      <c r="F25" s="1074"/>
    </row>
    <row r="26" spans="1:6" ht="65.25" customHeight="1">
      <c r="A26" s="1070" t="s">
        <v>619</v>
      </c>
      <c r="B26" s="1071"/>
      <c r="C26" s="1072"/>
      <c r="D26" s="95" t="s">
        <v>623</v>
      </c>
      <c r="E26" s="1068" t="s">
        <v>624</v>
      </c>
      <c r="F26" s="1069"/>
    </row>
    <row r="27" spans="1:6" ht="21" customHeight="1">
      <c r="A27" s="93"/>
      <c r="B27" s="87"/>
      <c r="C27" s="87"/>
      <c r="D27" s="87"/>
      <c r="E27" s="87"/>
      <c r="F27" s="90"/>
    </row>
    <row r="28" spans="1:6" ht="39.75" customHeight="1">
      <c r="A28" s="1063" t="s">
        <v>609</v>
      </c>
      <c r="B28" s="1064"/>
      <c r="C28" s="1064"/>
      <c r="D28" s="1064"/>
      <c r="E28" s="1064"/>
      <c r="F28" s="1065"/>
    </row>
    <row r="29" spans="1:6" ht="17.25" customHeight="1" thickBot="1">
      <c r="A29" s="96"/>
      <c r="B29" s="97"/>
      <c r="C29" s="97"/>
      <c r="D29" s="97"/>
      <c r="E29" s="97"/>
      <c r="F29" s="98"/>
    </row>
    <row r="30" spans="1:6" ht="27" customHeight="1"/>
    <row r="31" spans="1:6" ht="15.6" customHeight="1">
      <c r="A31" s="99"/>
      <c r="B31" s="99"/>
      <c r="C31" s="99"/>
      <c r="D31" s="99"/>
      <c r="E31" s="99"/>
      <c r="F31" s="99"/>
    </row>
    <row r="32" spans="1:6" ht="13.5" customHeight="1">
      <c r="A32" s="100"/>
      <c r="B32" s="70"/>
      <c r="C32" s="70"/>
      <c r="D32" s="70"/>
      <c r="E32" s="70"/>
      <c r="F32" s="70"/>
    </row>
    <row r="33" spans="1:6" ht="18" customHeight="1">
      <c r="A33" s="70"/>
      <c r="B33" s="101"/>
      <c r="C33" s="70"/>
      <c r="D33" s="70"/>
      <c r="E33" s="70"/>
      <c r="F33" s="70"/>
    </row>
    <row r="34" spans="1:6" ht="13.5" customHeight="1">
      <c r="A34" s="99"/>
      <c r="B34" s="99"/>
      <c r="C34" s="99"/>
      <c r="D34" s="99"/>
      <c r="E34" s="87"/>
      <c r="F34" s="87"/>
    </row>
    <row r="35" spans="1:6" ht="15.6" customHeight="1">
      <c r="A35" s="99"/>
      <c r="B35" s="99"/>
      <c r="C35" s="99"/>
      <c r="D35" s="99"/>
      <c r="E35" s="99"/>
      <c r="F35" s="99"/>
    </row>
    <row r="36" spans="1:6" ht="15.6" customHeight="1">
      <c r="A36" s="99"/>
      <c r="B36" s="99"/>
      <c r="C36" s="99"/>
      <c r="D36" s="99"/>
      <c r="E36" s="99"/>
      <c r="F36" s="99"/>
    </row>
    <row r="37" spans="1:6" ht="11.1" customHeight="1">
      <c r="A37" s="70"/>
      <c r="B37" s="70"/>
      <c r="C37" s="70"/>
      <c r="D37" s="70"/>
      <c r="E37" s="70"/>
      <c r="F37" s="70"/>
    </row>
    <row r="38" spans="1:6" ht="11.25" customHeight="1">
      <c r="A38" s="102"/>
      <c r="B38" s="102"/>
      <c r="C38" s="102"/>
      <c r="D38" s="102"/>
      <c r="E38" s="102"/>
      <c r="F38" s="102"/>
    </row>
    <row r="39" spans="1:6" ht="7.5" customHeight="1">
      <c r="A39" s="70"/>
      <c r="B39" s="70"/>
      <c r="C39" s="70"/>
      <c r="D39" s="70"/>
      <c r="E39" s="70"/>
      <c r="F39" s="70"/>
    </row>
    <row r="40" spans="1:6" ht="16.5" customHeight="1">
      <c r="A40" s="81"/>
      <c r="B40" s="81"/>
      <c r="C40" s="81"/>
      <c r="D40" s="81"/>
      <c r="E40" s="81"/>
      <c r="F40" s="81"/>
    </row>
    <row r="41" spans="1:6" ht="24.75" customHeight="1"/>
  </sheetData>
  <sheetProtection algorithmName="SHA-512" hashValue="HnpwiZL4/jUyJvdUXy2xiUl6FfGtZvGC0kZvb8riYQdz++EhMINU7DQYd8KJWMd9oN1Xb7RH4ODIe4rfvxkvJA==" saltValue="vSA+imkFjgzOmKzzWbvb3Q==" spinCount="100000" sheet="1" objects="1" scenarios="1" selectLockedCells="1"/>
  <mergeCells count="12">
    <mergeCell ref="A1:C3"/>
    <mergeCell ref="D1:D3"/>
    <mergeCell ref="E1:F1"/>
    <mergeCell ref="E3:F3"/>
    <mergeCell ref="A28:F28"/>
    <mergeCell ref="B6:E6"/>
    <mergeCell ref="D7:E7"/>
    <mergeCell ref="D8:E8"/>
    <mergeCell ref="E26:F26"/>
    <mergeCell ref="A26:C26"/>
    <mergeCell ref="E25:F25"/>
    <mergeCell ref="A25:C25"/>
  </mergeCells>
  <pageMargins left="0.7" right="0.7" top="0.75" bottom="0.75" header="0.3" footer="0.3"/>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66" customWidth="1"/>
    <col min="2" max="2" width="13.6640625" style="66" customWidth="1"/>
    <col min="3" max="3" width="16.44140625" style="66" customWidth="1"/>
    <col min="4" max="4" width="52.44140625" style="66" customWidth="1"/>
    <col min="5" max="5" width="16.44140625" style="66" customWidth="1"/>
    <col min="6" max="6" width="13.6640625" style="66" customWidth="1"/>
    <col min="7" max="16384" width="12.5546875" style="66"/>
  </cols>
  <sheetData>
    <row r="1" spans="1:6" ht="19.5" customHeight="1">
      <c r="A1" s="1053"/>
      <c r="B1" s="1054"/>
      <c r="C1" s="1054"/>
      <c r="D1" s="1057" t="s">
        <v>610</v>
      </c>
      <c r="E1" s="1059" t="s">
        <v>611</v>
      </c>
      <c r="F1" s="1060"/>
    </row>
    <row r="2" spans="1:6" ht="23.25" customHeight="1">
      <c r="A2" s="1055"/>
      <c r="B2" s="1056"/>
      <c r="C2" s="1056"/>
      <c r="D2" s="1058"/>
      <c r="E2" s="67" t="s">
        <v>626</v>
      </c>
      <c r="F2" s="68" t="s">
        <v>625</v>
      </c>
    </row>
    <row r="3" spans="1:6" ht="28.5" customHeight="1">
      <c r="A3" s="1055"/>
      <c r="B3" s="1056"/>
      <c r="C3" s="1056"/>
      <c r="D3" s="1058"/>
      <c r="E3" s="1061" t="s">
        <v>613</v>
      </c>
      <c r="F3" s="1062"/>
    </row>
    <row r="4" spans="1:6" ht="9" customHeight="1">
      <c r="A4" s="69"/>
      <c r="B4" s="70"/>
      <c r="C4" s="70"/>
      <c r="D4" s="70"/>
      <c r="E4" s="70"/>
      <c r="F4" s="71"/>
    </row>
    <row r="5" spans="1:6" ht="17.850000000000001" customHeight="1">
      <c r="A5" s="1078" t="s">
        <v>627</v>
      </c>
      <c r="B5" s="1079"/>
      <c r="C5" s="1079"/>
      <c r="D5" s="1079"/>
      <c r="E5" s="1079"/>
      <c r="F5" s="1080"/>
    </row>
    <row r="6" spans="1:6" ht="30" customHeight="1">
      <c r="A6" s="1081"/>
      <c r="B6" s="1079"/>
      <c r="C6" s="1079"/>
      <c r="D6" s="1079"/>
      <c r="E6" s="1079"/>
      <c r="F6" s="1080"/>
    </row>
    <row r="7" spans="1:6" ht="19.5" customHeight="1">
      <c r="A7" s="1081"/>
      <c r="B7" s="1079"/>
      <c r="C7" s="1079"/>
      <c r="D7" s="1079"/>
      <c r="E7" s="1079"/>
      <c r="F7" s="1080"/>
    </row>
    <row r="8" spans="1:6" ht="15" customHeight="1">
      <c r="A8" s="1081"/>
      <c r="B8" s="1079"/>
      <c r="C8" s="1079"/>
      <c r="D8" s="1079"/>
      <c r="E8" s="1079"/>
      <c r="F8" s="1080"/>
    </row>
    <row r="9" spans="1:6">
      <c r="A9" s="1081"/>
      <c r="B9" s="1079"/>
      <c r="C9" s="1079"/>
      <c r="D9" s="1079"/>
      <c r="E9" s="1079"/>
      <c r="F9" s="1080"/>
    </row>
    <row r="10" spans="1:6" ht="19.5" customHeight="1">
      <c r="A10" s="1081"/>
      <c r="B10" s="1079"/>
      <c r="C10" s="1079"/>
      <c r="D10" s="1079"/>
      <c r="E10" s="1079"/>
      <c r="F10" s="1080"/>
    </row>
    <row r="11" spans="1:6" ht="19.5" customHeight="1">
      <c r="A11" s="1081"/>
      <c r="B11" s="1079"/>
      <c r="C11" s="1079"/>
      <c r="D11" s="1079"/>
      <c r="E11" s="1079"/>
      <c r="F11" s="1080"/>
    </row>
    <row r="12" spans="1:6" ht="19.5" customHeight="1">
      <c r="A12" s="1081"/>
      <c r="B12" s="1079"/>
      <c r="C12" s="1079"/>
      <c r="D12" s="1079"/>
      <c r="E12" s="1079"/>
      <c r="F12" s="1080"/>
    </row>
    <row r="13" spans="1:6" ht="19.5" customHeight="1">
      <c r="A13" s="1081"/>
      <c r="B13" s="1079"/>
      <c r="C13" s="1079"/>
      <c r="D13" s="1079"/>
      <c r="E13" s="1079"/>
      <c r="F13" s="1080"/>
    </row>
    <row r="14" spans="1:6" ht="19.5" customHeight="1">
      <c r="A14" s="1081"/>
      <c r="B14" s="1079"/>
      <c r="C14" s="1079"/>
      <c r="D14" s="1079"/>
      <c r="E14" s="1079"/>
      <c r="F14" s="1080"/>
    </row>
    <row r="15" spans="1:6" ht="16.350000000000001" customHeight="1">
      <c r="A15" s="1081"/>
      <c r="B15" s="1079"/>
      <c r="C15" s="1079"/>
      <c r="D15" s="1079"/>
      <c r="E15" s="1079"/>
      <c r="F15" s="1080"/>
    </row>
    <row r="16" spans="1:6" ht="16.350000000000001" customHeight="1">
      <c r="A16" s="1081"/>
      <c r="B16" s="1079"/>
      <c r="C16" s="1079"/>
      <c r="D16" s="1079"/>
      <c r="E16" s="1079"/>
      <c r="F16" s="1080"/>
    </row>
    <row r="17" spans="1:6" ht="16.350000000000001" customHeight="1">
      <c r="A17" s="1081"/>
      <c r="B17" s="1079"/>
      <c r="C17" s="1079"/>
      <c r="D17" s="1079"/>
      <c r="E17" s="1079"/>
      <c r="F17" s="1080"/>
    </row>
    <row r="18" spans="1:6" ht="16.350000000000001" customHeight="1">
      <c r="A18" s="1081"/>
      <c r="B18" s="1079"/>
      <c r="C18" s="1079"/>
      <c r="D18" s="1079"/>
      <c r="E18" s="1079"/>
      <c r="F18" s="1080"/>
    </row>
    <row r="19" spans="1:6" ht="16.350000000000001" customHeight="1">
      <c r="A19" s="1081"/>
      <c r="B19" s="1079"/>
      <c r="C19" s="1079"/>
      <c r="D19" s="1079"/>
      <c r="E19" s="1079"/>
      <c r="F19" s="1080"/>
    </row>
    <row r="20" spans="1:6" ht="16.350000000000001" customHeight="1">
      <c r="A20" s="1081"/>
      <c r="B20" s="1079"/>
      <c r="C20" s="1079"/>
      <c r="D20" s="1079"/>
      <c r="E20" s="1079"/>
      <c r="F20" s="1080"/>
    </row>
    <row r="21" spans="1:6" ht="16.350000000000001" customHeight="1">
      <c r="A21" s="1081"/>
      <c r="B21" s="1079"/>
      <c r="C21" s="1079"/>
      <c r="D21" s="1079"/>
      <c r="E21" s="1079"/>
      <c r="F21" s="1080"/>
    </row>
    <row r="22" spans="1:6" ht="16.350000000000001" customHeight="1">
      <c r="A22" s="1081"/>
      <c r="B22" s="1079"/>
      <c r="C22" s="1079"/>
      <c r="D22" s="1079"/>
      <c r="E22" s="1079"/>
      <c r="F22" s="1080"/>
    </row>
    <row r="23" spans="1:6" ht="16.350000000000001" customHeight="1">
      <c r="A23" s="1081"/>
      <c r="B23" s="1079"/>
      <c r="C23" s="1079"/>
      <c r="D23" s="1079"/>
      <c r="E23" s="1079"/>
      <c r="F23" s="1080"/>
    </row>
    <row r="24" spans="1:6" ht="16.350000000000001" customHeight="1">
      <c r="A24" s="1081"/>
      <c r="B24" s="1079"/>
      <c r="C24" s="1079"/>
      <c r="D24" s="1079"/>
      <c r="E24" s="1079"/>
      <c r="F24" s="1080"/>
    </row>
    <row r="25" spans="1:6" ht="25.5" customHeight="1">
      <c r="A25" s="1082"/>
      <c r="B25" s="1083"/>
      <c r="C25" s="1083"/>
      <c r="D25" s="103"/>
      <c r="E25" s="1084"/>
      <c r="F25" s="1085"/>
    </row>
    <row r="26" spans="1:6" ht="65.25" customHeight="1">
      <c r="A26" s="1086"/>
      <c r="B26" s="1087"/>
      <c r="C26" s="1087"/>
      <c r="D26" s="104"/>
      <c r="E26" s="1088"/>
      <c r="F26" s="1089"/>
    </row>
    <row r="27" spans="1:6" ht="21" customHeight="1">
      <c r="A27" s="93"/>
      <c r="B27" s="87"/>
      <c r="C27" s="87"/>
      <c r="D27" s="87"/>
      <c r="E27" s="87"/>
      <c r="F27" s="90"/>
    </row>
    <row r="28" spans="1:6" ht="39.75" customHeight="1" thickBot="1">
      <c r="A28" s="1090" t="s">
        <v>609</v>
      </c>
      <c r="B28" s="1091"/>
      <c r="C28" s="1091"/>
      <c r="D28" s="1091"/>
      <c r="E28" s="1091"/>
      <c r="F28" s="1092"/>
    </row>
    <row r="29" spans="1:6" ht="27" customHeight="1"/>
    <row r="30" spans="1:6" ht="15.6" customHeight="1">
      <c r="A30" s="99"/>
      <c r="B30" s="99"/>
      <c r="C30" s="99"/>
      <c r="D30" s="99"/>
      <c r="E30" s="99"/>
      <c r="F30" s="99"/>
    </row>
    <row r="31" spans="1:6" ht="13.5" customHeight="1">
      <c r="A31" s="100"/>
      <c r="B31" s="70"/>
      <c r="C31" s="70"/>
      <c r="D31" s="70"/>
      <c r="E31" s="70"/>
      <c r="F31" s="70"/>
    </row>
    <row r="32" spans="1:6" ht="18" customHeight="1">
      <c r="A32" s="70"/>
      <c r="B32" s="101"/>
      <c r="C32" s="70"/>
      <c r="D32" s="70"/>
      <c r="E32" s="70"/>
      <c r="F32" s="70"/>
    </row>
    <row r="33" spans="1:6" ht="13.5" customHeight="1">
      <c r="A33" s="99"/>
      <c r="B33" s="99"/>
      <c r="C33" s="99"/>
      <c r="D33" s="99"/>
      <c r="E33" s="87"/>
      <c r="F33" s="87"/>
    </row>
    <row r="34" spans="1:6" ht="15.6" customHeight="1">
      <c r="A34" s="99"/>
      <c r="B34" s="99"/>
      <c r="C34" s="99"/>
      <c r="D34" s="99"/>
      <c r="E34" s="99"/>
      <c r="F34" s="99"/>
    </row>
    <row r="35" spans="1:6" ht="15.6" customHeight="1">
      <c r="A35" s="99"/>
      <c r="B35" s="99"/>
      <c r="C35" s="99"/>
      <c r="D35" s="99"/>
      <c r="E35" s="99"/>
      <c r="F35" s="99"/>
    </row>
    <row r="36" spans="1:6" ht="11.1" customHeight="1">
      <c r="A36" s="70"/>
      <c r="B36" s="70"/>
      <c r="C36" s="70"/>
      <c r="D36" s="70"/>
      <c r="E36" s="70"/>
      <c r="F36" s="70"/>
    </row>
    <row r="37" spans="1:6" ht="11.25" customHeight="1">
      <c r="A37" s="102"/>
      <c r="B37" s="102"/>
      <c r="C37" s="102"/>
      <c r="D37" s="102"/>
      <c r="E37" s="102"/>
      <c r="F37" s="102"/>
    </row>
    <row r="38" spans="1:6" ht="7.5" customHeight="1">
      <c r="A38" s="70"/>
      <c r="B38" s="70"/>
      <c r="C38" s="70"/>
      <c r="D38" s="70"/>
      <c r="E38" s="70"/>
      <c r="F38" s="70"/>
    </row>
    <row r="39" spans="1:6" ht="16.5" customHeight="1">
      <c r="A39" s="81"/>
      <c r="B39" s="81"/>
      <c r="C39" s="81"/>
      <c r="D39" s="81"/>
      <c r="E39" s="81"/>
      <c r="F39" s="81"/>
    </row>
    <row r="40" spans="1:6" ht="24.75" customHeight="1"/>
  </sheetData>
  <sheetProtection algorithmName="SHA-512" hashValue="AYp2KlviZevMuqLounInK503CjqlPnVfYWkoEWQCVsxbPCi+AwnAy8t11gHgpoT4J00qOTTIMXXXgp4XGm3DDw==" saltValue="Op/GkY2J2ad9xFrpW+/POg==" spinCount="100000" sheet="1" objects="1" scenarios="1" selectLockedCells="1"/>
  <mergeCells count="10">
    <mergeCell ref="A25:C25"/>
    <mergeCell ref="E25:F25"/>
    <mergeCell ref="A26:C26"/>
    <mergeCell ref="E26:F26"/>
    <mergeCell ref="A28:F28"/>
    <mergeCell ref="A5:F24"/>
    <mergeCell ref="A1:C3"/>
    <mergeCell ref="D1:D3"/>
    <mergeCell ref="E1:F1"/>
    <mergeCell ref="E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32"/>
  <sheetViews>
    <sheetView showGridLines="0" zoomScale="80" zoomScaleNormal="80" workbookViewId="0">
      <pane xSplit="5" ySplit="4" topLeftCell="F84" activePane="bottomRight" state="frozen"/>
      <selection activeCell="Q86" sqref="Q86"/>
      <selection pane="topRight" activeCell="Q86" sqref="Q86"/>
      <selection pane="bottomLeft" activeCell="Q86" sqref="Q86"/>
      <selection pane="bottomRight" activeCell="F131" sqref="F131:G132"/>
    </sheetView>
  </sheetViews>
  <sheetFormatPr baseColWidth="10" defaultColWidth="11.44140625" defaultRowHeight="13.2"/>
  <cols>
    <col min="1" max="1" width="1.6640625" customWidth="1"/>
    <col min="2" max="2" width="6.5546875" style="383" customWidth="1"/>
    <col min="3" max="3" width="36.33203125" style="384" customWidth="1"/>
    <col min="4" max="4" width="16" style="383" customWidth="1"/>
    <col min="5" max="6" width="41.88671875" style="385" customWidth="1"/>
    <col min="7" max="7" width="25" style="383" customWidth="1"/>
    <col min="8" max="8" width="19" customWidth="1"/>
    <col min="9" max="9" width="13.109375" customWidth="1"/>
    <col min="10" max="13" width="11.44140625" customWidth="1"/>
    <col min="14" max="15" width="15.5546875" customWidth="1"/>
    <col min="16" max="16" width="15.33203125" style="383" customWidth="1"/>
    <col min="17" max="17" width="12.6640625" style="383" customWidth="1"/>
    <col min="18" max="18" width="48.5546875" style="398" customWidth="1"/>
  </cols>
  <sheetData>
    <row r="2" spans="2:18" ht="17.399999999999999">
      <c r="B2" s="1095" t="s">
        <v>708</v>
      </c>
      <c r="C2" s="1095"/>
      <c r="D2" s="1095"/>
      <c r="E2" s="1095"/>
      <c r="F2" s="1095"/>
      <c r="G2" s="1095"/>
      <c r="H2" s="1095"/>
      <c r="I2" s="1095"/>
      <c r="J2" s="1095"/>
      <c r="K2" s="1095"/>
      <c r="L2" s="1095"/>
      <c r="M2" s="1095"/>
      <c r="N2" s="1095"/>
      <c r="O2" s="1095"/>
    </row>
    <row r="3" spans="2:18" ht="17.25" customHeight="1">
      <c r="B3" s="365"/>
      <c r="C3" s="365"/>
      <c r="D3" s="366"/>
      <c r="E3" s="366"/>
      <c r="F3" s="366"/>
      <c r="G3" s="366"/>
      <c r="H3" s="1096" t="s">
        <v>709</v>
      </c>
      <c r="I3" s="1096"/>
      <c r="J3" s="1096"/>
      <c r="K3" s="1096"/>
      <c r="L3" s="1096"/>
      <c r="M3" s="1096"/>
      <c r="N3" s="1096"/>
      <c r="O3" s="1096"/>
    </row>
    <row r="4" spans="2:18" ht="52.95" customHeight="1">
      <c r="B4" s="367" t="s">
        <v>710</v>
      </c>
      <c r="C4" s="367" t="s">
        <v>711</v>
      </c>
      <c r="D4" s="368" t="s">
        <v>712</v>
      </c>
      <c r="E4" s="369" t="s">
        <v>713</v>
      </c>
      <c r="F4" s="369" t="s">
        <v>743</v>
      </c>
      <c r="G4" s="369" t="s">
        <v>714</v>
      </c>
      <c r="H4" s="1097" t="s">
        <v>715</v>
      </c>
      <c r="I4" s="1098"/>
      <c r="J4" s="1099" t="s">
        <v>716</v>
      </c>
      <c r="K4" s="1100"/>
      <c r="L4" s="1100"/>
      <c r="M4" s="1101"/>
      <c r="N4" s="1102" t="s">
        <v>717</v>
      </c>
      <c r="O4" s="1103"/>
      <c r="P4" s="391" t="s">
        <v>806</v>
      </c>
      <c r="Q4" s="391" t="s">
        <v>807</v>
      </c>
      <c r="R4" s="378" t="s">
        <v>805</v>
      </c>
    </row>
    <row r="5" spans="2:18" ht="57.6" customHeight="1">
      <c r="B5" s="370">
        <v>1</v>
      </c>
      <c r="C5" s="371" t="s">
        <v>718</v>
      </c>
      <c r="D5" s="370" t="s">
        <v>737</v>
      </c>
      <c r="E5" s="386" t="str">
        <f>+'01-DIRECCIONAMIENTO ESTRATÉGICO'!I16</f>
        <v xml:space="preserve">Porcentaje de acciones implementadas para la sostenibilidad y mejora del SGC </v>
      </c>
      <c r="F5" s="386" t="str">
        <f>'01-DIRECCIONAMIENTO ESTRATÉGICO'!J16</f>
        <v xml:space="preserve"> Grado de avance en la implementación de acciones para la sostenibilidad y mejora del SGC</v>
      </c>
      <c r="G5" s="370" t="s">
        <v>753</v>
      </c>
      <c r="H5" s="373" t="s">
        <v>724</v>
      </c>
      <c r="I5" s="374">
        <v>95</v>
      </c>
      <c r="J5" s="375" t="str">
        <f t="shared" ref="J5:J37" si="0">IF(OR($H5="Mayor A:",$H5="Menor A:"),"Desde (&gt;=):",
IF(OR($H5="Mayor o Igual A:",$H5="Menor o Igual A:"),"Desde (&gt;):",
IF($H5="Igual A:","No Aplica",
IF($H5="",""))))</f>
        <v>Desde (&gt;=):</v>
      </c>
      <c r="K5" s="375">
        <f t="shared" ref="K5:K64" si="1">IF(I5&gt;O5,O5,
IF(I5&lt;O5,I5,
IF(I5=O5,"No Aplica","")))</f>
        <v>80</v>
      </c>
      <c r="L5" s="375" t="str">
        <f t="shared" ref="L5:L37" si="2">IF(OR($H5="Mayor A:",$H5="Menor A:"),"Hasta (&lt;=):",
IF(OR($H5="Mayor o Igual A:",$H5="Menor o Igual A:"),"Hasta (&lt;):",
IF($H5="Igual A:","No Aplica",
IF($H5="",""))))</f>
        <v>Hasta (&lt;=):</v>
      </c>
      <c r="M5" s="375">
        <f t="shared" ref="M5:M64" si="3">IF(I5&gt;O5,I5,
IF(I5&lt;O5,O5,
IF(I5=O5,"No Aplica","")))</f>
        <v>95</v>
      </c>
      <c r="N5" s="375" t="str">
        <f t="shared" ref="N5:N37" si="4">IF($H5="Mayor A:","Menor A:",
IF($H5="Menor A:","Mayor A:",
IF($H5="Mayor o Igual A:","Menor o Igual A:",
IF($H5="Menor o Igual A:","Mayor o Igual A:",
IF($H5="Igual A:","Igual A:",
IF($H5="",""))))))</f>
        <v>Menor A:</v>
      </c>
      <c r="O5" s="376">
        <v>80</v>
      </c>
      <c r="P5" s="389">
        <f>+'01-DIRECCIONAMIENTO ESTRATÉGICO'!F16</f>
        <v>1</v>
      </c>
      <c r="Q5" s="389">
        <f>+'01-DIRECCIONAMIENTO ESTRATÉGICO'!G16</f>
        <v>1</v>
      </c>
      <c r="R5" s="396" t="str">
        <f>+'01-DIRECCIONAMIENTO ESTRATÉGICO'!O16</f>
        <v>Dirección de Planeación
Aportan: Dependencias lideradas por  Responsables de procesos y operativos de todos los procesos institucionales</v>
      </c>
    </row>
    <row r="6" spans="2:18" ht="39.6">
      <c r="B6" s="370">
        <f>1+B5</f>
        <v>2</v>
      </c>
      <c r="C6" s="371" t="s">
        <v>718</v>
      </c>
      <c r="D6" s="370" t="s">
        <v>740</v>
      </c>
      <c r="E6" s="386" t="str">
        <f>+'01-DIRECCIONAMIENTO ESTRATÉGICO'!I17</f>
        <v>Porcentaje de actividades implementadas para la sostenibilidad  y mejora del MIPG</v>
      </c>
      <c r="F6" s="386" t="str">
        <f>'01-DIRECCIONAMIENTO ESTRATÉGICO'!J17</f>
        <v>Grado de avance en la implementación de acciones para la sostenibilidad y mejora del MIPG</v>
      </c>
      <c r="G6" s="378" t="s">
        <v>753</v>
      </c>
      <c r="H6" s="373" t="s">
        <v>724</v>
      </c>
      <c r="I6" s="374">
        <v>95</v>
      </c>
      <c r="J6" s="375" t="str">
        <f t="shared" si="0"/>
        <v>Desde (&gt;=):</v>
      </c>
      <c r="K6" s="375">
        <f t="shared" si="1"/>
        <v>80</v>
      </c>
      <c r="L6" s="375" t="str">
        <f t="shared" si="2"/>
        <v>Hasta (&lt;=):</v>
      </c>
      <c r="M6" s="375">
        <f t="shared" si="3"/>
        <v>95</v>
      </c>
      <c r="N6" s="375" t="str">
        <f t="shared" si="4"/>
        <v>Menor A:</v>
      </c>
      <c r="O6" s="376">
        <v>80</v>
      </c>
      <c r="P6" s="389">
        <f>+'01-DIRECCIONAMIENTO ESTRATÉGICO'!F17</f>
        <v>0.4</v>
      </c>
      <c r="Q6" s="389">
        <f>+'01-DIRECCIONAMIENTO ESTRATÉGICO'!G17</f>
        <v>0.14000000000000001</v>
      </c>
      <c r="R6" s="396" t="str">
        <f>+'01-DIRECCIONAMIENTO ESTRATÉGICO'!O17</f>
        <v>Dirección de Planeación
Aportan: Dependencias lideradas por  Responsables de procesos y operativos de todos los procesos institucionales</v>
      </c>
    </row>
    <row r="7" spans="2:18" ht="26.4">
      <c r="B7" s="370">
        <f t="shared" ref="B7:B73" si="5">1+B6</f>
        <v>3</v>
      </c>
      <c r="C7" s="371" t="s">
        <v>718</v>
      </c>
      <c r="D7" s="370" t="s">
        <v>741</v>
      </c>
      <c r="E7" s="386" t="str">
        <f>+'01-DIRECCIONAMIENTO ESTRATÉGICO'!I18</f>
        <v xml:space="preserve">Porcentaje de requisitos del  SGA implementados bajo los estándares de la norma ISO 14001 </v>
      </c>
      <c r="F7" s="386" t="str">
        <f>'01-DIRECCIONAMIENTO ESTRATÉGICO'!J18</f>
        <v>Número de requisitos implementados del SGA/ Número total de requisitos del SGA</v>
      </c>
      <c r="G7" s="378" t="s">
        <v>753</v>
      </c>
      <c r="H7" s="373" t="s">
        <v>719</v>
      </c>
      <c r="I7" s="374">
        <v>95</v>
      </c>
      <c r="J7" s="375" t="str">
        <f t="shared" si="0"/>
        <v>Desde (&gt;):</v>
      </c>
      <c r="K7" s="375">
        <f t="shared" si="1"/>
        <v>85</v>
      </c>
      <c r="L7" s="375" t="str">
        <f t="shared" si="2"/>
        <v>Hasta (&lt;):</v>
      </c>
      <c r="M7" s="375">
        <f t="shared" si="3"/>
        <v>95</v>
      </c>
      <c r="N7" s="375" t="str">
        <f t="shared" si="4"/>
        <v>Menor o Igual A:</v>
      </c>
      <c r="O7" s="376">
        <v>85</v>
      </c>
      <c r="P7" s="389">
        <f>+'01-DIRECCIONAMIENTO ESTRATÉGICO'!F18</f>
        <v>1</v>
      </c>
      <c r="Q7" s="389">
        <f>+'01-DIRECCIONAMIENTO ESTRATÉGICO'!G18</f>
        <v>0.33</v>
      </c>
      <c r="R7" s="396" t="str">
        <f>+'01-DIRECCIONAMIENTO ESTRATÉGICO'!O18</f>
        <v>Dirección de Planeación</v>
      </c>
    </row>
    <row r="8" spans="2:18" ht="33" customHeight="1">
      <c r="B8" s="370">
        <f t="shared" si="5"/>
        <v>4</v>
      </c>
      <c r="C8" s="371" t="s">
        <v>718</v>
      </c>
      <c r="D8" s="370" t="s">
        <v>742</v>
      </c>
      <c r="E8" s="386" t="str">
        <f>+'01-DIRECCIONAMIENTO ESTRATÉGICO'!I19</f>
        <v>Acciones de monitoreo y revisión realizadas al PAAC</v>
      </c>
      <c r="F8" s="386" t="str">
        <f>'01-DIRECCIONAMIENTO ESTRATÉGICO'!J19</f>
        <v>Número de acciones de monitoreo realizadas al PAAC</v>
      </c>
      <c r="G8" s="378" t="s">
        <v>753</v>
      </c>
      <c r="H8" s="373" t="s">
        <v>719</v>
      </c>
      <c r="I8" s="374">
        <v>100</v>
      </c>
      <c r="J8" s="375" t="str">
        <f t="shared" si="0"/>
        <v>Desde (&gt;):</v>
      </c>
      <c r="K8" s="375">
        <f t="shared" si="1"/>
        <v>80</v>
      </c>
      <c r="L8" s="375" t="str">
        <f t="shared" si="2"/>
        <v>Hasta (&lt;):</v>
      </c>
      <c r="M8" s="375">
        <f t="shared" si="3"/>
        <v>100</v>
      </c>
      <c r="N8" s="375" t="str">
        <f t="shared" si="4"/>
        <v>Menor o Igual A:</v>
      </c>
      <c r="O8" s="376">
        <v>80</v>
      </c>
      <c r="P8" s="394">
        <f>+'01-DIRECCIONAMIENTO ESTRATÉGICO'!F19</f>
        <v>12</v>
      </c>
      <c r="Q8" s="394">
        <f>+'01-DIRECCIONAMIENTO ESTRATÉGICO'!G19</f>
        <v>3</v>
      </c>
      <c r="R8" s="396" t="str">
        <f>+'01-DIRECCIONAMIENTO ESTRATÉGICO'!O19</f>
        <v>Dirección de Planeación</v>
      </c>
    </row>
    <row r="9" spans="2:18" ht="25.5" customHeight="1">
      <c r="B9" s="370">
        <f t="shared" si="5"/>
        <v>5</v>
      </c>
      <c r="C9" s="377" t="s">
        <v>720</v>
      </c>
      <c r="D9" s="378" t="s">
        <v>775</v>
      </c>
      <c r="E9" s="382" t="str">
        <f>+'02-G. CONOCIMIENTO INNOVACIÓN'!I16</f>
        <v>Proyectos de Investigación, Desarrollo e Innovación (I+D+I) elaborados</v>
      </c>
      <c r="F9" s="382" t="str">
        <f>+'02-G. CONOCIMIENTO INNOVACIÓN'!J16</f>
        <v>Número de proyectos de investigación, desarrollo e innovación elaborados</v>
      </c>
      <c r="G9" s="378" t="s">
        <v>753</v>
      </c>
      <c r="H9" s="373" t="s">
        <v>719</v>
      </c>
      <c r="I9" s="374">
        <v>100</v>
      </c>
      <c r="J9" s="375" t="str">
        <f t="shared" si="0"/>
        <v>Desde (&gt;):</v>
      </c>
      <c r="K9" s="375">
        <f t="shared" si="1"/>
        <v>60</v>
      </c>
      <c r="L9" s="375" t="str">
        <f t="shared" si="2"/>
        <v>Hasta (&lt;):</v>
      </c>
      <c r="M9" s="375">
        <f t="shared" si="3"/>
        <v>100</v>
      </c>
      <c r="N9" s="375" t="str">
        <f t="shared" si="4"/>
        <v>Menor o Igual A:</v>
      </c>
      <c r="O9" s="376">
        <v>60</v>
      </c>
      <c r="P9" s="388">
        <f>+'02-G. CONOCIMIENTO INNOVACIÓN'!F16</f>
        <v>4</v>
      </c>
      <c r="Q9" s="388">
        <f>+'02-G. CONOCIMIENTO INNOVACIÓN'!G16</f>
        <v>1</v>
      </c>
      <c r="R9" s="393" t="str">
        <f>+'02-G. CONOCIMIENTO INNOVACIÓN'!O16</f>
        <v xml:space="preserve">Dirección de Gestión del Conocimiento e Innovación </v>
      </c>
    </row>
    <row r="10" spans="2:18" ht="25.5" customHeight="1">
      <c r="B10" s="370">
        <f t="shared" si="5"/>
        <v>6</v>
      </c>
      <c r="C10" s="860" t="s">
        <v>720</v>
      </c>
      <c r="D10" s="378" t="s">
        <v>1127</v>
      </c>
      <c r="E10" s="382" t="str">
        <f>+'02-G. CONOCIMIENTO INNOVACIÓN'!I17</f>
        <v>Productos resultado de investigaciones, entregadas para la comunidad</v>
      </c>
      <c r="F10" s="382" t="str">
        <f>+'02-G. CONOCIMIENTO INNOVACIÓN'!J17</f>
        <v>Número de proyectos de investigación, desarrollo e innovación elaborados</v>
      </c>
      <c r="G10" s="378" t="s">
        <v>753</v>
      </c>
      <c r="H10" s="373" t="s">
        <v>719</v>
      </c>
      <c r="I10" s="374">
        <v>100</v>
      </c>
      <c r="J10" s="375" t="str">
        <f t="shared" si="0"/>
        <v>Desde (&gt;):</v>
      </c>
      <c r="K10" s="375">
        <f t="shared" ref="K10" si="6">IF(I10&gt;O10,O10,
IF(I10&lt;O10,I10,
IF(I10=O10,"No Aplica","")))</f>
        <v>60</v>
      </c>
      <c r="L10" s="375" t="str">
        <f t="shared" si="2"/>
        <v>Hasta (&lt;):</v>
      </c>
      <c r="M10" s="375">
        <f t="shared" ref="M10" si="7">IF(I10&gt;O10,I10,
IF(I10&lt;O10,O10,
IF(I10=O10,"No Aplica","")))</f>
        <v>100</v>
      </c>
      <c r="N10" s="375" t="str">
        <f t="shared" si="4"/>
        <v>Menor o Igual A:</v>
      </c>
      <c r="O10" s="376">
        <v>60</v>
      </c>
      <c r="P10" s="388">
        <f>+'02-G. CONOCIMIENTO INNOVACIÓN'!F17</f>
        <v>2</v>
      </c>
      <c r="Q10" s="388">
        <f>+'02-G. CONOCIMIENTO INNOVACIÓN'!G17</f>
        <v>1</v>
      </c>
      <c r="R10" s="393" t="str">
        <f>+'02-G. CONOCIMIENTO INNOVACIÓN'!O17</f>
        <v xml:space="preserve">Dirección de Gestión del Conocimiento e Innovación </v>
      </c>
    </row>
    <row r="11" spans="2:18" ht="32.25" customHeight="1">
      <c r="B11" s="370">
        <f t="shared" si="5"/>
        <v>7</v>
      </c>
      <c r="C11" s="377" t="s">
        <v>720</v>
      </c>
      <c r="D11" s="378" t="s">
        <v>738</v>
      </c>
      <c r="E11" s="382" t="str">
        <f>+'02-G. CONOCIMIENTO INNOVACIÓN'!I18</f>
        <v>Informes de investigación e innovación construidos</v>
      </c>
      <c r="F11" s="382" t="str">
        <f>+'02-G. CONOCIMIENTO INNOVACIÓN'!J18</f>
        <v>Número de Informes de Investigación e Innovación construidos</v>
      </c>
      <c r="G11" s="378" t="s">
        <v>753</v>
      </c>
      <c r="H11" s="373" t="s">
        <v>719</v>
      </c>
      <c r="I11" s="374">
        <v>100</v>
      </c>
      <c r="J11" s="375" t="str">
        <f t="shared" si="0"/>
        <v>Desde (&gt;):</v>
      </c>
      <c r="K11" s="375">
        <f t="shared" si="1"/>
        <v>60</v>
      </c>
      <c r="L11" s="375" t="str">
        <f t="shared" si="2"/>
        <v>Hasta (&lt;):</v>
      </c>
      <c r="M11" s="375">
        <f t="shared" si="3"/>
        <v>100</v>
      </c>
      <c r="N11" s="375" t="str">
        <f t="shared" si="4"/>
        <v>Menor o Igual A:</v>
      </c>
      <c r="O11" s="376">
        <v>60</v>
      </c>
      <c r="P11" s="388">
        <f>+'02-G. CONOCIMIENTO INNOVACIÓN'!F18</f>
        <v>8</v>
      </c>
      <c r="Q11" s="388">
        <f>+'02-G. CONOCIMIENTO INNOVACIÓN'!G18</f>
        <v>2</v>
      </c>
      <c r="R11" s="393" t="str">
        <f>+'02-G. CONOCIMIENTO INNOVACIÓN'!O18</f>
        <v xml:space="preserve">Dirección de Gestión del Conocimiento e Innovación </v>
      </c>
    </row>
    <row r="12" spans="2:18" ht="26.4">
      <c r="B12" s="370">
        <f t="shared" si="5"/>
        <v>8</v>
      </c>
      <c r="C12" s="377" t="s">
        <v>720</v>
      </c>
      <c r="D12" s="378" t="s">
        <v>778</v>
      </c>
      <c r="E12" s="382" t="str">
        <f>+'02-G. CONOCIMIENTO INNOVACIÓN'!I19</f>
        <v>Actividades de apropiación social del conocimiento desarrolladas</v>
      </c>
      <c r="F12" s="382" t="str">
        <f>+'02-G. CONOCIMIENTO INNOVACIÓN'!J19</f>
        <v xml:space="preserve"> Número de Actividades de apropiación social del conocimiento realizadas</v>
      </c>
      <c r="G12" s="378" t="s">
        <v>753</v>
      </c>
      <c r="H12" s="373" t="s">
        <v>719</v>
      </c>
      <c r="I12" s="374">
        <v>100</v>
      </c>
      <c r="J12" s="375" t="str">
        <f t="shared" si="0"/>
        <v>Desde (&gt;):</v>
      </c>
      <c r="K12" s="375">
        <f t="shared" si="1"/>
        <v>60</v>
      </c>
      <c r="L12" s="375" t="str">
        <f t="shared" si="2"/>
        <v>Hasta (&lt;):</v>
      </c>
      <c r="M12" s="375">
        <f t="shared" si="3"/>
        <v>100</v>
      </c>
      <c r="N12" s="375" t="str">
        <f t="shared" si="4"/>
        <v>Menor o Igual A:</v>
      </c>
      <c r="O12" s="376">
        <v>60</v>
      </c>
      <c r="P12" s="388">
        <f>+'02-G. CONOCIMIENTO INNOVACIÓN'!F19</f>
        <v>80</v>
      </c>
      <c r="Q12" s="388">
        <f>+'02-G. CONOCIMIENTO INNOVACIÓN'!G19</f>
        <v>38</v>
      </c>
      <c r="R12" s="393" t="str">
        <f>+'02-G. CONOCIMIENTO INNOVACIÓN'!O19</f>
        <v xml:space="preserve">Dirección de Gestión del Conocimiento e Innovación </v>
      </c>
    </row>
    <row r="13" spans="2:18" ht="26.4">
      <c r="B13" s="370">
        <f t="shared" si="5"/>
        <v>9</v>
      </c>
      <c r="C13" s="371" t="s">
        <v>721</v>
      </c>
      <c r="D13" s="378" t="s">
        <v>776</v>
      </c>
      <c r="E13" s="382" t="str">
        <f>+'03-DIRECCIONAMIENTO TIC'!I16</f>
        <v>Porcentaje de proyectos implementados de acuerdo al plan de tecnologías de la Información</v>
      </c>
      <c r="F13" s="382" t="str">
        <f>+'03-DIRECCIONAMIENTO TIC'!J16</f>
        <v>Porcentaje de proyectos implementados / Porcentaje de proyectos programados</v>
      </c>
      <c r="G13" s="378" t="s">
        <v>753</v>
      </c>
      <c r="H13" s="373" t="s">
        <v>719</v>
      </c>
      <c r="I13" s="374">
        <v>90</v>
      </c>
      <c r="J13" s="375" t="str">
        <f t="shared" si="0"/>
        <v>Desde (&gt;):</v>
      </c>
      <c r="K13" s="375">
        <f t="shared" si="1"/>
        <v>85</v>
      </c>
      <c r="L13" s="375" t="str">
        <f t="shared" si="2"/>
        <v>Hasta (&lt;):</v>
      </c>
      <c r="M13" s="375">
        <f t="shared" si="3"/>
        <v>90</v>
      </c>
      <c r="N13" s="375" t="str">
        <f t="shared" si="4"/>
        <v>Menor o Igual A:</v>
      </c>
      <c r="O13" s="376">
        <v>85</v>
      </c>
      <c r="P13" s="389">
        <f>+'03-DIRECCIONAMIENTO TIC'!F16</f>
        <v>1</v>
      </c>
      <c r="Q13" s="389">
        <f>+'03-DIRECCIONAMIENTO TIC'!G16</f>
        <v>0.4</v>
      </c>
      <c r="R13" s="393" t="str">
        <f>+'03-DIRECCIONAMIENTO TIC'!O16</f>
        <v>Dirección de Tecnologías de la  Información y las Comunicaciones</v>
      </c>
    </row>
    <row r="14" spans="2:18" ht="26.4">
      <c r="B14" s="370">
        <f t="shared" si="5"/>
        <v>10</v>
      </c>
      <c r="C14" s="371" t="s">
        <v>721</v>
      </c>
      <c r="D14" s="378" t="s">
        <v>779</v>
      </c>
      <c r="E14" s="382" t="str">
        <f>+'03-DIRECCIONAMIENTO TIC'!I17</f>
        <v>Porcentaje de actividades ejecutadas de acuerdo al plan de Seguridad de información</v>
      </c>
      <c r="F14" s="382" t="str">
        <f>+'03-DIRECCIONAMIENTO TIC'!J17</f>
        <v>Porcentaje de actividades ejecutadas / Porcentaje de actividades programadas</v>
      </c>
      <c r="G14" s="378" t="s">
        <v>753</v>
      </c>
      <c r="H14" s="373" t="s">
        <v>719</v>
      </c>
      <c r="I14" s="374">
        <v>90</v>
      </c>
      <c r="J14" s="375" t="str">
        <f t="shared" si="0"/>
        <v>Desde (&gt;):</v>
      </c>
      <c r="K14" s="375">
        <f t="shared" si="1"/>
        <v>85</v>
      </c>
      <c r="L14" s="375" t="str">
        <f t="shared" si="2"/>
        <v>Hasta (&lt;):</v>
      </c>
      <c r="M14" s="375">
        <f t="shared" si="3"/>
        <v>90</v>
      </c>
      <c r="N14" s="375" t="str">
        <f t="shared" si="4"/>
        <v>Menor o Igual A:</v>
      </c>
      <c r="O14" s="376">
        <v>85</v>
      </c>
      <c r="P14" s="389">
        <f>+'03-DIRECCIONAMIENTO TIC'!F17</f>
        <v>1</v>
      </c>
      <c r="Q14" s="389">
        <f>+'03-DIRECCIONAMIENTO TIC'!G17</f>
        <v>0.4</v>
      </c>
      <c r="R14" s="393" t="str">
        <f>+'03-DIRECCIONAMIENTO TIC'!O17</f>
        <v>Dirección de Tecnologías de la  Información y las Comunicaciones</v>
      </c>
    </row>
    <row r="15" spans="2:18" ht="26.4">
      <c r="B15" s="370">
        <f t="shared" si="5"/>
        <v>11</v>
      </c>
      <c r="C15" s="371" t="s">
        <v>721</v>
      </c>
      <c r="D15" s="378" t="s">
        <v>739</v>
      </c>
      <c r="E15" s="382" t="str">
        <f>+'03-DIRECCIONAMIENTO TIC'!I18</f>
        <v xml:space="preserve">Porcentaje de actividades ejecutadas  en la estrategia de servicios ciudadanos digitales </v>
      </c>
      <c r="F15" s="382" t="str">
        <f>+'03-DIRECCIONAMIENTO TIC'!J18</f>
        <v>Porcentaje de actividades ejecutadas / Porcentaje de actividades programadas</v>
      </c>
      <c r="G15" s="378" t="s">
        <v>753</v>
      </c>
      <c r="H15" s="373" t="s">
        <v>719</v>
      </c>
      <c r="I15" s="374">
        <v>90</v>
      </c>
      <c r="J15" s="375" t="str">
        <f t="shared" si="0"/>
        <v>Desde (&gt;):</v>
      </c>
      <c r="K15" s="375">
        <f t="shared" si="1"/>
        <v>85</v>
      </c>
      <c r="L15" s="375" t="str">
        <f t="shared" si="2"/>
        <v>Hasta (&lt;):</v>
      </c>
      <c r="M15" s="375">
        <f t="shared" si="3"/>
        <v>90</v>
      </c>
      <c r="N15" s="375" t="str">
        <f t="shared" si="4"/>
        <v>Menor o Igual A:</v>
      </c>
      <c r="O15" s="376">
        <v>85</v>
      </c>
      <c r="P15" s="389">
        <f>+'03-DIRECCIONAMIENTO TIC'!F18</f>
        <v>1</v>
      </c>
      <c r="Q15" s="389">
        <f>+'03-DIRECCIONAMIENTO TIC'!G18</f>
        <v>0.4</v>
      </c>
      <c r="R15" s="393" t="str">
        <f>+'03-DIRECCIONAMIENTO TIC'!O18</f>
        <v>Dirección de Tecnologías de la  Información y las Comunicaciones</v>
      </c>
    </row>
    <row r="16" spans="2:18" ht="26.4">
      <c r="B16" s="370">
        <f t="shared" si="5"/>
        <v>12</v>
      </c>
      <c r="C16" s="371" t="s">
        <v>721</v>
      </c>
      <c r="D16" s="378" t="s">
        <v>780</v>
      </c>
      <c r="E16" s="382" t="str">
        <f>+'03-DIRECCIONAMIENTO TIC'!I19</f>
        <v>Porcentaje de lineamientos adoptados  en la estrategia de gestión de datos</v>
      </c>
      <c r="F16" s="382" t="str">
        <f>+'03-DIRECCIONAMIENTO TIC'!J19</f>
        <v>Porcentaje de lineamientos adoptados / Porcentaje de lineamietnos proyectados</v>
      </c>
      <c r="G16" s="378" t="s">
        <v>753</v>
      </c>
      <c r="H16" s="373" t="s">
        <v>719</v>
      </c>
      <c r="I16" s="374">
        <v>90</v>
      </c>
      <c r="J16" s="375" t="str">
        <f t="shared" si="0"/>
        <v>Desde (&gt;):</v>
      </c>
      <c r="K16" s="375">
        <f t="shared" si="1"/>
        <v>85</v>
      </c>
      <c r="L16" s="375" t="str">
        <f t="shared" si="2"/>
        <v>Hasta (&lt;):</v>
      </c>
      <c r="M16" s="375">
        <f t="shared" si="3"/>
        <v>90</v>
      </c>
      <c r="N16" s="375" t="str">
        <f t="shared" si="4"/>
        <v>Menor o Igual A:</v>
      </c>
      <c r="O16" s="376">
        <v>85</v>
      </c>
      <c r="P16" s="389">
        <f>+'03-DIRECCIONAMIENTO TIC'!F19</f>
        <v>1</v>
      </c>
      <c r="Q16" s="389">
        <f>+'03-DIRECCIONAMIENTO TIC'!G19</f>
        <v>0.4</v>
      </c>
      <c r="R16" s="393" t="str">
        <f>+'03-DIRECCIONAMIENTO TIC'!O19</f>
        <v>Dirección de Tecnologías de la  Información y las Comunicaciones</v>
      </c>
    </row>
    <row r="17" spans="2:18" ht="39.6">
      <c r="B17" s="370">
        <f t="shared" si="5"/>
        <v>13</v>
      </c>
      <c r="C17" s="371" t="s">
        <v>721</v>
      </c>
      <c r="D17" s="378" t="s">
        <v>781</v>
      </c>
      <c r="E17" s="382" t="str">
        <f>+'03-DIRECCIONAMIENTO TIC'!I20</f>
        <v>Cantidad de requerimientos prioritarios desarrollados para los sistemas información</v>
      </c>
      <c r="F17" s="382" t="str">
        <f>+'03-DIRECCIONAMIENTO TIC'!J20</f>
        <v>Cantidad de requerimientos desarrollados / Cantidad de requerimientos prioritarios programados</v>
      </c>
      <c r="G17" s="378" t="s">
        <v>753</v>
      </c>
      <c r="H17" s="373" t="s">
        <v>719</v>
      </c>
      <c r="I17" s="374">
        <v>90</v>
      </c>
      <c r="J17" s="375" t="str">
        <f t="shared" si="0"/>
        <v>Desde (&gt;):</v>
      </c>
      <c r="K17" s="375">
        <f t="shared" si="1"/>
        <v>85</v>
      </c>
      <c r="L17" s="375" t="str">
        <f t="shared" si="2"/>
        <v>Hasta (&lt;):</v>
      </c>
      <c r="M17" s="375">
        <f t="shared" si="3"/>
        <v>90</v>
      </c>
      <c r="N17" s="375" t="str">
        <f t="shared" si="4"/>
        <v>Menor o Igual A:</v>
      </c>
      <c r="O17" s="376">
        <v>85</v>
      </c>
      <c r="P17" s="389">
        <f>+'03-DIRECCIONAMIENTO TIC'!F20</f>
        <v>1</v>
      </c>
      <c r="Q17" s="389">
        <f>+'03-DIRECCIONAMIENTO TIC'!G20</f>
        <v>0.4</v>
      </c>
      <c r="R17" s="393" t="str">
        <f>+'03-DIRECCIONAMIENTO TIC'!O20</f>
        <v>Dirección de Tecnologías de la  Información y las Comunicaciones</v>
      </c>
    </row>
    <row r="18" spans="2:18" ht="26.4">
      <c r="B18" s="370">
        <f t="shared" si="5"/>
        <v>14</v>
      </c>
      <c r="C18" s="371" t="s">
        <v>721</v>
      </c>
      <c r="D18" s="378" t="s">
        <v>782</v>
      </c>
      <c r="E18" s="382" t="str">
        <f>+'03-DIRECCIONAMIENTO TIC'!I21</f>
        <v>Porcentaje de actividades ejecutadas del plan de uso y apropiación</v>
      </c>
      <c r="F18" s="382" t="str">
        <f>+'03-DIRECCIONAMIENTO TIC'!J21</f>
        <v>Porcentaje de actividades ejecutadas / porcentje de actividades programadas</v>
      </c>
      <c r="G18" s="378" t="s">
        <v>753</v>
      </c>
      <c r="H18" s="373" t="s">
        <v>719</v>
      </c>
      <c r="I18" s="374">
        <v>90</v>
      </c>
      <c r="J18" s="375" t="str">
        <f t="shared" si="0"/>
        <v>Desde (&gt;):</v>
      </c>
      <c r="K18" s="375">
        <f t="shared" si="1"/>
        <v>85</v>
      </c>
      <c r="L18" s="375" t="str">
        <f t="shared" si="2"/>
        <v>Hasta (&lt;):</v>
      </c>
      <c r="M18" s="375">
        <f t="shared" si="3"/>
        <v>90</v>
      </c>
      <c r="N18" s="375" t="str">
        <f t="shared" si="4"/>
        <v>Menor o Igual A:</v>
      </c>
      <c r="O18" s="376">
        <v>85</v>
      </c>
      <c r="P18" s="389">
        <f>+'03-DIRECCIONAMIENTO TIC'!F21</f>
        <v>1</v>
      </c>
      <c r="Q18" s="389">
        <f>+'03-DIRECCIONAMIENTO TIC'!G21</f>
        <v>0.4</v>
      </c>
      <c r="R18" s="393" t="str">
        <f>+'03-DIRECCIONAMIENTO TIC'!O21</f>
        <v>Dirección de Tecnologías de la  Información y las Comunicaciones</v>
      </c>
    </row>
    <row r="19" spans="2:18" ht="26.4">
      <c r="B19" s="370">
        <f t="shared" si="5"/>
        <v>15</v>
      </c>
      <c r="C19" s="371" t="s">
        <v>721</v>
      </c>
      <c r="D19" s="378" t="s">
        <v>783</v>
      </c>
      <c r="E19" s="382" t="str">
        <f>+'03-DIRECCIONAMIENTO TIC'!I22</f>
        <v>Porcentaje de actividades ejecutadas de la hoja de ruta de optimización tecnológica</v>
      </c>
      <c r="F19" s="382" t="str">
        <f>+'03-DIRECCIONAMIENTO TIC'!J22</f>
        <v>Porcentaje de actividades ejecutadas / porcentaje de actividades programadas</v>
      </c>
      <c r="G19" s="378" t="s">
        <v>753</v>
      </c>
      <c r="H19" s="373" t="s">
        <v>719</v>
      </c>
      <c r="I19" s="374">
        <v>90</v>
      </c>
      <c r="J19" s="375" t="str">
        <f t="shared" si="0"/>
        <v>Desde (&gt;):</v>
      </c>
      <c r="K19" s="375">
        <f t="shared" si="1"/>
        <v>85</v>
      </c>
      <c r="L19" s="375" t="str">
        <f t="shared" si="2"/>
        <v>Hasta (&lt;):</v>
      </c>
      <c r="M19" s="375">
        <f t="shared" si="3"/>
        <v>90</v>
      </c>
      <c r="N19" s="375" t="str">
        <f t="shared" si="4"/>
        <v>Menor o Igual A:</v>
      </c>
      <c r="O19" s="376">
        <v>85</v>
      </c>
      <c r="P19" s="389">
        <f>+'03-DIRECCIONAMIENTO TIC'!F22</f>
        <v>1</v>
      </c>
      <c r="Q19" s="389">
        <f>+'03-DIRECCIONAMIENTO TIC'!G22</f>
        <v>0.4</v>
      </c>
      <c r="R19" s="393" t="str">
        <f>+'03-DIRECCIONAMIENTO TIC'!O22</f>
        <v>Dirección de Tecnologías de la  Información y las Comunicaciones</v>
      </c>
    </row>
    <row r="20" spans="2:18" ht="39.6">
      <c r="B20" s="370">
        <f t="shared" si="5"/>
        <v>16</v>
      </c>
      <c r="C20" s="377" t="s">
        <v>722</v>
      </c>
      <c r="D20" s="370" t="s">
        <v>777</v>
      </c>
      <c r="E20" s="382" t="str">
        <f>+'04-COMUNICACIÓN ESTRATÉGICA'!I16</f>
        <v>Productos de comunicación externa desarrollados</v>
      </c>
      <c r="F20" s="382" t="str">
        <f>+'04-COMUNICACIÓN ESTRATÉGICA'!J16</f>
        <v>Número de productos de comunicación externa realizados/ Número de productos de comunicación externa  programados* 100</v>
      </c>
      <c r="G20" s="378" t="s">
        <v>753</v>
      </c>
      <c r="H20" s="373" t="s">
        <v>724</v>
      </c>
      <c r="I20" s="374">
        <v>90</v>
      </c>
      <c r="J20" s="375" t="str">
        <f t="shared" si="0"/>
        <v>Desde (&gt;=):</v>
      </c>
      <c r="K20" s="375">
        <f t="shared" si="1"/>
        <v>75</v>
      </c>
      <c r="L20" s="375" t="str">
        <f t="shared" si="2"/>
        <v>Hasta (&lt;=):</v>
      </c>
      <c r="M20" s="375">
        <f t="shared" si="3"/>
        <v>90</v>
      </c>
      <c r="N20" s="375" t="str">
        <f t="shared" si="4"/>
        <v>Menor A:</v>
      </c>
      <c r="O20" s="376">
        <v>75</v>
      </c>
      <c r="P20" s="389">
        <f>+'04-COMUNICACIÓN ESTRATÉGICA'!F16</f>
        <v>1</v>
      </c>
      <c r="Q20" s="389">
        <f>+'04-COMUNICACIÓN ESTRATÉGICA'!G16</f>
        <v>1</v>
      </c>
      <c r="R20" s="393" t="str">
        <f>+'04-COMUNICACIÓN ESTRATÉGICA'!O16</f>
        <v>Oficina Asesora de Comunicaciones</v>
      </c>
    </row>
    <row r="21" spans="2:18" ht="39.6">
      <c r="B21" s="370">
        <f t="shared" si="5"/>
        <v>17</v>
      </c>
      <c r="C21" s="377" t="s">
        <v>722</v>
      </c>
      <c r="D21" s="370" t="s">
        <v>785</v>
      </c>
      <c r="E21" s="382" t="str">
        <f>+'04-COMUNICACIÓN ESTRATÉGICA'!I17</f>
        <v>Productos  de comunicación interna
desarrollados</v>
      </c>
      <c r="F21" s="382" t="str">
        <f>+'04-COMUNICACIÓN ESTRATÉGICA'!J17</f>
        <v>Número de productos de comunicación interna realizados/ Número de productos de comunicación interna  programados* 100</v>
      </c>
      <c r="G21" s="378" t="s">
        <v>753</v>
      </c>
      <c r="H21" s="373" t="s">
        <v>724</v>
      </c>
      <c r="I21" s="374">
        <v>90</v>
      </c>
      <c r="J21" s="375" t="str">
        <f t="shared" si="0"/>
        <v>Desde (&gt;=):</v>
      </c>
      <c r="K21" s="375">
        <f t="shared" si="1"/>
        <v>75</v>
      </c>
      <c r="L21" s="375" t="str">
        <f t="shared" si="2"/>
        <v>Hasta (&lt;=):</v>
      </c>
      <c r="M21" s="375">
        <f t="shared" si="3"/>
        <v>90</v>
      </c>
      <c r="N21" s="375" t="str">
        <f t="shared" si="4"/>
        <v>Menor A:</v>
      </c>
      <c r="O21" s="376">
        <v>75</v>
      </c>
      <c r="P21" s="389">
        <f>+'04-COMUNICACIÓN ESTRATÉGICA'!F17</f>
        <v>1</v>
      </c>
      <c r="Q21" s="389">
        <f>+'04-COMUNICACIÓN ESTRATÉGICA'!G17</f>
        <v>1</v>
      </c>
      <c r="R21" s="393" t="str">
        <f>+'04-COMUNICACIÓN ESTRATÉGICA'!O17</f>
        <v>Oficina Asesora de Comunicaciones</v>
      </c>
    </row>
    <row r="22" spans="2:18" ht="68.400000000000006" customHeight="1">
      <c r="B22" s="370">
        <f t="shared" si="5"/>
        <v>18</v>
      </c>
      <c r="C22" s="371" t="s">
        <v>723</v>
      </c>
      <c r="D22" s="370" t="s">
        <v>784</v>
      </c>
      <c r="E22" s="382" t="str">
        <f>+'05-POA PROM DEFENSA DERECHOS'!I16</f>
        <v>Intervenciones realizadas en defensa de los derechos</v>
      </c>
      <c r="F22" s="382" t="str">
        <f>+'05-POA PROM DEFENSA DERECHOS'!J16</f>
        <v>∑ Número de Intervenciones a Petición de Parte Realizadas en Defensa de los Derechos + Númerode Intervenciones de Oficio Realizadas en Defensa de los Derechos</v>
      </c>
      <c r="G22" s="378" t="s">
        <v>753</v>
      </c>
      <c r="H22" s="373" t="s">
        <v>724</v>
      </c>
      <c r="I22" s="374">
        <v>85</v>
      </c>
      <c r="J22" s="375" t="str">
        <f t="shared" si="0"/>
        <v>Desde (&gt;=):</v>
      </c>
      <c r="K22" s="375">
        <f t="shared" si="1"/>
        <v>80</v>
      </c>
      <c r="L22" s="375" t="str">
        <f t="shared" si="2"/>
        <v>Hasta (&lt;=):</v>
      </c>
      <c r="M22" s="375">
        <f t="shared" si="3"/>
        <v>85</v>
      </c>
      <c r="N22" s="375" t="str">
        <f t="shared" si="4"/>
        <v>Menor A:</v>
      </c>
      <c r="O22" s="376">
        <v>80</v>
      </c>
      <c r="P22" s="388">
        <f>+'05-POA PROM DEFENSA DERECHOS'!F16</f>
        <v>356610</v>
      </c>
      <c r="Q22" s="388">
        <f>+'05-POA PROM DEFENSA DERECHOS'!G16</f>
        <v>106660</v>
      </c>
      <c r="R22" s="393" t="str">
        <f>+'05-POA PROM DEFENSA DERECHOS'!O16</f>
        <v>P.D. para Asuntos Penales I, Penales II, Derechos Humanos y Policivos y Civiles
P.D. para los Sectores Planeación y Movilidad y la P.D. para los Sectores Educación y Cultura, Recreación y Deporte</v>
      </c>
    </row>
    <row r="23" spans="2:18" ht="68.400000000000006">
      <c r="B23" s="370">
        <f t="shared" si="5"/>
        <v>19</v>
      </c>
      <c r="C23" s="371" t="s">
        <v>723</v>
      </c>
      <c r="D23" s="370" t="s">
        <v>786</v>
      </c>
      <c r="E23" s="382" t="str">
        <f>+'05-POA PROM DEFENSA DERECHOS'!I17</f>
        <v>Personas orientadas en garantía de derechos</v>
      </c>
      <c r="F23" s="382" t="str">
        <f>+'05-POA PROM DEFENSA DERECHOS'!J17</f>
        <v>∑ Número de Personas Orientadas (Incluye las Orientaciones de Traslados por No Competencia)</v>
      </c>
      <c r="G23" s="378" t="s">
        <v>753</v>
      </c>
      <c r="H23" s="373" t="s">
        <v>724</v>
      </c>
      <c r="I23" s="374">
        <v>85</v>
      </c>
      <c r="J23" s="375" t="str">
        <f t="shared" si="0"/>
        <v>Desde (&gt;=):</v>
      </c>
      <c r="K23" s="375">
        <f t="shared" si="1"/>
        <v>80</v>
      </c>
      <c r="L23" s="375" t="str">
        <f t="shared" si="2"/>
        <v>Hasta (&lt;=):</v>
      </c>
      <c r="M23" s="375">
        <f t="shared" si="3"/>
        <v>85</v>
      </c>
      <c r="N23" s="375" t="str">
        <f t="shared" si="4"/>
        <v>Menor A:</v>
      </c>
      <c r="O23" s="376">
        <v>80</v>
      </c>
      <c r="P23" s="388">
        <f>+'05-POA PROM DEFENSA DERECHOS'!F17</f>
        <v>292755</v>
      </c>
      <c r="Q23" s="388">
        <f>+'05-POA PROM DEFENSA DERECHOS'!G17</f>
        <v>97105</v>
      </c>
      <c r="R23" s="393"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4" spans="2:18" ht="79.8">
      <c r="B24" s="370">
        <f t="shared" si="5"/>
        <v>20</v>
      </c>
      <c r="C24" s="371" t="s">
        <v>723</v>
      </c>
      <c r="D24" s="370" t="s">
        <v>787</v>
      </c>
      <c r="E24" s="382" t="str">
        <f>+'05-POA PROM DEFENSA DERECHOS'!I18</f>
        <v>Personas asistidas en garantía de derechos</v>
      </c>
      <c r="F24" s="382" t="str">
        <f>+'05-POA PROM DEFENSA DERECHOS'!J18</f>
        <v>∑ Número de Personas Asistidas</v>
      </c>
      <c r="G24" s="378" t="s">
        <v>753</v>
      </c>
      <c r="H24" s="373" t="s">
        <v>724</v>
      </c>
      <c r="I24" s="374">
        <v>80</v>
      </c>
      <c r="J24" s="375" t="str">
        <f t="shared" si="0"/>
        <v>Desde (&gt;=):</v>
      </c>
      <c r="K24" s="375">
        <f t="shared" si="1"/>
        <v>70</v>
      </c>
      <c r="L24" s="375" t="str">
        <f t="shared" si="2"/>
        <v>Hasta (&lt;=):</v>
      </c>
      <c r="M24" s="375">
        <f t="shared" si="3"/>
        <v>80</v>
      </c>
      <c r="N24" s="375" t="str">
        <f t="shared" si="4"/>
        <v>Menor A:</v>
      </c>
      <c r="O24" s="376">
        <v>70</v>
      </c>
      <c r="P24" s="388">
        <f>+'05-POA PROM DEFENSA DERECHOS'!F18</f>
        <v>117610</v>
      </c>
      <c r="Q24" s="388">
        <f>+'05-POA PROM DEFENSA DERECHOS'!G18</f>
        <v>26115</v>
      </c>
      <c r="R24" s="393"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5" spans="2:18" ht="39.6">
      <c r="B25" s="370">
        <f t="shared" si="5"/>
        <v>21</v>
      </c>
      <c r="C25" s="371" t="s">
        <v>723</v>
      </c>
      <c r="D25" s="370" t="s">
        <v>788</v>
      </c>
      <c r="E25" s="382" t="str">
        <f>+'05-POA PROM DEFENSA DERECHOS'!I19</f>
        <v>Personas asistidas en Mecanismos Alternativos de Solución de Conflictos</v>
      </c>
      <c r="F25" s="382" t="str">
        <f>+'05-POA PROM DEFENSA DERECHOS'!J19</f>
        <v>∑ Número de Solicitudes de Conciliación Atendidas + Número de Uniones Maritales de Hecho Atendidas</v>
      </c>
      <c r="G25" s="378" t="s">
        <v>753</v>
      </c>
      <c r="H25" s="373" t="s">
        <v>724</v>
      </c>
      <c r="I25" s="374">
        <v>85</v>
      </c>
      <c r="J25" s="375" t="str">
        <f t="shared" si="0"/>
        <v>Desde (&gt;=):</v>
      </c>
      <c r="K25" s="375">
        <f t="shared" si="1"/>
        <v>80</v>
      </c>
      <c r="L25" s="375" t="str">
        <f t="shared" si="2"/>
        <v>Hasta (&lt;=):</v>
      </c>
      <c r="M25" s="375">
        <f t="shared" si="3"/>
        <v>85</v>
      </c>
      <c r="N25" s="375" t="str">
        <f t="shared" si="4"/>
        <v>Menor A:</v>
      </c>
      <c r="O25" s="376">
        <v>80</v>
      </c>
      <c r="P25" s="388">
        <f>+'05-POA PROM DEFENSA DERECHOS'!F19</f>
        <v>28586</v>
      </c>
      <c r="Q25" s="388">
        <f>+'05-POA PROM DEFENSA DERECHOS'!G19</f>
        <v>6900</v>
      </c>
      <c r="R25" s="393" t="str">
        <f>+'05-POA PROM DEFENSA DERECHOS'!O19</f>
        <v>Dirección de Conciliación y M.A.S.C.</v>
      </c>
    </row>
    <row r="26" spans="2:18" ht="103.2" customHeight="1">
      <c r="B26" s="370">
        <f t="shared" si="5"/>
        <v>22</v>
      </c>
      <c r="C26" s="371" t="s">
        <v>723</v>
      </c>
      <c r="D26" s="370" t="s">
        <v>789</v>
      </c>
      <c r="E26" s="382" t="str">
        <f>+'05-POA PROM DEFENSA DERECHOS'!I20</f>
        <v>Peticiones o requerimientos ciudadanos atendidos en garantía de derechos</v>
      </c>
      <c r="F26" s="382" t="str">
        <f>+'05-POA PROM DEFENSA DERECHOS'!J20</f>
        <v>∑ Número de Peticiones o Requerimientos Ciudadanos Atendidos en Garantía de Derechos</v>
      </c>
      <c r="G26" s="378" t="s">
        <v>753</v>
      </c>
      <c r="H26" s="373" t="s">
        <v>724</v>
      </c>
      <c r="I26" s="374">
        <v>85</v>
      </c>
      <c r="J26" s="375" t="str">
        <f t="shared" si="0"/>
        <v>Desde (&gt;=):</v>
      </c>
      <c r="K26" s="375">
        <f t="shared" si="1"/>
        <v>80</v>
      </c>
      <c r="L26" s="375" t="str">
        <f t="shared" si="2"/>
        <v>Hasta (&lt;=):</v>
      </c>
      <c r="M26" s="375">
        <f t="shared" si="3"/>
        <v>85</v>
      </c>
      <c r="N26" s="375" t="str">
        <f t="shared" si="4"/>
        <v>Menor A:</v>
      </c>
      <c r="O26" s="376">
        <v>80</v>
      </c>
      <c r="P26" s="388">
        <f>+'05-POA PROM DEFENSA DERECHOS'!F20</f>
        <v>55722</v>
      </c>
      <c r="Q26" s="388">
        <f>+'05-POA PROM DEFENSA DERECHOS'!G20</f>
        <v>16115</v>
      </c>
      <c r="R26" s="393" t="str">
        <f>+'05-POA PROM DEFENSA DERECHOS'!O20</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row>
    <row r="27" spans="2:18" ht="26.4">
      <c r="B27" s="370">
        <f t="shared" si="5"/>
        <v>23</v>
      </c>
      <c r="C27" s="371" t="s">
        <v>723</v>
      </c>
      <c r="D27" s="370" t="s">
        <v>790</v>
      </c>
      <c r="E27" s="382" t="str">
        <f>+'05-POA PROM DEFENSA DERECHOS'!I21</f>
        <v>Espacios de mejora y transferencia de conocimiento realizados</v>
      </c>
      <c r="F27" s="382" t="str">
        <f>+'05-POA PROM DEFENSA DERECHOS'!J21</f>
        <v>∑ Número de Espacios de Mejora y Transferencia de Conocimiento</v>
      </c>
      <c r="G27" s="378" t="s">
        <v>753</v>
      </c>
      <c r="H27" s="373" t="s">
        <v>724</v>
      </c>
      <c r="I27" s="374">
        <v>85</v>
      </c>
      <c r="J27" s="375" t="str">
        <f t="shared" si="0"/>
        <v>Desde (&gt;=):</v>
      </c>
      <c r="K27" s="375">
        <f t="shared" si="1"/>
        <v>80</v>
      </c>
      <c r="L27" s="375" t="str">
        <f t="shared" si="2"/>
        <v>Hasta (&lt;=):</v>
      </c>
      <c r="M27" s="375">
        <f t="shared" si="3"/>
        <v>85</v>
      </c>
      <c r="N27" s="375" t="str">
        <f t="shared" si="4"/>
        <v>Menor A:</v>
      </c>
      <c r="O27" s="376">
        <v>80</v>
      </c>
      <c r="P27" s="388">
        <f>+'05-POA PROM DEFENSA DERECHOS'!F21</f>
        <v>80</v>
      </c>
      <c r="Q27" s="388">
        <f>+'05-POA PROM DEFENSA DERECHOS'!G21</f>
        <v>20</v>
      </c>
      <c r="R27" s="393" t="str">
        <f>+'05-POA PROM DEFENSA DERECHOS'!O21</f>
        <v>P.D. para la Coordinación del MP y DDHH y sus dependencias adscritas.</v>
      </c>
    </row>
    <row r="28" spans="2:18" ht="92.4">
      <c r="B28" s="370">
        <f t="shared" si="5"/>
        <v>24</v>
      </c>
      <c r="C28" s="371" t="s">
        <v>723</v>
      </c>
      <c r="D28" s="370" t="s">
        <v>791</v>
      </c>
      <c r="E28" s="382" t="str">
        <f>+'05-POA PROM DEFENSA DERECHOS'!I22</f>
        <v>Porcentaje de Acciones de Tutela, Desacatos e Impugnaciones Entregadas en un Termino Menor a Cinco (5) Días Hábiles</v>
      </c>
      <c r="F28" s="382" t="str">
        <f>+'05-POA PROM DEFENSA DERECHOS'!J22</f>
        <v>∑ Número de Tutelas, Desacatos e Impugnaciones entregadas en los primeros cinco (5) días hábiles
-------------------------------------------------------------------- * 100
∑ Número de Tutelas, Desacatos e Impugnaciones solicitadas</v>
      </c>
      <c r="G28" s="378" t="s">
        <v>753</v>
      </c>
      <c r="H28" s="373" t="s">
        <v>719</v>
      </c>
      <c r="I28" s="374">
        <v>95</v>
      </c>
      <c r="J28" s="375" t="str">
        <f t="shared" si="0"/>
        <v>Desde (&gt;):</v>
      </c>
      <c r="K28" s="375">
        <f t="shared" si="1"/>
        <v>90</v>
      </c>
      <c r="L28" s="375" t="str">
        <f t="shared" si="2"/>
        <v>Hasta (&lt;):</v>
      </c>
      <c r="M28" s="375">
        <f t="shared" si="3"/>
        <v>95</v>
      </c>
      <c r="N28" s="375" t="str">
        <f t="shared" si="4"/>
        <v>Menor o Igual A:</v>
      </c>
      <c r="O28" s="376">
        <v>90</v>
      </c>
      <c r="P28" s="388" t="str">
        <f>+'05-POA PROM DEFENSA DERECHOS'!F22</f>
        <v>&gt;=95%</v>
      </c>
      <c r="Q28" s="388" t="str">
        <f>+'05-POA PROM DEFENSA DERECHOS'!G22</f>
        <v>&gt;=95%</v>
      </c>
      <c r="R28" s="393" t="str">
        <f>+'05-POA PROM DEFENSA DERECHOS'!O22</f>
        <v>P.D. para Asuntos Jurisdiccionales, Víctimas y Penal II.
P.D. para la Coordinación de la Gestión de Personerías Locales y sus Personerías Locales adscritas</v>
      </c>
    </row>
    <row r="29" spans="2:18" ht="26.4">
      <c r="B29" s="370">
        <f t="shared" si="5"/>
        <v>25</v>
      </c>
      <c r="C29" s="371" t="s">
        <v>723</v>
      </c>
      <c r="D29" s="370" t="s">
        <v>792</v>
      </c>
      <c r="E29" s="382" t="str">
        <f>+'05-POA PROM DEFENSA DERECHOS'!I23</f>
        <v>Audiencias Publicas Realizadas con Asistencia del Ministerio Público</v>
      </c>
      <c r="F29" s="382" t="str">
        <f>+'05-POA PROM DEFENSA DERECHOS'!J23</f>
        <v>∑ Número de Audiencias Publicas Realizadas con Asistencia del Ministerio Público</v>
      </c>
      <c r="G29" s="378" t="s">
        <v>753</v>
      </c>
      <c r="H29" s="373" t="s">
        <v>719</v>
      </c>
      <c r="I29" s="374">
        <v>95</v>
      </c>
      <c r="J29" s="375" t="str">
        <f t="shared" si="0"/>
        <v>Desde (&gt;):</v>
      </c>
      <c r="K29" s="375">
        <f t="shared" si="1"/>
        <v>90</v>
      </c>
      <c r="L29" s="375" t="str">
        <f t="shared" si="2"/>
        <v>Hasta (&lt;):</v>
      </c>
      <c r="M29" s="375">
        <f t="shared" si="3"/>
        <v>95</v>
      </c>
      <c r="N29" s="375" t="str">
        <f t="shared" si="4"/>
        <v>Menor o Igual A:</v>
      </c>
      <c r="O29" s="376">
        <v>90</v>
      </c>
      <c r="P29" s="388">
        <f>+'05-POA PROM DEFENSA DERECHOS'!F23</f>
        <v>19500</v>
      </c>
      <c r="Q29" s="388">
        <f>+'05-POA PROM DEFENSA DERECHOS'!G23</f>
        <v>6000</v>
      </c>
      <c r="R29" s="393" t="str">
        <f>+'05-POA PROM DEFENSA DERECHOS'!O23</f>
        <v>P.D. para la Coordinación de la Gestión de Personerías Locales y sus Personerías Locales adscritas</v>
      </c>
    </row>
    <row r="30" spans="2:18" ht="39.6">
      <c r="B30" s="370">
        <f t="shared" si="5"/>
        <v>26</v>
      </c>
      <c r="C30" s="371" t="s">
        <v>723</v>
      </c>
      <c r="D30" s="370" t="s">
        <v>793</v>
      </c>
      <c r="E30" s="382" t="str">
        <f>+'05-POA PROM DEFENSA DERECHOS'!I24</f>
        <v>Intervenciones realizadas oportunamente para evitar la caducidad y perdida de fuerza ejecutoria (Impulsos procesales)</v>
      </c>
      <c r="F30" s="382" t="str">
        <f>+'05-POA PROM DEFENSA DERECHOS'!J24</f>
        <v>∑ Número de intervenciones realizadas para Evitar la Caducidad y Perdida de Fuerza Ejecutoria (Impulsos procesales)</v>
      </c>
      <c r="G30" s="378" t="s">
        <v>753</v>
      </c>
      <c r="H30" s="373" t="s">
        <v>719</v>
      </c>
      <c r="I30" s="374">
        <v>95</v>
      </c>
      <c r="J30" s="375" t="str">
        <f t="shared" si="0"/>
        <v>Desde (&gt;):</v>
      </c>
      <c r="K30" s="375">
        <f t="shared" si="1"/>
        <v>90</v>
      </c>
      <c r="L30" s="375" t="str">
        <f t="shared" si="2"/>
        <v>Hasta (&lt;):</v>
      </c>
      <c r="M30" s="375">
        <f t="shared" si="3"/>
        <v>95</v>
      </c>
      <c r="N30" s="375" t="str">
        <f t="shared" si="4"/>
        <v>Menor o Igual A:</v>
      </c>
      <c r="O30" s="376">
        <v>90</v>
      </c>
      <c r="P30" s="388">
        <f>+'05-POA PROM DEFENSA DERECHOS'!F24</f>
        <v>11000</v>
      </c>
      <c r="Q30" s="388">
        <f>+'05-POA PROM DEFENSA DERECHOS'!G24</f>
        <v>3000</v>
      </c>
      <c r="R30" s="393" t="str">
        <f>+'05-POA PROM DEFENSA DERECHOS'!O24</f>
        <v>P.D. para la Coordinación de la Gestión de Personerías Locales y sus Personerías Locales adscritas</v>
      </c>
    </row>
    <row r="31" spans="2:18" ht="26.4">
      <c r="B31" s="370">
        <f t="shared" si="5"/>
        <v>27</v>
      </c>
      <c r="C31" s="371" t="s">
        <v>723</v>
      </c>
      <c r="D31" s="370" t="s">
        <v>794</v>
      </c>
      <c r="E31" s="382" t="str">
        <f>+'05-POA PROM DEFENSA DERECHOS'!I25</f>
        <v>Expedientes con impulso procesal para la gestión de multas</v>
      </c>
      <c r="F31" s="382" t="str">
        <f>+'05-POA PROM DEFENSA DERECHOS'!J25</f>
        <v>∑ Número de expedientes con Impulso Procesal para la Gestión de las Multas</v>
      </c>
      <c r="G31" s="378" t="s">
        <v>753</v>
      </c>
      <c r="H31" s="373" t="s">
        <v>719</v>
      </c>
      <c r="I31" s="374">
        <v>95</v>
      </c>
      <c r="J31" s="375" t="str">
        <f t="shared" si="0"/>
        <v>Desde (&gt;):</v>
      </c>
      <c r="K31" s="375">
        <f t="shared" si="1"/>
        <v>90</v>
      </c>
      <c r="L31" s="375" t="str">
        <f t="shared" si="2"/>
        <v>Hasta (&lt;):</v>
      </c>
      <c r="M31" s="375">
        <f t="shared" si="3"/>
        <v>95</v>
      </c>
      <c r="N31" s="375" t="str">
        <f t="shared" si="4"/>
        <v>Menor o Igual A:</v>
      </c>
      <c r="O31" s="376">
        <v>90</v>
      </c>
      <c r="P31" s="388">
        <f>+'05-POA PROM DEFENSA DERECHOS'!F25</f>
        <v>2300</v>
      </c>
      <c r="Q31" s="388">
        <f>+'05-POA PROM DEFENSA DERECHOS'!G25</f>
        <v>500</v>
      </c>
      <c r="R31" s="393" t="str">
        <f>+'05-POA PROM DEFENSA DERECHOS'!O25</f>
        <v>P.D. para la Coordinación de la Gestión de Personerías Locales y sus Personerías Locales adscritas</v>
      </c>
    </row>
    <row r="32" spans="2:18" ht="39.6">
      <c r="B32" s="370">
        <f t="shared" si="5"/>
        <v>28</v>
      </c>
      <c r="C32" s="371" t="s">
        <v>723</v>
      </c>
      <c r="D32" s="370" t="s">
        <v>795</v>
      </c>
      <c r="E32" s="382" t="str">
        <f>+'05-POA PROM DEFENSA DERECHOS'!I26</f>
        <v>Estados de vulneración establecidos</v>
      </c>
      <c r="F32" s="382" t="str">
        <f>+'05-POA PROM DEFENSA DERECHOS'!J26</f>
        <v xml:space="preserve">∑ Número de Estados de vulneración realizados
</v>
      </c>
      <c r="G32" s="378" t="s">
        <v>753</v>
      </c>
      <c r="H32" s="373" t="s">
        <v>719</v>
      </c>
      <c r="I32" s="374">
        <v>95</v>
      </c>
      <c r="J32" s="375" t="str">
        <f t="shared" si="0"/>
        <v>Desde (&gt;):</v>
      </c>
      <c r="K32" s="375">
        <f t="shared" si="1"/>
        <v>90</v>
      </c>
      <c r="L32" s="375" t="str">
        <f t="shared" si="2"/>
        <v>Hasta (&lt;):</v>
      </c>
      <c r="M32" s="375">
        <f t="shared" si="3"/>
        <v>95</v>
      </c>
      <c r="N32" s="375" t="str">
        <f t="shared" si="4"/>
        <v>Menor o Igual A:</v>
      </c>
      <c r="O32" s="376">
        <v>90</v>
      </c>
      <c r="P32" s="388">
        <f>+'05-POA PROM DEFENSA DERECHOS'!F26</f>
        <v>40</v>
      </c>
      <c r="Q32" s="388">
        <f>+'05-POA PROM DEFENSA DERECHOS'!G26</f>
        <v>0</v>
      </c>
      <c r="R32" s="393" t="str">
        <f>+'05-POA PROM DEFENSA DERECHOS'!O26</f>
        <v>P.D. para la Coordinación de la Gestión de Personerías Locales y sus Personerías Locales adscritas</v>
      </c>
    </row>
    <row r="33" spans="2:18" ht="45.6">
      <c r="B33" s="370">
        <f t="shared" si="5"/>
        <v>29</v>
      </c>
      <c r="C33" s="371" t="s">
        <v>723</v>
      </c>
      <c r="D33" s="370" t="s">
        <v>796</v>
      </c>
      <c r="E33" s="382" t="str">
        <f>+'05-POA PROM DEFENSA DERECHOS'!I27</f>
        <v>Personas sensibilizadas en el Distrito Capital</v>
      </c>
      <c r="F33" s="382" t="str">
        <f>+'05-POA PROM DEFENSA DERECHOS'!J27</f>
        <v>∑ Número de Personas Sensibilizadas en el Distrito Capital</v>
      </c>
      <c r="G33" s="378" t="s">
        <v>753</v>
      </c>
      <c r="H33" s="373" t="s">
        <v>724</v>
      </c>
      <c r="I33" s="374">
        <v>85</v>
      </c>
      <c r="J33" s="375" t="str">
        <f t="shared" si="0"/>
        <v>Desde (&gt;=):</v>
      </c>
      <c r="K33" s="375">
        <f t="shared" si="1"/>
        <v>80</v>
      </c>
      <c r="L33" s="375" t="str">
        <f t="shared" si="2"/>
        <v>Hasta (&lt;=):</v>
      </c>
      <c r="M33" s="375">
        <f t="shared" si="3"/>
        <v>85</v>
      </c>
      <c r="N33" s="375" t="str">
        <f t="shared" si="4"/>
        <v>Menor A:</v>
      </c>
      <c r="O33" s="376">
        <v>80</v>
      </c>
      <c r="P33" s="388">
        <f>+'05-POA PROM DEFENSA DERECHOS'!F27</f>
        <v>205930</v>
      </c>
      <c r="Q33" s="388">
        <f>+'05-POA PROM DEFENSA DERECHOS'!G27</f>
        <v>71570</v>
      </c>
      <c r="R33" s="393" t="str">
        <f>+'05-POA PROM DEFENSA DERECHOS'!O27</f>
        <v>P.D. para la Coordinación del MP y DDHH y sus dependencias adscritas
P.D. para la Coordinación de la Gestión de Personerías Locales y sus Personerías Locales adscritas</v>
      </c>
    </row>
    <row r="34" spans="2:18" ht="45.6">
      <c r="B34" s="370">
        <f t="shared" si="5"/>
        <v>30</v>
      </c>
      <c r="C34" s="371" t="s">
        <v>723</v>
      </c>
      <c r="D34" s="370" t="s">
        <v>797</v>
      </c>
      <c r="E34" s="382" t="str">
        <f>+'05-POA PROM DEFENSA DERECHOS'!I28</f>
        <v>Acciones en favor de las víctimas del conflicto armado interno adelantadas</v>
      </c>
      <c r="F34" s="382" t="str">
        <f>+'05-POA PROM DEFENSA DERECHOS'!J28</f>
        <v>∑ Número de Acciones en Favor de las Víctimas del Conflicto Armado Interno Realizadas</v>
      </c>
      <c r="G34" s="378" t="s">
        <v>753</v>
      </c>
      <c r="H34" s="373" t="s">
        <v>724</v>
      </c>
      <c r="I34" s="374">
        <v>85</v>
      </c>
      <c r="J34" s="375" t="str">
        <f t="shared" si="0"/>
        <v>Desde (&gt;=):</v>
      </c>
      <c r="K34" s="375">
        <f t="shared" si="1"/>
        <v>80</v>
      </c>
      <c r="L34" s="375" t="str">
        <f t="shared" si="2"/>
        <v>Hasta (&lt;=):</v>
      </c>
      <c r="M34" s="375">
        <f t="shared" si="3"/>
        <v>85</v>
      </c>
      <c r="N34" s="375" t="str">
        <f t="shared" si="4"/>
        <v>Menor A:</v>
      </c>
      <c r="O34" s="376">
        <v>80</v>
      </c>
      <c r="P34" s="388">
        <f>+'05-POA PROM DEFENSA DERECHOS'!F28</f>
        <v>23910</v>
      </c>
      <c r="Q34" s="388">
        <f>+'05-POA PROM DEFENSA DERECHOS'!G28</f>
        <v>5480</v>
      </c>
      <c r="R34" s="393" t="str">
        <f>+'05-POA PROM DEFENSA DERECHOS'!O28</f>
        <v>P.D. para la Protección de las Víctimas del Conflicto Armado Interno
P.D. para la Coordinación de la Gestión de Personerías Locales y sus Personerías Locales adscritas</v>
      </c>
    </row>
    <row r="35" spans="2:18" ht="45.6">
      <c r="B35" s="370">
        <f t="shared" si="5"/>
        <v>31</v>
      </c>
      <c r="C35" s="371" t="s">
        <v>723</v>
      </c>
      <c r="D35" s="370" t="s">
        <v>798</v>
      </c>
      <c r="E35" s="382" t="str">
        <f>+'05-POA PROM DEFENSA DERECHOS'!I29</f>
        <v>Acciones constitucionales elaboradas para prevenir vulneración de derechos</v>
      </c>
      <c r="F35" s="382" t="str">
        <f>+'05-POA PROM DEFENSA DERECHOS'!J29</f>
        <v>∑ Número de Acciones Constitucionales Elaboradas</v>
      </c>
      <c r="G35" s="378" t="s">
        <v>753</v>
      </c>
      <c r="H35" s="373" t="s">
        <v>724</v>
      </c>
      <c r="I35" s="374">
        <v>85</v>
      </c>
      <c r="J35" s="375" t="str">
        <f t="shared" si="0"/>
        <v>Desde (&gt;=):</v>
      </c>
      <c r="K35" s="375">
        <f t="shared" si="1"/>
        <v>80</v>
      </c>
      <c r="L35" s="375" t="str">
        <f t="shared" si="2"/>
        <v>Hasta (&lt;=):</v>
      </c>
      <c r="M35" s="375">
        <f t="shared" si="3"/>
        <v>85</v>
      </c>
      <c r="N35" s="375" t="str">
        <f t="shared" si="4"/>
        <v>Menor A:</v>
      </c>
      <c r="O35" s="376">
        <v>80</v>
      </c>
      <c r="P35" s="388">
        <f>+'05-POA PROM DEFENSA DERECHOS'!F29</f>
        <v>18880</v>
      </c>
      <c r="Q35" s="388">
        <f>+'05-POA PROM DEFENSA DERECHOS'!G29</f>
        <v>4790</v>
      </c>
      <c r="R35" s="393" t="str">
        <f>+'05-POA PROM DEFENSA DERECHOS'!O29</f>
        <v>P.D. para Asuntos Jurisdiccionales, Víctimas, Penal II y Consumidor.
P.D. para la Coordinación de la Gestión de Personerías Locales y sus Personerías Locales adscritas</v>
      </c>
    </row>
    <row r="36" spans="2:18" ht="46.2" customHeight="1">
      <c r="B36" s="370">
        <f t="shared" si="5"/>
        <v>32</v>
      </c>
      <c r="C36" s="371" t="s">
        <v>723</v>
      </c>
      <c r="D36" s="370" t="s">
        <v>799</v>
      </c>
      <c r="E36" s="382" t="str">
        <f>+'05-POA PROM DEFENSA DERECHOS'!I30</f>
        <v>Verificaciones de cumplimiento realizadas por el Ministerio Público a las medidas de protección impuestas por las Comisarías de Familia</v>
      </c>
      <c r="F36" s="382" t="str">
        <f>+'05-POA PROM DEFENSA DERECHOS'!J30</f>
        <v>∑ Número de Seguimientos Realizados por el Ministerio Público a las Medidas de Protección impuestas por las Comisarias de Familia</v>
      </c>
      <c r="G36" s="378" t="s">
        <v>753</v>
      </c>
      <c r="H36" s="373" t="s">
        <v>724</v>
      </c>
      <c r="I36" s="374">
        <v>85</v>
      </c>
      <c r="J36" s="375" t="str">
        <f t="shared" si="0"/>
        <v>Desde (&gt;=):</v>
      </c>
      <c r="K36" s="375">
        <f t="shared" si="1"/>
        <v>80</v>
      </c>
      <c r="L36" s="375" t="str">
        <f t="shared" si="2"/>
        <v>Hasta (&lt;=):</v>
      </c>
      <c r="M36" s="375">
        <f t="shared" si="3"/>
        <v>85</v>
      </c>
      <c r="N36" s="375" t="str">
        <f t="shared" si="4"/>
        <v>Menor A:</v>
      </c>
      <c r="O36" s="376">
        <v>80</v>
      </c>
      <c r="P36" s="388">
        <f>+'05-POA PROM DEFENSA DERECHOS'!F30</f>
        <v>3540</v>
      </c>
      <c r="Q36" s="388">
        <f>+'05-POA PROM DEFENSA DERECHOS'!G30</f>
        <v>800</v>
      </c>
      <c r="R36" s="393" t="str">
        <f>+'05-POA PROM DEFENSA DERECHOS'!O30</f>
        <v>P.D. para la Familia y Sujetos de Especial Protección Constitucional</v>
      </c>
    </row>
    <row r="37" spans="2:18" ht="57">
      <c r="B37" s="370">
        <f t="shared" si="5"/>
        <v>33</v>
      </c>
      <c r="C37" s="371" t="s">
        <v>723</v>
      </c>
      <c r="D37" s="370" t="s">
        <v>800</v>
      </c>
      <c r="E37" s="382" t="str">
        <f>+'05-POA PROM DEFENSA DERECHOS'!I31</f>
        <v>Espacios Interinstitucionales con participación</v>
      </c>
      <c r="F37" s="382" t="str">
        <f>+'05-POA PROM DEFENSA DERECHOS'!J31</f>
        <v>∑ Número de Espacios Interinstitucional con Participación</v>
      </c>
      <c r="G37" s="378" t="s">
        <v>753</v>
      </c>
      <c r="H37" s="373" t="s">
        <v>724</v>
      </c>
      <c r="I37" s="374">
        <v>85</v>
      </c>
      <c r="J37" s="375" t="str">
        <f t="shared" si="0"/>
        <v>Desde (&gt;=):</v>
      </c>
      <c r="K37" s="375">
        <f t="shared" si="1"/>
        <v>80</v>
      </c>
      <c r="L37" s="375" t="str">
        <f t="shared" si="2"/>
        <v>Hasta (&lt;=):</v>
      </c>
      <c r="M37" s="375">
        <f t="shared" si="3"/>
        <v>85</v>
      </c>
      <c r="N37" s="375" t="str">
        <f t="shared" si="4"/>
        <v>Menor A:</v>
      </c>
      <c r="O37" s="376">
        <v>80</v>
      </c>
      <c r="P37" s="388">
        <f>+'05-POA PROM DEFENSA DERECHOS'!F31</f>
        <v>7711</v>
      </c>
      <c r="Q37" s="388">
        <f>+'05-POA PROM DEFENSA DERECHOS'!G31</f>
        <v>2771</v>
      </c>
      <c r="R37" s="393"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8" spans="2:18" ht="57">
      <c r="B38" s="370">
        <f t="shared" si="5"/>
        <v>34</v>
      </c>
      <c r="C38" s="371" t="s">
        <v>723</v>
      </c>
      <c r="D38" s="370" t="s">
        <v>801</v>
      </c>
      <c r="E38" s="382" t="str">
        <f>+'05-POA PROM DEFENSA DERECHOS'!I32</f>
        <v>Seguimientos a la Amenaza y Vulneración de los Derechos Realizados</v>
      </c>
      <c r="F38" s="382" t="str">
        <f>+'05-POA PROM DEFENSA DERECHOS'!J32</f>
        <v>∑ Número de Seguimientos a la Amenaza y Vulneración de los Derechos Realizados</v>
      </c>
      <c r="G38" s="378" t="s">
        <v>753</v>
      </c>
      <c r="H38" s="373" t="s">
        <v>724</v>
      </c>
      <c r="I38" s="374">
        <v>85</v>
      </c>
      <c r="J38" s="375" t="str">
        <f t="shared" ref="J38:J66" si="8">IF(OR($H38="Mayor A:",$H38="Menor A:"),"Desde (&gt;=):",
IF(OR($H38="Mayor o Igual A:",$H38="Menor o Igual A:"),"Desde (&gt;):",
IF($H38="Igual A:","No Aplica",
IF($H38="",""))))</f>
        <v>Desde (&gt;=):</v>
      </c>
      <c r="K38" s="375">
        <f t="shared" si="1"/>
        <v>80</v>
      </c>
      <c r="L38" s="375" t="str">
        <f t="shared" ref="L38:L66" si="9">IF(OR($H38="Mayor A:",$H38="Menor A:"),"Hasta (&lt;=):",
IF(OR($H38="Mayor o Igual A:",$H38="Menor o Igual A:"),"Hasta (&lt;):",
IF($H38="Igual A:","No Aplica",
IF($H38="",""))))</f>
        <v>Hasta (&lt;=):</v>
      </c>
      <c r="M38" s="375">
        <f t="shared" si="3"/>
        <v>85</v>
      </c>
      <c r="N38" s="375" t="str">
        <f t="shared" ref="N38:N66" si="10">IF($H38="Mayor A:","Menor A:",
IF($H38="Menor A:","Mayor A:",
IF($H38="Mayor o Igual A:","Menor o Igual A:",
IF($H38="Menor o Igual A:","Mayor o Igual A:",
IF($H38="Igual A:","Igual A:",
IF($H38="",""))))))</f>
        <v>Menor A:</v>
      </c>
      <c r="O38" s="376">
        <v>80</v>
      </c>
      <c r="P38" s="388">
        <f>+'05-POA PROM DEFENSA DERECHOS'!F32</f>
        <v>712</v>
      </c>
      <c r="Q38" s="388">
        <f>+'05-POA PROM DEFENSA DERECHOS'!G32</f>
        <v>208</v>
      </c>
      <c r="R38" s="393"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9" spans="2:18" ht="45.6">
      <c r="B39" s="370">
        <f t="shared" si="5"/>
        <v>35</v>
      </c>
      <c r="C39" s="371" t="s">
        <v>723</v>
      </c>
      <c r="D39" s="370" t="s">
        <v>802</v>
      </c>
      <c r="E39" s="382" t="str">
        <f>+'05-POA PROM DEFENSA DERECHOS'!I33</f>
        <v>Actividades de acercamiento de la Entidad a la comunidad realizadas</v>
      </c>
      <c r="F39" s="382" t="str">
        <f>+'05-POA PROM DEFENSA DERECHOS'!J33</f>
        <v>∑ Número de Actividades Realizadas para Acercar la Entidad a la Comunidad</v>
      </c>
      <c r="G39" s="378" t="s">
        <v>753</v>
      </c>
      <c r="H39" s="373" t="s">
        <v>724</v>
      </c>
      <c r="I39" s="374">
        <v>85</v>
      </c>
      <c r="J39" s="375" t="str">
        <f t="shared" si="8"/>
        <v>Desde (&gt;=):</v>
      </c>
      <c r="K39" s="375">
        <f t="shared" si="1"/>
        <v>80</v>
      </c>
      <c r="L39" s="375" t="str">
        <f t="shared" si="9"/>
        <v>Hasta (&lt;=):</v>
      </c>
      <c r="M39" s="375">
        <f t="shared" si="3"/>
        <v>85</v>
      </c>
      <c r="N39" s="375" t="str">
        <f t="shared" si="10"/>
        <v>Menor A:</v>
      </c>
      <c r="O39" s="376">
        <v>80</v>
      </c>
      <c r="P39" s="388">
        <f>+'05-POA PROM DEFENSA DERECHOS'!F33</f>
        <v>20</v>
      </c>
      <c r="Q39" s="388">
        <f>+'05-POA PROM DEFENSA DERECHOS'!G33</f>
        <v>8</v>
      </c>
      <c r="R39" s="393" t="str">
        <f>+'05-POA PROM DEFENSA DERECHOS'!O33</f>
        <v>P.D. para la Coordinación del MP y DDHH y sus dependencias adscritas
 P.D. para la Coordinación de la Gestión de Personerías Locales y sus Personerías Locales adscritas</v>
      </c>
    </row>
    <row r="40" spans="2:18" ht="45.6">
      <c r="B40" s="370">
        <f t="shared" si="5"/>
        <v>36</v>
      </c>
      <c r="C40" s="371" t="s">
        <v>723</v>
      </c>
      <c r="D40" s="370" t="s">
        <v>803</v>
      </c>
      <c r="E40" s="382" t="str">
        <f>+'05-POA PROM DEFENSA DERECHOS'!I34</f>
        <v>Acciones realizadas para incrementar la cobertura de los servicios</v>
      </c>
      <c r="F40" s="382" t="str">
        <f>+'05-POA PROM DEFENSA DERECHOS'!J34</f>
        <v>∑ Número de acciones realizadas para incrementar la Cobertura</v>
      </c>
      <c r="G40" s="378" t="s">
        <v>753</v>
      </c>
      <c r="H40" s="373" t="s">
        <v>724</v>
      </c>
      <c r="I40" s="374">
        <v>85</v>
      </c>
      <c r="J40" s="375" t="str">
        <f t="shared" si="8"/>
        <v>Desde (&gt;=):</v>
      </c>
      <c r="K40" s="375">
        <f t="shared" si="1"/>
        <v>80</v>
      </c>
      <c r="L40" s="375" t="str">
        <f t="shared" si="9"/>
        <v>Hasta (&lt;=):</v>
      </c>
      <c r="M40" s="375">
        <f t="shared" si="3"/>
        <v>85</v>
      </c>
      <c r="N40" s="375" t="str">
        <f t="shared" si="10"/>
        <v>Menor A:</v>
      </c>
      <c r="O40" s="376">
        <v>80</v>
      </c>
      <c r="P40" s="388">
        <f>+'05-POA PROM DEFENSA DERECHOS'!F34</f>
        <v>11</v>
      </c>
      <c r="Q40" s="388">
        <f>+'05-POA PROM DEFENSA DERECHOS'!G34</f>
        <v>3</v>
      </c>
      <c r="R40" s="393" t="str">
        <f>+'05-POA PROM DEFENSA DERECHOS'!O34</f>
        <v>P.D. para la Coordinación del MP y DDHH y sus dependencias adscritas
 P.D. para la Coordinación de la Gestión de Personerías Locales y sus Personerías Locales adscritas</v>
      </c>
    </row>
    <row r="41" spans="2:18" ht="45.6">
      <c r="B41" s="370">
        <f t="shared" si="5"/>
        <v>37</v>
      </c>
      <c r="C41" s="371" t="s">
        <v>723</v>
      </c>
      <c r="D41" s="370" t="s">
        <v>804</v>
      </c>
      <c r="E41" s="382" t="str">
        <f>+'05-POA PROM DEFENSA DERECHOS'!I35</f>
        <v>Herramientas de promoción y prevención a infracciones del Derecho Internacional Humanitario implementadas</v>
      </c>
      <c r="F41" s="382" t="str">
        <f>+'05-POA PROM DEFENSA DERECHOS'!J35</f>
        <v>∑ Número de Herramientas de Promoción y Prevención a Infracciones del Derecho Internacional Humanitario Implementadas</v>
      </c>
      <c r="G41" s="378" t="s">
        <v>753</v>
      </c>
      <c r="H41" s="373" t="s">
        <v>724</v>
      </c>
      <c r="I41" s="374">
        <v>85</v>
      </c>
      <c r="J41" s="375" t="str">
        <f t="shared" si="8"/>
        <v>Desde (&gt;=):</v>
      </c>
      <c r="K41" s="375">
        <f t="shared" si="1"/>
        <v>80</v>
      </c>
      <c r="L41" s="375" t="str">
        <f t="shared" si="9"/>
        <v>Hasta (&lt;=):</v>
      </c>
      <c r="M41" s="375">
        <f t="shared" si="3"/>
        <v>85</v>
      </c>
      <c r="N41" s="375" t="str">
        <f t="shared" si="10"/>
        <v>Menor A:</v>
      </c>
      <c r="O41" s="376">
        <v>80</v>
      </c>
      <c r="P41" s="388">
        <f>+'05-POA PROM DEFENSA DERECHOS'!F35</f>
        <v>4</v>
      </c>
      <c r="Q41" s="388">
        <f>+'05-POA PROM DEFENSA DERECHOS'!G35</f>
        <v>1</v>
      </c>
      <c r="R41" s="393" t="str">
        <f>+'05-POA PROM DEFENSA DERECHOS'!O35</f>
        <v>P.D. para la Coordinación del MP y DDHH y sus dependencias adscritas
 P.D. para la Coordinación de la Gestión de Personerías Locales y sus Personerías Locales adscritas</v>
      </c>
    </row>
    <row r="42" spans="2:18" ht="70.2" customHeight="1">
      <c r="B42" s="370">
        <f t="shared" si="5"/>
        <v>38</v>
      </c>
      <c r="C42" s="379" t="s">
        <v>725</v>
      </c>
      <c r="D42" s="378" t="s">
        <v>808</v>
      </c>
      <c r="E42" s="387" t="str">
        <f>+'06-PREV CTRL FUN PÚBLICA'!I16</f>
        <v>Informes realizados en temas específicos.</v>
      </c>
      <c r="F42" s="387" t="str">
        <f>+'06-PREV CTRL FUN PÚBLICA'!J16</f>
        <v>Número de informes realizados en temas específicos programados en el periodo.</v>
      </c>
      <c r="G42" s="378" t="s">
        <v>753</v>
      </c>
      <c r="H42" s="373" t="s">
        <v>724</v>
      </c>
      <c r="I42" s="374">
        <v>90</v>
      </c>
      <c r="J42" s="375" t="str">
        <f t="shared" si="8"/>
        <v>Desde (&gt;=):</v>
      </c>
      <c r="K42" s="375">
        <f t="shared" si="1"/>
        <v>66</v>
      </c>
      <c r="L42" s="375" t="str">
        <f t="shared" si="9"/>
        <v>Hasta (&lt;=):</v>
      </c>
      <c r="M42" s="375">
        <f t="shared" si="3"/>
        <v>90</v>
      </c>
      <c r="N42" s="375" t="str">
        <f t="shared" si="10"/>
        <v>Menor A:</v>
      </c>
      <c r="O42" s="376">
        <v>66</v>
      </c>
      <c r="P42" s="395">
        <f>+'06-PREV CTRL FUN PÚBLICA'!F16</f>
        <v>16</v>
      </c>
      <c r="Q42" s="395">
        <f>+'06-PREV CTRL FUN PÚBLICA'!G16</f>
        <v>7</v>
      </c>
      <c r="R42" s="393"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370">
        <f t="shared" si="5"/>
        <v>39</v>
      </c>
      <c r="C43" s="379" t="s">
        <v>725</v>
      </c>
      <c r="D43" s="378" t="s">
        <v>811</v>
      </c>
      <c r="E43" s="387" t="str">
        <f>+'06-PREV CTRL FUN PÚBLICA'!I17</f>
        <v>Informes de seguimientos realizados en temas específicos.</v>
      </c>
      <c r="F43" s="387" t="str">
        <f>+'06-PREV CTRL FUN PÚBLICA'!J17</f>
        <v>Número informes de seguimientos realizados en temas específicos en el periodo.</v>
      </c>
      <c r="G43" s="378" t="s">
        <v>753</v>
      </c>
      <c r="H43" s="373" t="s">
        <v>724</v>
      </c>
      <c r="I43" s="374">
        <v>90</v>
      </c>
      <c r="J43" s="375" t="str">
        <f t="shared" si="8"/>
        <v>Desde (&gt;=):</v>
      </c>
      <c r="K43" s="375">
        <f t="shared" si="1"/>
        <v>69</v>
      </c>
      <c r="L43" s="375" t="str">
        <f t="shared" si="9"/>
        <v>Hasta (&lt;=):</v>
      </c>
      <c r="M43" s="375">
        <f t="shared" si="3"/>
        <v>90</v>
      </c>
      <c r="N43" s="375" t="str">
        <f t="shared" si="10"/>
        <v>Menor A:</v>
      </c>
      <c r="O43" s="376">
        <v>69</v>
      </c>
      <c r="P43" s="395">
        <f>+'06-PREV CTRL FUN PÚBLICA'!F17</f>
        <v>6</v>
      </c>
      <c r="Q43" s="395">
        <f>+'06-PREV CTRL FUN PÚBLICA'!G17</f>
        <v>1</v>
      </c>
      <c r="R43" s="393"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370">
        <f t="shared" si="5"/>
        <v>40</v>
      </c>
      <c r="C44" s="379" t="s">
        <v>725</v>
      </c>
      <c r="D44" s="378" t="s">
        <v>812</v>
      </c>
      <c r="E44" s="387" t="str">
        <f>+'06-PREV CTRL FUN PÚBLICA'!I18</f>
        <v>Acciones de Prevención y Control a la Función Pública realizadas, con informe.</v>
      </c>
      <c r="F44" s="387" t="str">
        <f>+'06-PREV CTRL FUN PÚBLICA'!J18</f>
        <v>Número de informes de Acción de Prevención y Control a la Función Publica realizados en el periodo.</v>
      </c>
      <c r="G44" s="378" t="s">
        <v>753</v>
      </c>
      <c r="H44" s="373" t="s">
        <v>724</v>
      </c>
      <c r="I44" s="374">
        <v>77</v>
      </c>
      <c r="J44" s="375" t="str">
        <f t="shared" si="8"/>
        <v>Desde (&gt;=):</v>
      </c>
      <c r="K44" s="375">
        <f t="shared" si="1"/>
        <v>53</v>
      </c>
      <c r="L44" s="375" t="str">
        <f t="shared" si="9"/>
        <v>Hasta (&lt;=):</v>
      </c>
      <c r="M44" s="375">
        <f t="shared" si="3"/>
        <v>77</v>
      </c>
      <c r="N44" s="375" t="str">
        <f t="shared" si="10"/>
        <v>Menor A:</v>
      </c>
      <c r="O44" s="376">
        <v>53</v>
      </c>
      <c r="P44" s="395">
        <f>+'06-PREV CTRL FUN PÚBLICA'!F18</f>
        <v>817</v>
      </c>
      <c r="Q44" s="395">
        <f>+'06-PREV CTRL FUN PÚBLICA'!G18</f>
        <v>286</v>
      </c>
      <c r="R44" s="393"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370">
        <f t="shared" si="5"/>
        <v>41</v>
      </c>
      <c r="C45" s="379" t="s">
        <v>725</v>
      </c>
      <c r="D45" s="378" t="s">
        <v>813</v>
      </c>
      <c r="E45" s="387" t="str">
        <f>+'06-PREV CTRL FUN PÚBLICA'!I19</f>
        <v>Seguimientos realizados sobre acciones previas, con informe</v>
      </c>
      <c r="F45" s="387" t="str">
        <f>+'06-PREV CTRL FUN PÚBLICA'!J19</f>
        <v>Número de informes de seguimientos realizados en el periodo.</v>
      </c>
      <c r="G45" s="378" t="s">
        <v>753</v>
      </c>
      <c r="H45" s="373" t="s">
        <v>724</v>
      </c>
      <c r="I45" s="374">
        <v>80</v>
      </c>
      <c r="J45" s="375" t="str">
        <f t="shared" si="8"/>
        <v>Desde (&gt;=):</v>
      </c>
      <c r="K45" s="375">
        <f t="shared" si="1"/>
        <v>45</v>
      </c>
      <c r="L45" s="375" t="str">
        <f t="shared" si="9"/>
        <v>Hasta (&lt;=):</v>
      </c>
      <c r="M45" s="375">
        <f t="shared" si="3"/>
        <v>80</v>
      </c>
      <c r="N45" s="375" t="str">
        <f t="shared" si="10"/>
        <v>Menor A:</v>
      </c>
      <c r="O45" s="376">
        <v>45</v>
      </c>
      <c r="P45" s="395">
        <f>+'06-PREV CTRL FUN PÚBLICA'!F19</f>
        <v>135</v>
      </c>
      <c r="Q45" s="395">
        <f>+'06-PREV CTRL FUN PÚBLICA'!G19</f>
        <v>67</v>
      </c>
      <c r="R45" s="393"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370">
        <f t="shared" si="5"/>
        <v>42</v>
      </c>
      <c r="C46" s="379" t="s">
        <v>725</v>
      </c>
      <c r="D46" s="378" t="s">
        <v>814</v>
      </c>
      <c r="E46" s="387" t="str">
        <f>+'06-PREV CTRL FUN PÚBLICA'!I20</f>
        <v>Audiencias públicas y/o mesas de trabajo realizadas.</v>
      </c>
      <c r="F46" s="387" t="str">
        <f>+'06-PREV CTRL FUN PÚBLICA'!J20</f>
        <v>Número de audiencias públicas y/o mesas de trabajo realizadas en el periodo.</v>
      </c>
      <c r="G46" s="378" t="s">
        <v>753</v>
      </c>
      <c r="H46" s="373" t="s">
        <v>724</v>
      </c>
      <c r="I46" s="374">
        <v>85</v>
      </c>
      <c r="J46" s="375" t="str">
        <f t="shared" si="8"/>
        <v>Desde (&gt;=):</v>
      </c>
      <c r="K46" s="375">
        <f t="shared" si="1"/>
        <v>57</v>
      </c>
      <c r="L46" s="375" t="str">
        <f t="shared" si="9"/>
        <v>Hasta (&lt;=):</v>
      </c>
      <c r="M46" s="375">
        <f t="shared" si="3"/>
        <v>85</v>
      </c>
      <c r="N46" s="375" t="str">
        <f t="shared" si="10"/>
        <v>Menor A:</v>
      </c>
      <c r="O46" s="376">
        <v>57</v>
      </c>
      <c r="P46" s="395">
        <f>+'06-PREV CTRL FUN PÚBLICA'!F20</f>
        <v>60</v>
      </c>
      <c r="Q46" s="395">
        <f>+'06-PREV CTRL FUN PÚBLICA'!G20</f>
        <v>21</v>
      </c>
      <c r="R46" s="393" t="str">
        <f>+'06-PREV CTRL FUN PÚBLICA'!O20</f>
        <v>Personería Delegada para la Coordinación de Prevención y Control a la Función Pública y sus Personerías Delegadas.</v>
      </c>
    </row>
    <row r="47" spans="2:18" ht="26.4">
      <c r="B47" s="370">
        <f t="shared" si="5"/>
        <v>43</v>
      </c>
      <c r="C47" s="379" t="s">
        <v>725</v>
      </c>
      <c r="D47" s="378" t="s">
        <v>815</v>
      </c>
      <c r="E47" s="387" t="str">
        <f>+'06-PREV CTRL FUN PÚBLICA'!I21</f>
        <v>Acompañamientos a los ciudadanos realizados.</v>
      </c>
      <c r="F47" s="387" t="str">
        <f>+'06-PREV CTRL FUN PÚBLICA'!J21</f>
        <v>Número de acompañamientos a los ciudadanos realizados en el periodo.</v>
      </c>
      <c r="G47" s="378" t="s">
        <v>753</v>
      </c>
      <c r="H47" s="373" t="s">
        <v>724</v>
      </c>
      <c r="I47" s="374">
        <v>90</v>
      </c>
      <c r="J47" s="375" t="str">
        <f t="shared" si="8"/>
        <v>Desde (&gt;=):</v>
      </c>
      <c r="K47" s="375">
        <f t="shared" si="1"/>
        <v>69</v>
      </c>
      <c r="L47" s="375" t="str">
        <f t="shared" si="9"/>
        <v>Hasta (&lt;=):</v>
      </c>
      <c r="M47" s="375">
        <f t="shared" si="3"/>
        <v>90</v>
      </c>
      <c r="N47" s="375" t="str">
        <f t="shared" si="10"/>
        <v>Menor A:</v>
      </c>
      <c r="O47" s="376">
        <v>69</v>
      </c>
      <c r="P47" s="395">
        <f>+'06-PREV CTRL FUN PÚBLICA'!F21</f>
        <v>160</v>
      </c>
      <c r="Q47" s="395">
        <f>+'06-PREV CTRL FUN PÚBLICA'!G21</f>
        <v>60</v>
      </c>
      <c r="R47" s="393" t="str">
        <f>+'06-PREV CTRL FUN PÚBLICA'!O21</f>
        <v xml:space="preserve">Personería Delegada para la Coordinación de Gestión de las Personerías Locales y sus Personerías Locales. </v>
      </c>
    </row>
    <row r="48" spans="2:18" ht="45.6">
      <c r="B48" s="370">
        <f t="shared" si="5"/>
        <v>44</v>
      </c>
      <c r="C48" s="379" t="s">
        <v>725</v>
      </c>
      <c r="D48" s="378" t="s">
        <v>816</v>
      </c>
      <c r="E48" s="387" t="str">
        <f>+'06-PREV CTRL FUN PÚBLICA'!I22</f>
        <v>Espacios de dialogo realizados.</v>
      </c>
      <c r="F48" s="387" t="str">
        <f>+'06-PREV CTRL FUN PÚBLICA'!J22</f>
        <v>Número de espacios de dialogo realizados en el periodo.</v>
      </c>
      <c r="G48" s="378" t="s">
        <v>753</v>
      </c>
      <c r="H48" s="373" t="s">
        <v>724</v>
      </c>
      <c r="I48" s="374">
        <v>90</v>
      </c>
      <c r="J48" s="375" t="str">
        <f t="shared" si="8"/>
        <v>Desde (&gt;=):</v>
      </c>
      <c r="K48" s="375">
        <f t="shared" si="1"/>
        <v>69</v>
      </c>
      <c r="L48" s="375" t="str">
        <f t="shared" si="9"/>
        <v>Hasta (&lt;=):</v>
      </c>
      <c r="M48" s="375">
        <f t="shared" si="3"/>
        <v>90</v>
      </c>
      <c r="N48" s="375" t="str">
        <f t="shared" si="10"/>
        <v>Menor A:</v>
      </c>
      <c r="O48" s="376">
        <v>69</v>
      </c>
      <c r="P48" s="395">
        <f>+'06-PREV CTRL FUN PÚBLICA'!F22</f>
        <v>100</v>
      </c>
      <c r="Q48" s="395">
        <f>+'06-PREV CTRL FUN PÚBLICA'!G22</f>
        <v>30</v>
      </c>
      <c r="R48" s="393"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370">
        <f t="shared" si="5"/>
        <v>45</v>
      </c>
      <c r="C49" s="380" t="s">
        <v>726</v>
      </c>
      <c r="D49" s="378" t="s">
        <v>809</v>
      </c>
      <c r="E49" s="387" t="str">
        <f>+'07-POTESTAD DISCIPLINARIA'!I16</f>
        <v>Procesos priorizados identificados y decididos de fondo</v>
      </c>
      <c r="F49" s="387" t="str">
        <f>+'07-POTESTAD DISCIPLINARIA'!J16</f>
        <v>Número de procesos priorizados con decisiones de fondo proferidas</v>
      </c>
      <c r="G49" s="378" t="s">
        <v>753</v>
      </c>
      <c r="H49" s="373" t="s">
        <v>724</v>
      </c>
      <c r="I49" s="374">
        <v>90</v>
      </c>
      <c r="J49" s="375" t="str">
        <f t="shared" si="8"/>
        <v>Desde (&gt;=):</v>
      </c>
      <c r="K49" s="375">
        <f t="shared" si="1"/>
        <v>60</v>
      </c>
      <c r="L49" s="375" t="str">
        <f t="shared" si="9"/>
        <v>Hasta (&lt;=):</v>
      </c>
      <c r="M49" s="375">
        <f t="shared" si="3"/>
        <v>90</v>
      </c>
      <c r="N49" s="375" t="str">
        <f t="shared" si="10"/>
        <v>Menor A:</v>
      </c>
      <c r="O49" s="376">
        <v>60</v>
      </c>
      <c r="P49" s="388">
        <f>+'07-POTESTAD DISCIPLINARIA'!F16</f>
        <v>6700</v>
      </c>
      <c r="Q49" s="388">
        <f>+'07-POTESTAD DISCIPLINARIA'!G16</f>
        <v>1800</v>
      </c>
      <c r="R49" s="393" t="str">
        <f>+'07-POTESTAD DISCIPLINARIA'!O16</f>
        <v>Personería Delegada para la Coordinación de Potestad Disciplinaria</v>
      </c>
    </row>
    <row r="50" spans="2:18" ht="39.6">
      <c r="B50" s="370">
        <f t="shared" si="5"/>
        <v>46</v>
      </c>
      <c r="C50" s="380" t="s">
        <v>726</v>
      </c>
      <c r="D50" s="378" t="s">
        <v>817</v>
      </c>
      <c r="E50" s="387" t="str">
        <f>+'07-POTESTAD DISCIPLINARIA'!I17</f>
        <v>Noticias disciplinarias  evaluadas y con impulso procesal</v>
      </c>
      <c r="F50" s="387" t="str">
        <f>+'07-POTESTAD DISCIPLINARIA'!J17</f>
        <v>Número de noticias disciplinarias evaluadas y con impulso procesal/ Número de noticias disciplinaria comisionadas a las Delegadas</v>
      </c>
      <c r="G50" s="378" t="s">
        <v>753</v>
      </c>
      <c r="H50" s="373" t="s">
        <v>724</v>
      </c>
      <c r="I50" s="374">
        <v>90</v>
      </c>
      <c r="J50" s="375" t="str">
        <f t="shared" si="8"/>
        <v>Desde (&gt;=):</v>
      </c>
      <c r="K50" s="375">
        <f t="shared" si="1"/>
        <v>60</v>
      </c>
      <c r="L50" s="375" t="str">
        <f t="shared" si="9"/>
        <v>Hasta (&lt;=):</v>
      </c>
      <c r="M50" s="375">
        <f t="shared" si="3"/>
        <v>90</v>
      </c>
      <c r="N50" s="375" t="str">
        <f t="shared" si="10"/>
        <v>Menor A:</v>
      </c>
      <c r="O50" s="376">
        <v>60</v>
      </c>
      <c r="P50" s="392">
        <f>+'07-POTESTAD DISCIPLINARIA'!F17</f>
        <v>1</v>
      </c>
      <c r="Q50" s="392">
        <f>+'07-POTESTAD DISCIPLINARIA'!G17</f>
        <v>1</v>
      </c>
      <c r="R50" s="393" t="str">
        <f>+'07-POTESTAD DISCIPLINARIA'!O17</f>
        <v>Personería Delegada para la Coordinación de Potestad Disciplinaria</v>
      </c>
    </row>
    <row r="51" spans="2:18" ht="26.4">
      <c r="B51" s="370">
        <f t="shared" si="5"/>
        <v>47</v>
      </c>
      <c r="C51" s="380" t="s">
        <v>726</v>
      </c>
      <c r="D51" s="378" t="s">
        <v>818</v>
      </c>
      <c r="E51" s="387" t="str">
        <f>+'07-POTESTAD DISCIPLINARIA'!I18</f>
        <v>Visitas de seguimiento a Oficinas de Control Interno Disciplinario realizadas</v>
      </c>
      <c r="F51" s="387" t="str">
        <f>+'07-POTESTAD DISCIPLINARIA'!J18</f>
        <v>Número de visitas de seguimiento a OCID realizadas</v>
      </c>
      <c r="G51" s="378" t="s">
        <v>753</v>
      </c>
      <c r="H51" s="373" t="s">
        <v>724</v>
      </c>
      <c r="I51" s="374">
        <v>90</v>
      </c>
      <c r="J51" s="375" t="str">
        <f t="shared" si="8"/>
        <v>Desde (&gt;=):</v>
      </c>
      <c r="K51" s="375">
        <f t="shared" si="1"/>
        <v>65</v>
      </c>
      <c r="L51" s="375" t="str">
        <f t="shared" si="9"/>
        <v>Hasta (&lt;=):</v>
      </c>
      <c r="M51" s="375">
        <f t="shared" si="3"/>
        <v>90</v>
      </c>
      <c r="N51" s="375" t="str">
        <f t="shared" si="10"/>
        <v>Menor A:</v>
      </c>
      <c r="O51" s="376">
        <v>65</v>
      </c>
      <c r="P51" s="388">
        <f>+'07-POTESTAD DISCIPLINARIA'!F18</f>
        <v>204</v>
      </c>
      <c r="Q51" s="388">
        <f>+'07-POTESTAD DISCIPLINARIA'!G18</f>
        <v>51</v>
      </c>
      <c r="R51" s="393" t="str">
        <f>+'07-POTESTAD DISCIPLINARIA'!O18</f>
        <v>Personería Delegada para la Coordinación de Potestad Disciplinaria</v>
      </c>
    </row>
    <row r="52" spans="2:18" ht="39.6">
      <c r="B52" s="370">
        <f t="shared" si="5"/>
        <v>48</v>
      </c>
      <c r="C52" s="380" t="s">
        <v>726</v>
      </c>
      <c r="D52" s="378" t="s">
        <v>819</v>
      </c>
      <c r="E52" s="387" t="str">
        <f>+'07-POTESTAD DISCIPLINARIA'!I19</f>
        <v>Procesos de interés e impacto asumidos por competencia</v>
      </c>
      <c r="F52" s="387" t="str">
        <f>+'07-POTESTAD DISCIPLINARIA'!J19</f>
        <v>Número de solicitudes a petición asumidas por poder preferente/ Número total de peticiones solicitadas por poder preferente</v>
      </c>
      <c r="G52" s="378" t="s">
        <v>753</v>
      </c>
      <c r="H52" s="373" t="s">
        <v>724</v>
      </c>
      <c r="I52" s="374">
        <v>90</v>
      </c>
      <c r="J52" s="375" t="str">
        <f t="shared" si="8"/>
        <v>Desde (&gt;=):</v>
      </c>
      <c r="K52" s="375">
        <f t="shared" si="1"/>
        <v>65</v>
      </c>
      <c r="L52" s="375" t="str">
        <f t="shared" si="9"/>
        <v>Hasta (&lt;=):</v>
      </c>
      <c r="M52" s="375">
        <f t="shared" si="3"/>
        <v>90</v>
      </c>
      <c r="N52" s="375" t="str">
        <f t="shared" si="10"/>
        <v>Menor A:</v>
      </c>
      <c r="O52" s="376">
        <v>65</v>
      </c>
      <c r="P52" s="392">
        <f>+'07-POTESTAD DISCIPLINARIA'!F19</f>
        <v>1</v>
      </c>
      <c r="Q52" s="392">
        <f>+'07-POTESTAD DISCIPLINARIA'!G19</f>
        <v>1</v>
      </c>
      <c r="R52" s="393" t="str">
        <f>+'07-POTESTAD DISCIPLINARIA'!O19</f>
        <v>Personería Delegada para la Coordinación de Potestad Disciplinaria</v>
      </c>
    </row>
    <row r="53" spans="2:18" ht="26.4">
      <c r="B53" s="370">
        <f t="shared" si="5"/>
        <v>49</v>
      </c>
      <c r="C53" s="380" t="s">
        <v>726</v>
      </c>
      <c r="D53" s="378" t="s">
        <v>820</v>
      </c>
      <c r="E53" s="387" t="str">
        <f>+'07-POTESTAD DISCIPLINARIA'!I20</f>
        <v>Escenarios de intercambio de conocimiento generados</v>
      </c>
      <c r="F53" s="387" t="str">
        <f>+'07-POTESTAD DISCIPLINARIA'!J20</f>
        <v xml:space="preserve">Número de escenarios de sensibilización generados </v>
      </c>
      <c r="G53" s="378" t="s">
        <v>753</v>
      </c>
      <c r="H53" s="373" t="s">
        <v>724</v>
      </c>
      <c r="I53" s="374">
        <v>90</v>
      </c>
      <c r="J53" s="375" t="str">
        <f t="shared" si="8"/>
        <v>Desde (&gt;=):</v>
      </c>
      <c r="K53" s="375">
        <f t="shared" si="1"/>
        <v>65</v>
      </c>
      <c r="L53" s="375" t="str">
        <f t="shared" si="9"/>
        <v>Hasta (&lt;=):</v>
      </c>
      <c r="M53" s="375">
        <f t="shared" si="3"/>
        <v>90</v>
      </c>
      <c r="N53" s="375" t="str">
        <f t="shared" si="10"/>
        <v>Menor A:</v>
      </c>
      <c r="O53" s="376">
        <v>65</v>
      </c>
      <c r="P53" s="388">
        <f>+'07-POTESTAD DISCIPLINARIA'!F20</f>
        <v>8</v>
      </c>
      <c r="Q53" s="388">
        <f>+'07-POTESTAD DISCIPLINARIA'!G20</f>
        <v>2</v>
      </c>
      <c r="R53" s="393" t="str">
        <f>+'07-POTESTAD DISCIPLINARIA'!O20</f>
        <v>Personería Delegada para la Coordinación de Potestad Disciplinaria</v>
      </c>
    </row>
    <row r="54" spans="2:18" ht="26.4">
      <c r="B54" s="370">
        <f t="shared" si="5"/>
        <v>50</v>
      </c>
      <c r="C54" s="380" t="s">
        <v>726</v>
      </c>
      <c r="D54" s="378" t="s">
        <v>821</v>
      </c>
      <c r="E54" s="387" t="str">
        <f>+'07-POTESTAD DISCIPLINARIA'!I21</f>
        <v xml:space="preserve">Sistema de Comunicación con las Oficinas de Control Interno Disciplinario implementado </v>
      </c>
      <c r="F54" s="387" t="str">
        <f>+'07-POTESTAD DISCIPLINARIA'!J21</f>
        <v>Porcentaje de avance en la implementación del Sistema de Comunicación</v>
      </c>
      <c r="G54" s="378" t="s">
        <v>753</v>
      </c>
      <c r="H54" s="373" t="s">
        <v>724</v>
      </c>
      <c r="I54" s="374">
        <v>90</v>
      </c>
      <c r="J54" s="375" t="str">
        <f t="shared" si="8"/>
        <v>Desde (&gt;=):</v>
      </c>
      <c r="K54" s="375">
        <f t="shared" si="1"/>
        <v>65</v>
      </c>
      <c r="L54" s="375" t="str">
        <f t="shared" si="9"/>
        <v>Hasta (&lt;=):</v>
      </c>
      <c r="M54" s="375">
        <f t="shared" si="3"/>
        <v>90</v>
      </c>
      <c r="N54" s="375" t="str">
        <f t="shared" si="10"/>
        <v>Menor A:</v>
      </c>
      <c r="O54" s="376">
        <v>65</v>
      </c>
      <c r="P54" s="388">
        <f>+'07-POTESTAD DISCIPLINARIA'!F21</f>
        <v>1</v>
      </c>
      <c r="Q54" s="390">
        <f>+'07-POTESTAD DISCIPLINARIA'!G21</f>
        <v>0.5</v>
      </c>
      <c r="R54" s="393" t="str">
        <f>+'07-POTESTAD DISCIPLINARIA'!O21</f>
        <v>Personería Delegada para la Coordinación de Potestad Disciplinaria</v>
      </c>
    </row>
    <row r="55" spans="2:18" ht="26.4">
      <c r="B55" s="370">
        <f t="shared" si="5"/>
        <v>51</v>
      </c>
      <c r="C55" s="380" t="s">
        <v>726</v>
      </c>
      <c r="D55" s="378" t="s">
        <v>822</v>
      </c>
      <c r="E55" s="387" t="str">
        <f>+'07-POTESTAD DISCIPLINARIA'!I22</f>
        <v xml:space="preserve">Sistema de información misional implementado </v>
      </c>
      <c r="F55" s="387" t="str">
        <f>+'07-POTESTAD DISCIPLINARIA'!J22</f>
        <v>Porcentaje de avance en la implementación de Sistema de Información</v>
      </c>
      <c r="G55" s="378" t="s">
        <v>753</v>
      </c>
      <c r="H55" s="373" t="s">
        <v>724</v>
      </c>
      <c r="I55" s="374">
        <v>90</v>
      </c>
      <c r="J55" s="375" t="str">
        <f t="shared" si="8"/>
        <v>Desde (&gt;=):</v>
      </c>
      <c r="K55" s="375">
        <f t="shared" si="1"/>
        <v>65</v>
      </c>
      <c r="L55" s="375" t="str">
        <f t="shared" si="9"/>
        <v>Hasta (&lt;=):</v>
      </c>
      <c r="M55" s="375">
        <f t="shared" si="3"/>
        <v>90</v>
      </c>
      <c r="N55" s="375" t="str">
        <f t="shared" si="10"/>
        <v>Menor A:</v>
      </c>
      <c r="O55" s="376">
        <v>65</v>
      </c>
      <c r="P55" s="388">
        <f>+'07-POTESTAD DISCIPLINARIA'!F22</f>
        <v>1</v>
      </c>
      <c r="Q55" s="390">
        <f>+'07-POTESTAD DISCIPLINARIA'!G22</f>
        <v>0.4</v>
      </c>
      <c r="R55" s="393" t="str">
        <f>+'07-POTESTAD DISCIPLINARIA'!O22</f>
        <v>Personería Delegada para la Coordinación de Potestad Disciplinaria</v>
      </c>
    </row>
    <row r="56" spans="2:18" ht="26.4">
      <c r="B56" s="370">
        <f t="shared" si="5"/>
        <v>52</v>
      </c>
      <c r="C56" s="380" t="s">
        <v>726</v>
      </c>
      <c r="D56" s="378" t="s">
        <v>823</v>
      </c>
      <c r="E56" s="387" t="str">
        <f>+'07-POTESTAD DISCIPLINARIA'!I23</f>
        <v>Relatoría diseñada e implementada</v>
      </c>
      <c r="F56" s="387" t="str">
        <f>+'07-POTESTAD DISCIPLINARIA'!J23</f>
        <v>Porcentaje de avance en la implementación de la relatoría</v>
      </c>
      <c r="G56" s="378" t="s">
        <v>753</v>
      </c>
      <c r="H56" s="373" t="s">
        <v>724</v>
      </c>
      <c r="I56" s="374">
        <v>90</v>
      </c>
      <c r="J56" s="375" t="str">
        <f t="shared" si="8"/>
        <v>Desde (&gt;=):</v>
      </c>
      <c r="K56" s="375">
        <f t="shared" si="1"/>
        <v>65</v>
      </c>
      <c r="L56" s="375" t="str">
        <f t="shared" si="9"/>
        <v>Hasta (&lt;=):</v>
      </c>
      <c r="M56" s="375">
        <f t="shared" si="3"/>
        <v>90</v>
      </c>
      <c r="N56" s="375" t="str">
        <f t="shared" si="10"/>
        <v>Menor A:</v>
      </c>
      <c r="O56" s="376">
        <v>65</v>
      </c>
      <c r="P56" s="388">
        <f>+'07-POTESTAD DISCIPLINARIA'!F23</f>
        <v>1</v>
      </c>
      <c r="Q56" s="390">
        <f>+'07-POTESTAD DISCIPLINARIA'!G23</f>
        <v>0.3</v>
      </c>
      <c r="R56" s="393" t="str">
        <f>+'07-POTESTAD DISCIPLINARIA'!O23</f>
        <v>Personería Delegada para la Coordinación de Potestad Disciplinaria</v>
      </c>
    </row>
    <row r="57" spans="2:18" ht="54" customHeight="1">
      <c r="B57" s="370">
        <f t="shared" si="5"/>
        <v>53</v>
      </c>
      <c r="C57" s="381" t="s">
        <v>727</v>
      </c>
      <c r="D57" s="378" t="s">
        <v>810</v>
      </c>
      <c r="E57" s="387" t="str">
        <f>+'08-G. DEL TALENTO HUMANO'!I16</f>
        <v>Porcentaje de novedades y situaciones administrativas gestionadas</v>
      </c>
      <c r="F57" s="387" t="str">
        <f>+'08-G. DEL TALENTO HUMANO'!J16</f>
        <v>N° de novedades y situaciones administrativas gestionadas /  N° requerimientos de novedades y situaciones administrativas presentados * 100</v>
      </c>
      <c r="G57" s="378" t="s">
        <v>753</v>
      </c>
      <c r="H57" s="373" t="s">
        <v>719</v>
      </c>
      <c r="I57" s="374">
        <v>90</v>
      </c>
      <c r="J57" s="375" t="str">
        <f t="shared" si="8"/>
        <v>Desde (&gt;):</v>
      </c>
      <c r="K57" s="375">
        <f t="shared" si="1"/>
        <v>69</v>
      </c>
      <c r="L57" s="375" t="str">
        <f t="shared" si="9"/>
        <v>Hasta (&lt;):</v>
      </c>
      <c r="M57" s="375">
        <f t="shared" si="3"/>
        <v>90</v>
      </c>
      <c r="N57" s="375" t="str">
        <f t="shared" si="10"/>
        <v>Menor o Igual A:</v>
      </c>
      <c r="O57" s="376">
        <v>69</v>
      </c>
      <c r="P57" s="389">
        <f>+'08-G. DEL TALENTO HUMANO'!F16</f>
        <v>1</v>
      </c>
      <c r="Q57" s="389">
        <f>+'08-G. DEL TALENTO HUMANO'!G16</f>
        <v>1</v>
      </c>
      <c r="R57" s="393" t="str">
        <f>+'08-G. DEL TALENTO HUMANO'!O16</f>
        <v xml:space="preserve">
Dirección de Talento Humano
</v>
      </c>
    </row>
    <row r="58" spans="2:18" ht="79.2" customHeight="1">
      <c r="B58" s="370">
        <f t="shared" si="5"/>
        <v>54</v>
      </c>
      <c r="C58" s="381" t="s">
        <v>727</v>
      </c>
      <c r="D58" s="378" t="s">
        <v>826</v>
      </c>
      <c r="E58" s="387" t="str">
        <f>+'08-G. DEL TALENTO HUMANO'!I17</f>
        <v xml:space="preserve">Novedades incluidas en la nómina  oportunamente  </v>
      </c>
      <c r="F58" s="387" t="str">
        <f>+'08-G. DEL TALENTO HUMANO'!J17</f>
        <v xml:space="preserve"> N° de Novedades incluidas en la Nomina oportunamente / N° de novedades radicadas en los plazos establecidos</v>
      </c>
      <c r="G58" s="378" t="s">
        <v>753</v>
      </c>
      <c r="H58" s="373" t="s">
        <v>719</v>
      </c>
      <c r="I58" s="374">
        <v>97</v>
      </c>
      <c r="J58" s="375" t="str">
        <f t="shared" si="8"/>
        <v>Desde (&gt;):</v>
      </c>
      <c r="K58" s="375">
        <f t="shared" si="1"/>
        <v>84</v>
      </c>
      <c r="L58" s="375" t="str">
        <f t="shared" si="9"/>
        <v>Hasta (&lt;):</v>
      </c>
      <c r="M58" s="375">
        <f t="shared" si="3"/>
        <v>97</v>
      </c>
      <c r="N58" s="375" t="str">
        <f t="shared" si="10"/>
        <v>Menor o Igual A:</v>
      </c>
      <c r="O58" s="376">
        <v>84</v>
      </c>
      <c r="P58" s="389">
        <f>+'08-G. DEL TALENTO HUMANO'!F17</f>
        <v>0.97799999999999998</v>
      </c>
      <c r="Q58" s="389">
        <f>+'08-G. DEL TALENTO HUMANO'!G17</f>
        <v>0.98</v>
      </c>
      <c r="R58" s="393" t="str">
        <f>+'08-G. DEL TALENTO HUMANO'!O17</f>
        <v>Dependencia Líder: 
Dirección de Talento Humano
Dependencia Operativa:
Subdirección de Gestión del Talento Humano</v>
      </c>
    </row>
    <row r="59" spans="2:18" ht="66">
      <c r="B59" s="370">
        <f t="shared" si="5"/>
        <v>55</v>
      </c>
      <c r="C59" s="381" t="s">
        <v>727</v>
      </c>
      <c r="D59" s="378" t="s">
        <v>827</v>
      </c>
      <c r="E59" s="387" t="str">
        <f>+'08-G. DEL TALENTO HUMANO'!I18</f>
        <v>Porcentaje de Usuarios internos satisfechos con las solicitudes de los servicios atendidas de la SGTH (Certificaciones laborales, bonos pensionales y autorizaciones de retiro de cesantías)</v>
      </c>
      <c r="F59" s="387" t="str">
        <f>+'08-G. DEL TALENTO HUMANO'!J18</f>
        <v>N° de usuarios satisfechos con las solicitudes de servicios atendidas por la SGTH (Certificaciones laborales, bonos pensionales y autorizaciones de retiro de cesantías. / N° de usuarios encuestados *100</v>
      </c>
      <c r="G59" s="378" t="s">
        <v>761</v>
      </c>
      <c r="H59" s="373" t="s">
        <v>719</v>
      </c>
      <c r="I59" s="374">
        <v>90</v>
      </c>
      <c r="J59" s="375" t="str">
        <f t="shared" si="8"/>
        <v>Desde (&gt;):</v>
      </c>
      <c r="K59" s="375">
        <f t="shared" si="1"/>
        <v>79</v>
      </c>
      <c r="L59" s="375" t="str">
        <f t="shared" si="9"/>
        <v>Hasta (&lt;):</v>
      </c>
      <c r="M59" s="375">
        <f t="shared" si="3"/>
        <v>90</v>
      </c>
      <c r="N59" s="375" t="str">
        <f t="shared" si="10"/>
        <v>Menor o Igual A:</v>
      </c>
      <c r="O59" s="376">
        <v>79</v>
      </c>
      <c r="P59" s="389">
        <f>+'08-G. DEL TALENTO HUMANO'!F18</f>
        <v>0.94499999999999995</v>
      </c>
      <c r="Q59" s="389">
        <f>+'08-G. DEL TALENTO HUMANO'!G18</f>
        <v>0.96</v>
      </c>
      <c r="R59" s="393" t="str">
        <f>+'08-G. DEL TALENTO HUMANO'!O18</f>
        <v>Dependencia Líder: 
Dirección de Talento Humano
Dependencia Operativa:
Subdirección de Gestión del Talento Humano</v>
      </c>
    </row>
    <row r="60" spans="2:18" ht="62.4" customHeight="1">
      <c r="B60" s="370">
        <f t="shared" si="5"/>
        <v>56</v>
      </c>
      <c r="C60" s="381" t="s">
        <v>727</v>
      </c>
      <c r="D60" s="378" t="s">
        <v>828</v>
      </c>
      <c r="E60" s="387" t="str">
        <f>+'08-G. DEL TALENTO HUMANO'!I19</f>
        <v>Plan Institucional de Capacitación formulado y ejecutado</v>
      </c>
      <c r="F60" s="387" t="str">
        <f>+'08-G. DEL TALENTO HUMANO'!J19</f>
        <v>Grado de avance en la formulación y ejecución del Plan Institucional de Capacitación</v>
      </c>
      <c r="G60" s="378" t="s">
        <v>753</v>
      </c>
      <c r="H60" s="373" t="s">
        <v>719</v>
      </c>
      <c r="I60" s="374">
        <v>90</v>
      </c>
      <c r="J60" s="375" t="str">
        <f t="shared" si="8"/>
        <v>Desde (&gt;):</v>
      </c>
      <c r="K60" s="375">
        <f t="shared" si="1"/>
        <v>69</v>
      </c>
      <c r="L60" s="375" t="str">
        <f t="shared" si="9"/>
        <v>Hasta (&lt;):</v>
      </c>
      <c r="M60" s="375">
        <f t="shared" si="3"/>
        <v>90</v>
      </c>
      <c r="N60" s="375" t="str">
        <f t="shared" si="10"/>
        <v>Menor o Igual A:</v>
      </c>
      <c r="O60" s="376">
        <v>69</v>
      </c>
      <c r="P60" s="389">
        <f>+'08-G. DEL TALENTO HUMANO'!F19</f>
        <v>1</v>
      </c>
      <c r="Q60" s="389">
        <f>+'08-G. DEL TALENTO HUMANO'!G19</f>
        <v>1</v>
      </c>
      <c r="R60" s="393" t="str">
        <f>+'08-G. DEL TALENTO HUMANO'!O19</f>
        <v>Dependencia Líder: 
Dirección de Talento Humano
Dependencia Operativa:
Subdirección de Desarrollo del Talento Humano</v>
      </c>
    </row>
    <row r="61" spans="2:18" ht="63" customHeight="1">
      <c r="B61" s="370">
        <f t="shared" si="5"/>
        <v>57</v>
      </c>
      <c r="C61" s="381" t="s">
        <v>727</v>
      </c>
      <c r="D61" s="378" t="s">
        <v>829</v>
      </c>
      <c r="E61" s="387" t="str">
        <f>+'08-G. DEL TALENTO HUMANO'!I20</f>
        <v>Plan Institucional de Bienestar formulado y ejecutado</v>
      </c>
      <c r="F61" s="387" t="str">
        <f>+'08-G. DEL TALENTO HUMANO'!J20</f>
        <v>Grado de avance en la formulación y ejecución del Plan Institucional de Bienestar</v>
      </c>
      <c r="G61" s="378" t="s">
        <v>753</v>
      </c>
      <c r="H61" s="373" t="s">
        <v>719</v>
      </c>
      <c r="I61" s="374">
        <v>90</v>
      </c>
      <c r="J61" s="375" t="str">
        <f t="shared" si="8"/>
        <v>Desde (&gt;):</v>
      </c>
      <c r="K61" s="375">
        <f t="shared" si="1"/>
        <v>69</v>
      </c>
      <c r="L61" s="375" t="str">
        <f t="shared" si="9"/>
        <v>Hasta (&lt;):</v>
      </c>
      <c r="M61" s="375">
        <f t="shared" si="3"/>
        <v>90</v>
      </c>
      <c r="N61" s="375" t="str">
        <f t="shared" si="10"/>
        <v>Menor o Igual A:</v>
      </c>
      <c r="O61" s="376">
        <v>69</v>
      </c>
      <c r="P61" s="389">
        <f>+'08-G. DEL TALENTO HUMANO'!F20</f>
        <v>1</v>
      </c>
      <c r="Q61" s="389">
        <f>+'08-G. DEL TALENTO HUMANO'!G20</f>
        <v>1</v>
      </c>
      <c r="R61" s="393" t="str">
        <f>+'08-G. DEL TALENTO HUMANO'!O20</f>
        <v>Dependencia Líder: 
Dirección de Talento Humano
Dependencia Operativa:
Subdirección de Desarrollo del Talento Humano</v>
      </c>
    </row>
    <row r="62" spans="2:18" ht="57">
      <c r="B62" s="370">
        <f t="shared" si="5"/>
        <v>58</v>
      </c>
      <c r="C62" s="381" t="s">
        <v>727</v>
      </c>
      <c r="D62" s="378" t="s">
        <v>830</v>
      </c>
      <c r="E62" s="387" t="str">
        <f>+'08-G. DEL TALENTO HUMANO'!I21</f>
        <v>Plan Institucional de Incentivos formulado y ejecutado</v>
      </c>
      <c r="F62" s="387" t="str">
        <f>+'08-G. DEL TALENTO HUMANO'!J21</f>
        <v>Grado de avance en la formulación y ejecución del Plan Institucional de Incentivos</v>
      </c>
      <c r="G62" s="378" t="s">
        <v>753</v>
      </c>
      <c r="H62" s="373" t="s">
        <v>719</v>
      </c>
      <c r="I62" s="374">
        <v>90</v>
      </c>
      <c r="J62" s="375" t="str">
        <f t="shared" si="8"/>
        <v>Desde (&gt;):</v>
      </c>
      <c r="K62" s="375">
        <f t="shared" si="1"/>
        <v>69</v>
      </c>
      <c r="L62" s="375" t="str">
        <f t="shared" si="9"/>
        <v>Hasta (&lt;):</v>
      </c>
      <c r="M62" s="375">
        <f t="shared" si="3"/>
        <v>90</v>
      </c>
      <c r="N62" s="375" t="str">
        <f t="shared" si="10"/>
        <v>Menor o Igual A:</v>
      </c>
      <c r="O62" s="376">
        <v>69</v>
      </c>
      <c r="P62" s="389">
        <f>+'08-G. DEL TALENTO HUMANO'!F21</f>
        <v>1</v>
      </c>
      <c r="Q62" s="389">
        <f>+'08-G. DEL TALENTO HUMANO'!G21</f>
        <v>1</v>
      </c>
      <c r="R62" s="393" t="str">
        <f>+'08-G. DEL TALENTO HUMANO'!O21</f>
        <v>Dependencia Líder: 
Dirección de Talento Humano
Dependencia Operativa:
Subdirección de Desarrollo del Talento Humano</v>
      </c>
    </row>
    <row r="63" spans="2:18" ht="57">
      <c r="B63" s="370">
        <f t="shared" si="5"/>
        <v>59</v>
      </c>
      <c r="C63" s="381" t="s">
        <v>727</v>
      </c>
      <c r="D63" s="378" t="s">
        <v>831</v>
      </c>
      <c r="E63" s="387" t="str">
        <f>+'08-G. DEL TALENTO HUMANO'!I22</f>
        <v>Plan Anual de Trabajo del Sistema de Gestión de Seguridad y Salud en el Trabajo SG-SST diseñado y ejecutado</v>
      </c>
      <c r="F63" s="387" t="str">
        <f>+'08-G. DEL TALENTO HUMANO'!J22</f>
        <v>Grado de avance en la formulación y ejecución del Plan Anual de Trabajo del SG-SST</v>
      </c>
      <c r="G63" s="378" t="s">
        <v>753</v>
      </c>
      <c r="H63" s="373" t="s">
        <v>719</v>
      </c>
      <c r="I63" s="374">
        <v>90</v>
      </c>
      <c r="J63" s="375" t="str">
        <f t="shared" si="8"/>
        <v>Desde (&gt;):</v>
      </c>
      <c r="K63" s="375">
        <f t="shared" si="1"/>
        <v>69</v>
      </c>
      <c r="L63" s="375" t="str">
        <f t="shared" si="9"/>
        <v>Hasta (&lt;):</v>
      </c>
      <c r="M63" s="375">
        <f t="shared" si="3"/>
        <v>90</v>
      </c>
      <c r="N63" s="375" t="str">
        <f t="shared" si="10"/>
        <v>Menor o Igual A:</v>
      </c>
      <c r="O63" s="376">
        <v>69</v>
      </c>
      <c r="P63" s="389">
        <f>+'08-G. DEL TALENTO HUMANO'!F22</f>
        <v>1</v>
      </c>
      <c r="Q63" s="389">
        <f>+'08-G. DEL TALENTO HUMANO'!G22</f>
        <v>1</v>
      </c>
      <c r="R63" s="393" t="str">
        <f>+'08-G. DEL TALENTO HUMANO'!O22</f>
        <v>Dependencia Líder: 
Dirección de Talento Humano
Dependencia Operativa:
Subdirección de Desarrollo del Talento Humano</v>
      </c>
    </row>
    <row r="64" spans="2:18" ht="52.8">
      <c r="B64" s="370">
        <f t="shared" si="5"/>
        <v>60</v>
      </c>
      <c r="C64" s="381" t="s">
        <v>727</v>
      </c>
      <c r="D64" s="378" t="s">
        <v>832</v>
      </c>
      <c r="E64" s="387" t="str">
        <f>+'08-G. DEL TALENTO HUMANO'!I23</f>
        <v>Capacitaciones realizadas sobre los Sistemas de Gestión y Evaluación del Desempeño Laboral de la Personería de Bogotá, D.C.</v>
      </c>
      <c r="F64" s="387" t="str">
        <f>+'08-G. DEL TALENTO HUMANO'!J23</f>
        <v>Número de capacitacionese realizadas sobre los Sistemas de Gestión y Evaluación del Desempeño Laboral de la Personería de Bogotá, D.C.</v>
      </c>
      <c r="G64" s="378" t="s">
        <v>753</v>
      </c>
      <c r="H64" s="373" t="s">
        <v>724</v>
      </c>
      <c r="I64" s="374">
        <v>100</v>
      </c>
      <c r="J64" s="375" t="str">
        <f t="shared" si="8"/>
        <v>Desde (&gt;=):</v>
      </c>
      <c r="K64" s="375">
        <f t="shared" si="1"/>
        <v>90</v>
      </c>
      <c r="L64" s="375" t="str">
        <f t="shared" si="9"/>
        <v>Hasta (&lt;=):</v>
      </c>
      <c r="M64" s="375">
        <f t="shared" si="3"/>
        <v>100</v>
      </c>
      <c r="N64" s="375" t="str">
        <f t="shared" si="10"/>
        <v>Menor A:</v>
      </c>
      <c r="O64" s="376">
        <v>90</v>
      </c>
      <c r="P64" s="388">
        <f>+'08-G. DEL TALENTO HUMANO'!F23</f>
        <v>21</v>
      </c>
      <c r="Q64" s="388">
        <f>+'08-G. DEL TALENTO HUMANO'!G23</f>
        <v>4</v>
      </c>
      <c r="R64" s="393" t="str">
        <f>+'08-G. DEL TALENTO HUMANO'!O23</f>
        <v>Dirección de Talento Humano</v>
      </c>
    </row>
    <row r="65" spans="2:18" ht="34.200000000000003" customHeight="1">
      <c r="B65" s="370">
        <f t="shared" si="5"/>
        <v>61</v>
      </c>
      <c r="C65" s="380" t="s">
        <v>728</v>
      </c>
      <c r="D65" s="378" t="s">
        <v>833</v>
      </c>
      <c r="E65" s="387" t="str">
        <f>+'09-G.  ADMINISTRATIVA'!I16</f>
        <v>Porcentaje de servicios atendidos</v>
      </c>
      <c r="F65" s="387" t="str">
        <f>+'09-G.  ADMINISTRATIVA'!J16</f>
        <v>No. Servicios realizados /Total de servicios solicitados *100</v>
      </c>
      <c r="G65" s="378" t="s">
        <v>753</v>
      </c>
      <c r="H65" s="373" t="s">
        <v>724</v>
      </c>
      <c r="I65" s="374">
        <v>97</v>
      </c>
      <c r="J65" s="375" t="str">
        <f t="shared" si="8"/>
        <v>Desde (&gt;=):</v>
      </c>
      <c r="K65" s="375">
        <f t="shared" ref="K65:K106" si="11">IF(I65&gt;O65,O65,
IF(I65&lt;O65,I65,
IF(I65=O65,"No Aplica","")))</f>
        <v>93</v>
      </c>
      <c r="L65" s="375" t="str">
        <f t="shared" si="9"/>
        <v>Hasta (&lt;=):</v>
      </c>
      <c r="M65" s="375">
        <f t="shared" ref="M65:M106" si="12">IF(I65&gt;O65,I65,
IF(I65&lt;O65,O65,
IF(I65=O65,"No Aplica","")))</f>
        <v>97</v>
      </c>
      <c r="N65" s="375" t="str">
        <f t="shared" si="10"/>
        <v>Menor A:</v>
      </c>
      <c r="O65" s="376">
        <v>93</v>
      </c>
      <c r="P65" s="389">
        <f>+'09-G.  ADMINISTRATIVA'!G16</f>
        <v>1</v>
      </c>
      <c r="Q65" s="389">
        <f>+'09-G.  ADMINISTRATIVA'!G16</f>
        <v>1</v>
      </c>
      <c r="R65" s="393" t="str">
        <f>+'09-G.  ADMINISTRATIVA'!O16</f>
        <v>Subdirección de Gestión Documental y Recursos Físicos
Dirección Administrativa y Financiera</v>
      </c>
    </row>
    <row r="66" spans="2:18" ht="39.6">
      <c r="B66" s="370">
        <f t="shared" si="5"/>
        <v>62</v>
      </c>
      <c r="C66" s="380" t="s">
        <v>728</v>
      </c>
      <c r="D66" s="378" t="s">
        <v>835</v>
      </c>
      <c r="E66" s="387" t="str">
        <f>+'09-G.  ADMINISTRATIVA'!I17</f>
        <v>Porcentaje de actividades del PESV ejecutadas</v>
      </c>
      <c r="F66" s="387" t="str">
        <f>+'09-G.  ADMINISTRATIVA'!J17</f>
        <v>N° de actividades ejecutadas en el periodo/N° de actividades programadas en el PESV para la vigencia*100</v>
      </c>
      <c r="G66" s="378" t="s">
        <v>753</v>
      </c>
      <c r="H66" s="373" t="s">
        <v>724</v>
      </c>
      <c r="I66" s="374">
        <v>97</v>
      </c>
      <c r="J66" s="375" t="str">
        <f t="shared" si="8"/>
        <v>Desde (&gt;=):</v>
      </c>
      <c r="K66" s="375">
        <f t="shared" si="11"/>
        <v>93</v>
      </c>
      <c r="L66" s="375" t="str">
        <f t="shared" si="9"/>
        <v>Hasta (&lt;=):</v>
      </c>
      <c r="M66" s="375">
        <f t="shared" si="12"/>
        <v>97</v>
      </c>
      <c r="N66" s="375" t="str">
        <f t="shared" si="10"/>
        <v>Menor A:</v>
      </c>
      <c r="O66" s="376">
        <v>93</v>
      </c>
      <c r="P66" s="389">
        <f>+'09-G.  ADMINISTRATIVA'!G17</f>
        <v>0.97</v>
      </c>
      <c r="Q66" s="389">
        <f>+'09-G.  ADMINISTRATIVA'!G17</f>
        <v>0.97</v>
      </c>
      <c r="R66" s="393" t="str">
        <f>+'09-G.  ADMINISTRATIVA'!O17</f>
        <v>Subdirección de Gestión Documental y Recursos Físicos
Dirección Administrativa y Financiera</v>
      </c>
    </row>
    <row r="67" spans="2:18" ht="26.4">
      <c r="B67" s="370">
        <f t="shared" si="5"/>
        <v>63</v>
      </c>
      <c r="C67" s="381" t="s">
        <v>729</v>
      </c>
      <c r="D67" s="378" t="s">
        <v>834</v>
      </c>
      <c r="E67" s="387" t="str">
        <f>+'10-GESTIÓN FINANCIERA'!I16</f>
        <v>Porcentaje del presupuesto aprobado y ejecutado.</v>
      </c>
      <c r="F67" s="387" t="str">
        <f>+'10-GESTIÓN FINANCIERA'!J16</f>
        <v>Valor de ejecución de presupuesto / Valor del presupuesto aprobado</v>
      </c>
      <c r="G67" s="378" t="s">
        <v>753</v>
      </c>
      <c r="H67" s="373" t="s">
        <v>719</v>
      </c>
      <c r="I67" s="374">
        <v>95</v>
      </c>
      <c r="J67" s="375" t="str">
        <f t="shared" ref="J67:J106" si="13">IF(OR($H67="Mayor A:",$H67="Menor A:"),"Desde (&gt;=):",
IF(OR($H67="Mayor o Igual A:",$H67="Menor o Igual A:"),"Desde (&gt;):",
IF($H67="Igual A:","No Aplica",
IF($H67="",""))))</f>
        <v>Desde (&gt;):</v>
      </c>
      <c r="K67" s="375">
        <f t="shared" si="11"/>
        <v>90</v>
      </c>
      <c r="L67" s="375" t="str">
        <f t="shared" ref="L67:L106" si="14">IF(OR($H67="Mayor A:",$H67="Menor A:"),"Hasta (&lt;=):",
IF(OR($H67="Mayor o Igual A:",$H67="Menor o Igual A:"),"Hasta (&lt;):",
IF($H67="Igual A:","No Aplica",
IF($H67="",""))))</f>
        <v>Hasta (&lt;):</v>
      </c>
      <c r="M67" s="375">
        <f t="shared" si="12"/>
        <v>95</v>
      </c>
      <c r="N67" s="375" t="str">
        <f t="shared" ref="N67:N106" si="15">IF($H67="Mayor A:","Menor A:",
IF($H67="Menor A:","Mayor A:",
IF($H67="Mayor o Igual A:","Menor o Igual A:",
IF($H67="Menor o Igual A:","Mayor o Igual A:",
IF($H67="Igual A:","Igual A:",
IF($H67="",""))))))</f>
        <v>Menor o Igual A:</v>
      </c>
      <c r="O67" s="376">
        <v>90</v>
      </c>
      <c r="P67" s="389">
        <f>+'10-GESTIÓN FINANCIERA'!F16</f>
        <v>0.95</v>
      </c>
      <c r="Q67" s="389">
        <f>+'10-GESTIÓN FINANCIERA'!G16</f>
        <v>0.95</v>
      </c>
      <c r="R67" s="393" t="str">
        <f>+'10-GESTIÓN FINANCIERA'!O16</f>
        <v>Subdirección de Gestión Financiera
Dirección Administrativa y Financiera</v>
      </c>
    </row>
    <row r="68" spans="2:18" ht="26.4">
      <c r="B68" s="370">
        <f t="shared" si="5"/>
        <v>64</v>
      </c>
      <c r="C68" s="381" t="s">
        <v>729</v>
      </c>
      <c r="D68" s="378" t="s">
        <v>836</v>
      </c>
      <c r="E68" s="387" t="str">
        <f>+'10-GESTIÓN FINANCIERA'!I17</f>
        <v>Porcentaje de los compromisos de pago programados y ejecutados.</v>
      </c>
      <c r="F68" s="387" t="str">
        <f>+'10-GESTIÓN FINANCIERA'!J17</f>
        <v>Valor de pagos realizados / Valor del presupuesto ejecutado</v>
      </c>
      <c r="G68" s="378" t="s">
        <v>753</v>
      </c>
      <c r="H68" s="373" t="s">
        <v>719</v>
      </c>
      <c r="I68" s="374">
        <v>95</v>
      </c>
      <c r="J68" s="375" t="str">
        <f t="shared" si="13"/>
        <v>Desde (&gt;):</v>
      </c>
      <c r="K68" s="375">
        <f t="shared" si="11"/>
        <v>90</v>
      </c>
      <c r="L68" s="375" t="str">
        <f t="shared" si="14"/>
        <v>Hasta (&lt;):</v>
      </c>
      <c r="M68" s="375">
        <f t="shared" si="12"/>
        <v>95</v>
      </c>
      <c r="N68" s="375" t="str">
        <f t="shared" si="15"/>
        <v>Menor o Igual A:</v>
      </c>
      <c r="O68" s="376">
        <v>90</v>
      </c>
      <c r="P68" s="389">
        <f>+'10-GESTIÓN FINANCIERA'!F17</f>
        <v>0.95</v>
      </c>
      <c r="Q68" s="389">
        <f>+'10-GESTIÓN FINANCIERA'!G17</f>
        <v>0.95</v>
      </c>
      <c r="R68" s="393" t="str">
        <f>+'10-GESTIÓN FINANCIERA'!O17</f>
        <v>Subdirección de Gestión Financiera
Dirección Administrativa y Financiera</v>
      </c>
    </row>
    <row r="69" spans="2:18" ht="26.4">
      <c r="B69" s="370">
        <f t="shared" si="5"/>
        <v>65</v>
      </c>
      <c r="C69" s="381" t="s">
        <v>729</v>
      </c>
      <c r="D69" s="378" t="s">
        <v>837</v>
      </c>
      <c r="E69" s="387" t="str">
        <f>+'10-GESTIÓN FINANCIERA'!I18</f>
        <v>Porcentaje de estados financieros de la Entidad elaborados y presentados.</v>
      </c>
      <c r="F69" s="387" t="str">
        <f>+'10-GESTIÓN FINANCIERA'!J18</f>
        <v>Estados Financieros presentados</v>
      </c>
      <c r="G69" s="378" t="s">
        <v>753</v>
      </c>
      <c r="H69" s="373" t="s">
        <v>719</v>
      </c>
      <c r="I69" s="374">
        <v>100</v>
      </c>
      <c r="J69" s="375" t="str">
        <f t="shared" si="13"/>
        <v>Desde (&gt;):</v>
      </c>
      <c r="K69" s="375">
        <f t="shared" si="11"/>
        <v>95</v>
      </c>
      <c r="L69" s="375" t="str">
        <f t="shared" si="14"/>
        <v>Hasta (&lt;):</v>
      </c>
      <c r="M69" s="375">
        <f t="shared" si="12"/>
        <v>100</v>
      </c>
      <c r="N69" s="375" t="str">
        <f t="shared" si="15"/>
        <v>Menor o Igual A:</v>
      </c>
      <c r="O69" s="376">
        <v>95</v>
      </c>
      <c r="P69" s="389">
        <f>+'10-GESTIÓN FINANCIERA'!F18</f>
        <v>1</v>
      </c>
      <c r="Q69" s="389">
        <f>+'10-GESTIÓN FINANCIERA'!G18</f>
        <v>1</v>
      </c>
      <c r="R69" s="393" t="str">
        <f>+'10-GESTIÓN FINANCIERA'!O18</f>
        <v>Subdirección de Gestión Financiera
Dirección Administrativa y Financiera</v>
      </c>
    </row>
    <row r="70" spans="2:18" ht="26.4">
      <c r="B70" s="370">
        <f t="shared" si="5"/>
        <v>66</v>
      </c>
      <c r="C70" s="380" t="s">
        <v>730</v>
      </c>
      <c r="D70" s="378" t="s">
        <v>824</v>
      </c>
      <c r="E70" s="387" t="str">
        <f>+'11-GESTIÓN CONTRACTUAL'!I16</f>
        <v xml:space="preserve">Porcentaje del Plan Anual de Adquisiciones ejecutado </v>
      </c>
      <c r="F70" s="387" t="str">
        <f>+'11-GESTIÓN CONTRACTUAL'!J16</f>
        <v>No. de adquisiciones realizadas /Total de adquisiciones planeadas *100</v>
      </c>
      <c r="G70" s="378" t="s">
        <v>753</v>
      </c>
      <c r="H70" s="373" t="s">
        <v>719</v>
      </c>
      <c r="I70" s="374">
        <v>95</v>
      </c>
      <c r="J70" s="375" t="str">
        <f t="shared" si="13"/>
        <v>Desde (&gt;):</v>
      </c>
      <c r="K70" s="375">
        <f t="shared" si="11"/>
        <v>90</v>
      </c>
      <c r="L70" s="375" t="str">
        <f t="shared" si="14"/>
        <v>Hasta (&lt;):</v>
      </c>
      <c r="M70" s="375">
        <f t="shared" si="12"/>
        <v>95</v>
      </c>
      <c r="N70" s="375" t="str">
        <f t="shared" si="15"/>
        <v>Menor o Igual A:</v>
      </c>
      <c r="O70" s="376">
        <v>90</v>
      </c>
      <c r="P70" s="389">
        <f>+'11-GESTIÓN CONTRACTUAL'!F16</f>
        <v>0.95</v>
      </c>
      <c r="Q70" s="389">
        <f>+'11-GESTIÓN CONTRACTUAL'!G16</f>
        <v>0.95</v>
      </c>
      <c r="R70" s="393" t="str">
        <f>+'11-GESTIÓN CONTRACTUAL'!O16</f>
        <v>Subdirección de Gestión Contractual
Dirección Administrativa y Financiera</v>
      </c>
    </row>
    <row r="71" spans="2:18" ht="52.8">
      <c r="B71" s="370">
        <f t="shared" si="5"/>
        <v>67</v>
      </c>
      <c r="C71" s="380" t="s">
        <v>730</v>
      </c>
      <c r="D71" s="378" t="s">
        <v>913</v>
      </c>
      <c r="E71" s="387" t="s">
        <v>903</v>
      </c>
      <c r="F71" s="387" t="s">
        <v>906</v>
      </c>
      <c r="G71" s="378" t="s">
        <v>757</v>
      </c>
      <c r="H71" s="373" t="s">
        <v>719</v>
      </c>
      <c r="I71" s="374">
        <v>95</v>
      </c>
      <c r="J71" s="375" t="str">
        <f t="shared" si="13"/>
        <v>Desde (&gt;):</v>
      </c>
      <c r="K71" s="375">
        <f t="shared" si="11"/>
        <v>80</v>
      </c>
      <c r="L71" s="375" t="str">
        <f t="shared" si="14"/>
        <v>Hasta (&lt;):</v>
      </c>
      <c r="M71" s="375">
        <f t="shared" si="12"/>
        <v>95</v>
      </c>
      <c r="N71" s="375" t="str">
        <f t="shared" si="15"/>
        <v>Menor o Igual A:</v>
      </c>
      <c r="O71" s="376">
        <v>80</v>
      </c>
      <c r="P71" s="389">
        <f>+'11-GESTIÓN CONTRACTUAL'!F17</f>
        <v>0.95</v>
      </c>
      <c r="Q71" s="389">
        <f>+'11-GESTIÓN CONTRACTUAL'!G17</f>
        <v>0.8</v>
      </c>
      <c r="R71" s="393" t="str">
        <f>+'11-GESTIÓN CONTRACTUAL'!O17</f>
        <v>Subdirección de Gestión Contractual</v>
      </c>
    </row>
    <row r="72" spans="2:18" ht="92.4">
      <c r="B72" s="370">
        <f t="shared" ref="B72" si="16">1+B71</f>
        <v>68</v>
      </c>
      <c r="C72" s="380" t="s">
        <v>730</v>
      </c>
      <c r="D72" s="378" t="s">
        <v>914</v>
      </c>
      <c r="E72" s="387" t="s">
        <v>904</v>
      </c>
      <c r="F72" s="387" t="s">
        <v>912</v>
      </c>
      <c r="G72" s="378" t="s">
        <v>757</v>
      </c>
      <c r="H72" s="373" t="s">
        <v>719</v>
      </c>
      <c r="I72" s="374">
        <v>95</v>
      </c>
      <c r="J72" s="375" t="str">
        <f t="shared" si="13"/>
        <v>Desde (&gt;):</v>
      </c>
      <c r="K72" s="375">
        <f t="shared" si="11"/>
        <v>80</v>
      </c>
      <c r="L72" s="375" t="str">
        <f t="shared" si="14"/>
        <v>Hasta (&lt;):</v>
      </c>
      <c r="M72" s="375">
        <f t="shared" si="12"/>
        <v>95</v>
      </c>
      <c r="N72" s="375" t="str">
        <f t="shared" si="15"/>
        <v>Menor o Igual A:</v>
      </c>
      <c r="O72" s="376">
        <v>80</v>
      </c>
      <c r="P72" s="389">
        <f>+'11-GESTIÓN CONTRACTUAL'!F18</f>
        <v>0.95</v>
      </c>
      <c r="Q72" s="389">
        <f>+'11-GESTIÓN CONTRACTUAL'!G18</f>
        <v>0.8</v>
      </c>
      <c r="R72" s="393" t="str">
        <f>+'11-GESTIÓN CONTRACTUAL'!O18</f>
        <v>Subdirección de Gestión Contractual</v>
      </c>
    </row>
    <row r="73" spans="2:18" ht="92.4">
      <c r="B73" s="370">
        <f t="shared" si="5"/>
        <v>69</v>
      </c>
      <c r="C73" s="380" t="s">
        <v>730</v>
      </c>
      <c r="D73" s="378" t="s">
        <v>915</v>
      </c>
      <c r="E73" s="387" t="s">
        <v>905</v>
      </c>
      <c r="F73" s="387" t="s">
        <v>911</v>
      </c>
      <c r="G73" s="378" t="s">
        <v>757</v>
      </c>
      <c r="H73" s="373" t="s">
        <v>719</v>
      </c>
      <c r="I73" s="374">
        <v>95</v>
      </c>
      <c r="J73" s="375" t="str">
        <f t="shared" si="13"/>
        <v>Desde (&gt;):</v>
      </c>
      <c r="K73" s="375">
        <f t="shared" si="11"/>
        <v>80</v>
      </c>
      <c r="L73" s="375" t="str">
        <f t="shared" si="14"/>
        <v>Hasta (&lt;):</v>
      </c>
      <c r="M73" s="375">
        <f t="shared" si="12"/>
        <v>95</v>
      </c>
      <c r="N73" s="375" t="str">
        <f t="shared" si="15"/>
        <v>Menor o Igual A:</v>
      </c>
      <c r="O73" s="376">
        <v>80</v>
      </c>
      <c r="P73" s="389">
        <f>+'11-GESTIÓN CONTRACTUAL'!F19</f>
        <v>0.95</v>
      </c>
      <c r="Q73" s="389">
        <f>+'11-GESTIÓN CONTRACTUAL'!G19</f>
        <v>0.8</v>
      </c>
      <c r="R73" s="393" t="str">
        <f>+'11-GESTIÓN CONTRACTUAL'!O19</f>
        <v>Subdirección de Gestión Contractual</v>
      </c>
    </row>
    <row r="74" spans="2:18" ht="58.2" customHeight="1">
      <c r="B74" s="370">
        <f t="shared" ref="B74" si="17">1+B73</f>
        <v>70</v>
      </c>
      <c r="C74" s="381" t="s">
        <v>731</v>
      </c>
      <c r="D74" s="378" t="s">
        <v>825</v>
      </c>
      <c r="E74" s="387" t="str">
        <f>+'12-GESTIÓN DOCUMENTAL'!I16</f>
        <v>Porcentaje de Comunicaciones oficiales con reparto realizado dentro de los 3 días hábiles desde su radicación</v>
      </c>
      <c r="F74" s="387" t="str">
        <f>+'12-GESTIÓN DOCUMENTAL'!J16</f>
        <v>No comunicaciones entregadas a las dependencias internas dentro de los 3 días hábiles de su recepción / Numero de comunicaciones recibidas en el Grupo de Correspondencia</v>
      </c>
      <c r="G74" s="378" t="s">
        <v>757</v>
      </c>
      <c r="H74" s="373" t="s">
        <v>724</v>
      </c>
      <c r="I74" s="374">
        <v>95</v>
      </c>
      <c r="J74" s="375" t="str">
        <f t="shared" si="13"/>
        <v>Desde (&gt;=):</v>
      </c>
      <c r="K74" s="375">
        <f t="shared" si="11"/>
        <v>90</v>
      </c>
      <c r="L74" s="375" t="str">
        <f t="shared" si="14"/>
        <v>Hasta (&lt;=):</v>
      </c>
      <c r="M74" s="375">
        <f t="shared" si="12"/>
        <v>95</v>
      </c>
      <c r="N74" s="375" t="str">
        <f t="shared" si="15"/>
        <v>Menor A:</v>
      </c>
      <c r="O74" s="376">
        <v>90</v>
      </c>
      <c r="P74" s="389">
        <f>+'12-GESTIÓN DOCUMENTAL'!F16</f>
        <v>0.95</v>
      </c>
      <c r="Q74" s="389">
        <f>+'12-GESTIÓN DOCUMENTAL'!G16</f>
        <v>0.95</v>
      </c>
      <c r="R74" s="393" t="str">
        <f>+'12-GESTIÓN DOCUMENTAL'!O16</f>
        <v>Subdirección de Gestión Documental y Recursos Físicos - Grupo de Correspondencia</v>
      </c>
    </row>
    <row r="75" spans="2:18" ht="54" customHeight="1">
      <c r="B75" s="370">
        <f t="shared" ref="B75:B91" si="18">1+B74</f>
        <v>71</v>
      </c>
      <c r="C75" s="381" t="s">
        <v>731</v>
      </c>
      <c r="D75" s="378" t="s">
        <v>840</v>
      </c>
      <c r="E75" s="387" t="str">
        <f>+'12-GESTIÓN DOCUMENTAL'!I17</f>
        <v>Porcentaje de documentación incorporada en el archivo central durante la vigencia.</v>
      </c>
      <c r="F75" s="387" t="str">
        <f>+'12-GESTIÓN DOCUMENTAL'!J17</f>
        <v xml:space="preserve">Metros lineales incorporados al archivo central/ Metros lineales recibidos para incorporar al archivo central que cumplen los requisitos </v>
      </c>
      <c r="G75" s="378" t="s">
        <v>753</v>
      </c>
      <c r="H75" s="373" t="s">
        <v>724</v>
      </c>
      <c r="I75" s="374">
        <v>100</v>
      </c>
      <c r="J75" s="375" t="str">
        <f t="shared" si="13"/>
        <v>Desde (&gt;=):</v>
      </c>
      <c r="K75" s="375">
        <f t="shared" si="11"/>
        <v>93</v>
      </c>
      <c r="L75" s="375" t="str">
        <f t="shared" si="14"/>
        <v>Hasta (&lt;=):</v>
      </c>
      <c r="M75" s="375">
        <f t="shared" si="12"/>
        <v>100</v>
      </c>
      <c r="N75" s="375" t="str">
        <f t="shared" si="15"/>
        <v>Menor A:</v>
      </c>
      <c r="O75" s="376">
        <v>93</v>
      </c>
      <c r="P75" s="389">
        <f>+'12-GESTIÓN DOCUMENTAL'!F17</f>
        <v>0.8</v>
      </c>
      <c r="Q75" s="389">
        <f>+'12-GESTIÓN DOCUMENTAL'!G17</f>
        <v>0.8</v>
      </c>
      <c r="R75" s="393" t="str">
        <f>+'12-GESTIÓN DOCUMENTAL'!O17</f>
        <v>Subdirección de Gestión Documental y Recursos Físicos - Archivo central</v>
      </c>
    </row>
    <row r="76" spans="2:18" ht="52.8">
      <c r="B76" s="370">
        <f t="shared" si="18"/>
        <v>72</v>
      </c>
      <c r="C76" s="381" t="s">
        <v>731</v>
      </c>
      <c r="D76" s="378" t="s">
        <v>841</v>
      </c>
      <c r="E76" s="387" t="str">
        <f>+'12-GESTIÓN DOCUMENTAL'!I18</f>
        <v>Cantidad de actividades realizadas por año para el diseño, actualización o ajuste de los instrumentos archivísticos establecidos por norma</v>
      </c>
      <c r="F76" s="387" t="str">
        <f>+'12-GESTIÓN DOCUMENTAL'!J18</f>
        <v>Cantidad de actividades de diseño, actualización o ajuste de los instrumentos archivisticos establecidos por norma.</v>
      </c>
      <c r="G76" s="378" t="s">
        <v>753</v>
      </c>
      <c r="H76" s="373" t="s">
        <v>719</v>
      </c>
      <c r="I76" s="374">
        <v>100</v>
      </c>
      <c r="J76" s="375" t="str">
        <f t="shared" si="13"/>
        <v>Desde (&gt;):</v>
      </c>
      <c r="K76" s="375">
        <f t="shared" si="11"/>
        <v>80</v>
      </c>
      <c r="L76" s="375" t="str">
        <f t="shared" si="14"/>
        <v>Hasta (&lt;):</v>
      </c>
      <c r="M76" s="375">
        <f t="shared" si="12"/>
        <v>100</v>
      </c>
      <c r="N76" s="375" t="str">
        <f t="shared" si="15"/>
        <v>Menor o Igual A:</v>
      </c>
      <c r="O76" s="376">
        <v>80</v>
      </c>
      <c r="P76" s="395">
        <f>+'12-GESTIÓN DOCUMENTAL'!F18</f>
        <v>100</v>
      </c>
      <c r="Q76" s="395">
        <f>+'12-GESTIÓN DOCUMENTAL'!G18</f>
        <v>25</v>
      </c>
      <c r="R76" s="393" t="str">
        <f>+'12-GESTIÓN DOCUMENTAL'!O18</f>
        <v xml:space="preserve">Subdirección de Gestión Documental y Recursos Físicos </v>
      </c>
    </row>
    <row r="77" spans="2:18" ht="52.8">
      <c r="B77" s="370">
        <f t="shared" si="18"/>
        <v>73</v>
      </c>
      <c r="C77" s="381" t="s">
        <v>731</v>
      </c>
      <c r="D77" s="378" t="s">
        <v>842</v>
      </c>
      <c r="E77" s="387" t="str">
        <f>+'12-GESTIÓN DOCUMENTAL'!I19</f>
        <v>Cantidad de actividades realizadas por año para implementación de los instrumentos archivísticos establecidos por norma, y de herramientas de apoyo a la gestión documental.</v>
      </c>
      <c r="F77" s="387" t="str">
        <f>+'12-GESTIÓN DOCUMENTAL'!J19</f>
        <v>Cantidad de actividades de implementación de los instrumentos archivisticos establecidos por norma.</v>
      </c>
      <c r="G77" s="378" t="s">
        <v>753</v>
      </c>
      <c r="H77" s="373" t="s">
        <v>719</v>
      </c>
      <c r="I77" s="374">
        <v>100</v>
      </c>
      <c r="J77" s="375" t="str">
        <f t="shared" si="13"/>
        <v>Desde (&gt;):</v>
      </c>
      <c r="K77" s="375">
        <f t="shared" si="11"/>
        <v>80</v>
      </c>
      <c r="L77" s="375" t="str">
        <f t="shared" si="14"/>
        <v>Hasta (&lt;):</v>
      </c>
      <c r="M77" s="375">
        <f t="shared" si="12"/>
        <v>100</v>
      </c>
      <c r="N77" s="375" t="str">
        <f t="shared" si="15"/>
        <v>Menor o Igual A:</v>
      </c>
      <c r="O77" s="376">
        <v>80</v>
      </c>
      <c r="P77" s="395">
        <f>+'12-GESTIÓN DOCUMENTAL'!F19</f>
        <v>100</v>
      </c>
      <c r="Q77" s="395">
        <f>+'12-GESTIÓN DOCUMENTAL'!G19</f>
        <v>25</v>
      </c>
      <c r="R77" s="393" t="str">
        <f>+'12-GESTIÓN DOCUMENTAL'!O19</f>
        <v>Subdirección de Gestión Documental y Recursos Físicos
Dirección de Tecnologías de la Información y Comunicaciones</v>
      </c>
    </row>
    <row r="78" spans="2:18" ht="73.2" customHeight="1">
      <c r="B78" s="370">
        <f t="shared" si="18"/>
        <v>74</v>
      </c>
      <c r="C78" s="380" t="s">
        <v>732</v>
      </c>
      <c r="D78" s="378" t="s">
        <v>838</v>
      </c>
      <c r="E78" s="387" t="str">
        <f>+'13-GESTIÓN JURÍDICA'!I16</f>
        <v>Porcentaje de procesos judiciales en los que se vincule o demande a la Entidad, objeto de representación oportuna</v>
      </c>
      <c r="F78" s="387" t="str">
        <f>+'13-GESTIÓN JURÍDICA'!J16</f>
        <v>(Número de procesos judiciales en los que se representa oportunamente, de acuerdo con los términos fijados por los despachos judiciales / Número total de procesos judiciales en los que se vincula la Entidad )  (x 100)</v>
      </c>
      <c r="G78" s="378" t="s">
        <v>753</v>
      </c>
      <c r="H78" s="373" t="s">
        <v>719</v>
      </c>
      <c r="I78" s="374">
        <v>100</v>
      </c>
      <c r="J78" s="375" t="str">
        <f t="shared" si="13"/>
        <v>Desde (&gt;):</v>
      </c>
      <c r="K78" s="375">
        <f t="shared" si="11"/>
        <v>90</v>
      </c>
      <c r="L78" s="375" t="str">
        <f t="shared" si="14"/>
        <v>Hasta (&lt;):</v>
      </c>
      <c r="M78" s="375">
        <f t="shared" si="12"/>
        <v>100</v>
      </c>
      <c r="N78" s="375" t="str">
        <f t="shared" si="15"/>
        <v>Menor o Igual A:</v>
      </c>
      <c r="O78" s="376">
        <v>90</v>
      </c>
      <c r="P78" s="389">
        <f>+'13-GESTIÓN JURÍDICA'!F16</f>
        <v>1</v>
      </c>
      <c r="Q78" s="389">
        <f>+'13-GESTIÓN JURÍDICA'!G16</f>
        <v>1</v>
      </c>
      <c r="R78" s="393" t="str">
        <f>+'13-GESTIÓN JURÍDICA'!O16</f>
        <v>Oficina Asesora Jurídica</v>
      </c>
    </row>
    <row r="79" spans="2:18" ht="66">
      <c r="B79" s="370">
        <f t="shared" si="18"/>
        <v>75</v>
      </c>
      <c r="C79" s="380" t="s">
        <v>732</v>
      </c>
      <c r="D79" s="378" t="s">
        <v>845</v>
      </c>
      <c r="E79" s="387" t="str">
        <f>+'13-GESTIÓN JURÍDICA'!I17</f>
        <v xml:space="preserve">Porcentaje de acciones de tutela en las cuales se defienda judicialmente a la Entidad oportunamente </v>
      </c>
      <c r="F79" s="387"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378" t="s">
        <v>753</v>
      </c>
      <c r="H79" s="373" t="s">
        <v>719</v>
      </c>
      <c r="I79" s="374">
        <v>100</v>
      </c>
      <c r="J79" s="375" t="str">
        <f t="shared" si="13"/>
        <v>Desde (&gt;):</v>
      </c>
      <c r="K79" s="375">
        <f t="shared" si="11"/>
        <v>90</v>
      </c>
      <c r="L79" s="375" t="str">
        <f t="shared" si="14"/>
        <v>Hasta (&lt;):</v>
      </c>
      <c r="M79" s="375">
        <f t="shared" si="12"/>
        <v>100</v>
      </c>
      <c r="N79" s="375" t="str">
        <f t="shared" si="15"/>
        <v>Menor o Igual A:</v>
      </c>
      <c r="O79" s="376">
        <v>90</v>
      </c>
      <c r="P79" s="389">
        <f>+'13-GESTIÓN JURÍDICA'!F17</f>
        <v>1</v>
      </c>
      <c r="Q79" s="389">
        <f>+'13-GESTIÓN JURÍDICA'!G17</f>
        <v>1</v>
      </c>
      <c r="R79" s="393" t="str">
        <f>+'13-GESTIÓN JURÍDICA'!O17</f>
        <v>Oficina Asesora Jurídica</v>
      </c>
    </row>
    <row r="80" spans="2:18" ht="52.8">
      <c r="B80" s="370">
        <f t="shared" si="18"/>
        <v>76</v>
      </c>
      <c r="C80" s="380" t="s">
        <v>732</v>
      </c>
      <c r="D80" s="378" t="s">
        <v>846</v>
      </c>
      <c r="E80" s="387" t="str">
        <f>+'13-GESTIÓN JURÍDICA'!I18</f>
        <v>Porcentaje de conceptos de competencia de la dependencia emitidos oportunamente</v>
      </c>
      <c r="F80" s="387" t="str">
        <f>+'13-GESTIÓN JURÍDICA'!J18</f>
        <v>Número de conceptos emitidos oportunamente / Número de solicitudes de conceptos jurídicos recibidas de competencia de la dependencia (x100)</v>
      </c>
      <c r="G80" s="378" t="s">
        <v>753</v>
      </c>
      <c r="H80" s="373" t="s">
        <v>719</v>
      </c>
      <c r="I80" s="374">
        <v>100</v>
      </c>
      <c r="J80" s="375" t="str">
        <f t="shared" si="13"/>
        <v>Desde (&gt;):</v>
      </c>
      <c r="K80" s="375">
        <f t="shared" si="11"/>
        <v>90</v>
      </c>
      <c r="L80" s="375" t="str">
        <f t="shared" si="14"/>
        <v>Hasta (&lt;):</v>
      </c>
      <c r="M80" s="375">
        <f t="shared" si="12"/>
        <v>100</v>
      </c>
      <c r="N80" s="375" t="str">
        <f t="shared" si="15"/>
        <v>Menor o Igual A:</v>
      </c>
      <c r="O80" s="376">
        <v>90</v>
      </c>
      <c r="P80" s="389">
        <f>+'13-GESTIÓN JURÍDICA'!F18</f>
        <v>1</v>
      </c>
      <c r="Q80" s="389">
        <f>+'13-GESTIÓN JURÍDICA'!G18</f>
        <v>1</v>
      </c>
      <c r="R80" s="393" t="str">
        <f>+'13-GESTIÓN JURÍDICA'!O18</f>
        <v>Oficina Asesora Jurídica</v>
      </c>
    </row>
    <row r="81" spans="2:18" ht="39.6">
      <c r="B81" s="370">
        <f t="shared" si="18"/>
        <v>77</v>
      </c>
      <c r="C81" s="380" t="s">
        <v>732</v>
      </c>
      <c r="D81" s="378" t="s">
        <v>847</v>
      </c>
      <c r="E81" s="387" t="str">
        <f>+'13-GESTIÓN JURÍDICA'!I19</f>
        <v>Porcentaje de reportes de la base de datos de sanciones disciplinarias registrados</v>
      </c>
      <c r="F81" s="387" t="str">
        <f>+'13-GESTIÓN JURÍDICA'!J19</f>
        <v>Número de reportes actualizados / Número de solicitudes de actualización de reportes recibidos (x100)</v>
      </c>
      <c r="G81" s="378" t="s">
        <v>753</v>
      </c>
      <c r="H81" s="373" t="s">
        <v>719</v>
      </c>
      <c r="I81" s="374">
        <v>100</v>
      </c>
      <c r="J81" s="375" t="str">
        <f t="shared" si="13"/>
        <v>Desde (&gt;):</v>
      </c>
      <c r="K81" s="375">
        <f t="shared" si="11"/>
        <v>90</v>
      </c>
      <c r="L81" s="375" t="str">
        <f t="shared" si="14"/>
        <v>Hasta (&lt;):</v>
      </c>
      <c r="M81" s="375">
        <f t="shared" si="12"/>
        <v>100</v>
      </c>
      <c r="N81" s="375" t="str">
        <f t="shared" si="15"/>
        <v>Menor o Igual A:</v>
      </c>
      <c r="O81" s="376">
        <v>90</v>
      </c>
      <c r="P81" s="389">
        <f>+'13-GESTIÓN JURÍDICA'!F19</f>
        <v>1</v>
      </c>
      <c r="Q81" s="389">
        <f>+'13-GESTIÓN JURÍDICA'!G19</f>
        <v>1</v>
      </c>
      <c r="R81" s="393" t="str">
        <f>+'13-GESTIÓN JURÍDICA'!O19</f>
        <v>Oficina Asesora Jurídica</v>
      </c>
    </row>
    <row r="82" spans="2:18" ht="39.6">
      <c r="B82" s="370">
        <f t="shared" si="18"/>
        <v>78</v>
      </c>
      <c r="C82" s="380" t="s">
        <v>732</v>
      </c>
      <c r="D82" s="378" t="s">
        <v>848</v>
      </c>
      <c r="E82" s="387" t="str">
        <f>+'13-GESTIÓN JURÍDICA'!I20</f>
        <v>Porcentaje de antecedentes disciplinarios expedidos</v>
      </c>
      <c r="F82" s="387" t="str">
        <f>+'13-GESTIÓN JURÍDICA'!J20</f>
        <v>Número de antecedentes disciplinarios expedidos / Número de antecedentes disciplinarios solicitados (x100)</v>
      </c>
      <c r="G82" s="378" t="s">
        <v>753</v>
      </c>
      <c r="H82" s="373" t="s">
        <v>719</v>
      </c>
      <c r="I82" s="374">
        <v>100</v>
      </c>
      <c r="J82" s="375" t="str">
        <f t="shared" si="13"/>
        <v>Desde (&gt;):</v>
      </c>
      <c r="K82" s="375">
        <f t="shared" si="11"/>
        <v>90</v>
      </c>
      <c r="L82" s="375" t="str">
        <f t="shared" si="14"/>
        <v>Hasta (&lt;):</v>
      </c>
      <c r="M82" s="375">
        <f t="shared" si="12"/>
        <v>100</v>
      </c>
      <c r="N82" s="375" t="str">
        <f t="shared" si="15"/>
        <v>Menor o Igual A:</v>
      </c>
      <c r="O82" s="376">
        <v>90</v>
      </c>
      <c r="P82" s="389">
        <f>+'13-GESTIÓN JURÍDICA'!F20</f>
        <v>1</v>
      </c>
      <c r="Q82" s="389">
        <f>+'13-GESTIÓN JURÍDICA'!G20</f>
        <v>1</v>
      </c>
      <c r="R82" s="393" t="str">
        <f>+'13-GESTIÓN JURÍDICA'!O20</f>
        <v>Oficina Asesora Jurídica</v>
      </c>
    </row>
    <row r="83" spans="2:18" ht="39.6">
      <c r="B83" s="370">
        <f t="shared" si="18"/>
        <v>79</v>
      </c>
      <c r="C83" s="381" t="s">
        <v>733</v>
      </c>
      <c r="D83" s="378" t="s">
        <v>839</v>
      </c>
      <c r="E83" s="386" t="str">
        <f>+'14-SERVICIO AL USUARIO'!I16</f>
        <v>Porcentaje de Percepción de los usuarios en calificación excelente y bueno incrementado</v>
      </c>
      <c r="F83" s="386" t="str">
        <f>+'14-SERVICIO AL USUARIO'!J16</f>
        <v>(Número total de encuestas con calificación excelente y bueno/Número total de encuestras registradas)*100</v>
      </c>
      <c r="G83" s="378" t="s">
        <v>753</v>
      </c>
      <c r="H83" s="373" t="s">
        <v>724</v>
      </c>
      <c r="I83" s="374">
        <v>90</v>
      </c>
      <c r="J83" s="375" t="str">
        <f t="shared" si="13"/>
        <v>Desde (&gt;=):</v>
      </c>
      <c r="K83" s="375">
        <f t="shared" si="11"/>
        <v>70</v>
      </c>
      <c r="L83" s="375" t="str">
        <f t="shared" si="14"/>
        <v>Hasta (&lt;=):</v>
      </c>
      <c r="M83" s="375">
        <f t="shared" si="12"/>
        <v>90</v>
      </c>
      <c r="N83" s="375" t="str">
        <f t="shared" si="15"/>
        <v>Menor A:</v>
      </c>
      <c r="O83" s="376">
        <v>70</v>
      </c>
      <c r="P83" s="389">
        <f>+'14-SERVICIO AL USUARIO'!F16</f>
        <v>0.9</v>
      </c>
      <c r="Q83" s="389">
        <f>+'14-SERVICIO AL USUARIO'!G16</f>
        <v>0.9</v>
      </c>
      <c r="R83" s="393" t="str">
        <f>+'14-SERVICIO AL USUARIO'!O16</f>
        <v>Secretaría General</v>
      </c>
    </row>
    <row r="84" spans="2:18" ht="24.6" customHeight="1">
      <c r="B84" s="370">
        <f t="shared" si="18"/>
        <v>80</v>
      </c>
      <c r="C84" s="381" t="s">
        <v>733</v>
      </c>
      <c r="D84" s="378" t="s">
        <v>849</v>
      </c>
      <c r="E84" s="386" t="str">
        <f>+'14-SERVICIO AL USUARIO'!I17</f>
        <v>Lineamientos implementados</v>
      </c>
      <c r="F84" s="386" t="str">
        <f>+'14-SERVICIO AL USUARIO'!J17</f>
        <v>Número de lineamientos implementados en el periodo</v>
      </c>
      <c r="G84" s="378" t="s">
        <v>753</v>
      </c>
      <c r="H84" s="373" t="s">
        <v>724</v>
      </c>
      <c r="I84" s="374">
        <v>90</v>
      </c>
      <c r="J84" s="375" t="str">
        <f t="shared" si="13"/>
        <v>Desde (&gt;=):</v>
      </c>
      <c r="K84" s="375">
        <f t="shared" si="11"/>
        <v>70</v>
      </c>
      <c r="L84" s="375" t="str">
        <f t="shared" si="14"/>
        <v>Hasta (&lt;=):</v>
      </c>
      <c r="M84" s="375">
        <f t="shared" si="12"/>
        <v>90</v>
      </c>
      <c r="N84" s="375" t="str">
        <f t="shared" si="15"/>
        <v>Menor A:</v>
      </c>
      <c r="O84" s="376">
        <v>70</v>
      </c>
      <c r="P84" s="370">
        <f>+'14-SERVICIO AL USUARIO'!F17</f>
        <v>7</v>
      </c>
      <c r="Q84" s="370">
        <f>+'14-SERVICIO AL USUARIO'!G17</f>
        <v>3</v>
      </c>
      <c r="R84" s="393" t="str">
        <f>+'14-SERVICIO AL USUARIO'!O17</f>
        <v>Secretaría General</v>
      </c>
    </row>
    <row r="85" spans="2:18" ht="31.2" customHeight="1">
      <c r="B85" s="370">
        <f t="shared" si="18"/>
        <v>81</v>
      </c>
      <c r="C85" s="381" t="s">
        <v>733</v>
      </c>
      <c r="D85" s="378" t="s">
        <v>850</v>
      </c>
      <c r="E85" s="386" t="str">
        <f>+'14-SERVICIO AL USUARIO'!I18</f>
        <v>Acuerdos interinstitucionales gestionados</v>
      </c>
      <c r="F85" s="386" t="str">
        <f>+'14-SERVICIO AL USUARIO'!J18</f>
        <v>Número de acuerdos interinstitucionales gestionados en el periodo</v>
      </c>
      <c r="G85" s="378" t="s">
        <v>753</v>
      </c>
      <c r="H85" s="373" t="s">
        <v>724</v>
      </c>
      <c r="I85" s="374">
        <v>90</v>
      </c>
      <c r="J85" s="375" t="str">
        <f t="shared" si="13"/>
        <v>Desde (&gt;=):</v>
      </c>
      <c r="K85" s="375">
        <f t="shared" si="11"/>
        <v>70</v>
      </c>
      <c r="L85" s="375" t="str">
        <f t="shared" si="14"/>
        <v>Hasta (&lt;=):</v>
      </c>
      <c r="M85" s="375">
        <f t="shared" si="12"/>
        <v>90</v>
      </c>
      <c r="N85" s="375" t="str">
        <f t="shared" si="15"/>
        <v>Menor A:</v>
      </c>
      <c r="O85" s="376">
        <v>70</v>
      </c>
      <c r="P85" s="370">
        <f>+'14-SERVICIO AL USUARIO'!F18</f>
        <v>3</v>
      </c>
      <c r="Q85" s="370">
        <f>+'14-SERVICIO AL USUARIO'!G18</f>
        <v>1</v>
      </c>
      <c r="R85" s="393" t="str">
        <f>+'14-SERVICIO AL USUARIO'!O18</f>
        <v>Secretaría General</v>
      </c>
    </row>
    <row r="86" spans="2:18" ht="35.4" customHeight="1">
      <c r="B86" s="370">
        <f t="shared" si="18"/>
        <v>82</v>
      </c>
      <c r="C86" s="380" t="s">
        <v>734</v>
      </c>
      <c r="D86" s="378" t="s">
        <v>843</v>
      </c>
      <c r="E86" s="382" t="str">
        <f>+'15-CTRL DISCIPLINARIO INTERNO'!I16</f>
        <v>Medidas de preservación del orden interno emitidas</v>
      </c>
      <c r="F86" s="382" t="str">
        <f>+'15-CTRL DISCIPLINARIO INTERNO'!J16</f>
        <v>Número de medidas de preservación del orden interno emitidas</v>
      </c>
      <c r="G86" s="378" t="s">
        <v>753</v>
      </c>
      <c r="H86" s="373" t="s">
        <v>719</v>
      </c>
      <c r="I86" s="374">
        <v>100</v>
      </c>
      <c r="J86" s="375" t="str">
        <f t="shared" si="13"/>
        <v>Desde (&gt;):</v>
      </c>
      <c r="K86" s="375">
        <f t="shared" si="11"/>
        <v>79</v>
      </c>
      <c r="L86" s="375" t="str">
        <f t="shared" si="14"/>
        <v>Hasta (&lt;):</v>
      </c>
      <c r="M86" s="375">
        <f t="shared" si="12"/>
        <v>100</v>
      </c>
      <c r="N86" s="375" t="str">
        <f t="shared" si="15"/>
        <v>Menor o Igual A:</v>
      </c>
      <c r="O86" s="376">
        <v>79</v>
      </c>
      <c r="P86" s="370">
        <f>+'15-CTRL DISCIPLINARIO INTERNO'!F16</f>
        <v>148</v>
      </c>
      <c r="Q86" s="370">
        <f>+'15-CTRL DISCIPLINARIO INTERNO'!G16</f>
        <v>52</v>
      </c>
      <c r="R86" s="393" t="str">
        <f>+'15-CTRL DISCIPLINARIO INTERNO'!O16</f>
        <v>Oficina Control Interno Disciplinario</v>
      </c>
    </row>
    <row r="87" spans="2:18">
      <c r="B87" s="370">
        <f t="shared" si="18"/>
        <v>83</v>
      </c>
      <c r="C87" s="380" t="s">
        <v>734</v>
      </c>
      <c r="D87" s="378" t="s">
        <v>851</v>
      </c>
      <c r="E87" s="382" t="str">
        <f>+'15-CTRL DISCIPLINARIO INTERNO'!I17</f>
        <v>Jornadas de sensibilización realizadas</v>
      </c>
      <c r="F87" s="382" t="str">
        <f>+'15-CTRL DISCIPLINARIO INTERNO'!J17</f>
        <v>Número de jornadas de sensibilización realizadas</v>
      </c>
      <c r="G87" s="378" t="s">
        <v>753</v>
      </c>
      <c r="H87" s="373" t="s">
        <v>719</v>
      </c>
      <c r="I87" s="374">
        <v>100</v>
      </c>
      <c r="J87" s="375" t="str">
        <f t="shared" si="13"/>
        <v>Desde (&gt;):</v>
      </c>
      <c r="K87" s="375">
        <f t="shared" si="11"/>
        <v>99</v>
      </c>
      <c r="L87" s="375" t="str">
        <f t="shared" si="14"/>
        <v>Hasta (&lt;):</v>
      </c>
      <c r="M87" s="375">
        <f t="shared" si="12"/>
        <v>100</v>
      </c>
      <c r="N87" s="375" t="str">
        <f t="shared" si="15"/>
        <v>Menor o Igual A:</v>
      </c>
      <c r="O87" s="376">
        <v>99</v>
      </c>
      <c r="P87" s="370">
        <f>+'15-CTRL DISCIPLINARIO INTERNO'!F17</f>
        <v>20</v>
      </c>
      <c r="Q87" s="370">
        <f>+'15-CTRL DISCIPLINARIO INTERNO'!G17</f>
        <v>6</v>
      </c>
      <c r="R87" s="393" t="str">
        <f>+'15-CTRL DISCIPLINARIO INTERNO'!O17</f>
        <v>Oficina Control Interno Disciplinario</v>
      </c>
    </row>
    <row r="88" spans="2:18" ht="26.4">
      <c r="B88" s="370">
        <f t="shared" si="18"/>
        <v>84</v>
      </c>
      <c r="C88" s="380" t="s">
        <v>734</v>
      </c>
      <c r="D88" s="378" t="s">
        <v>852</v>
      </c>
      <c r="E88" s="382" t="str">
        <f>+'15-CTRL DISCIPLINARIO INTERNO'!I18</f>
        <v>Procesos disciplinarios con decisión de fondo proferida</v>
      </c>
      <c r="F88" s="382" t="str">
        <f>+'15-CTRL DISCIPLINARIO INTERNO'!J18</f>
        <v>Número de procesos disciplinarios con decisión de fondo proferidos</v>
      </c>
      <c r="G88" s="378" t="s">
        <v>753</v>
      </c>
      <c r="H88" s="373" t="s">
        <v>719</v>
      </c>
      <c r="I88" s="374">
        <v>100</v>
      </c>
      <c r="J88" s="375" t="str">
        <f t="shared" si="13"/>
        <v>Desde (&gt;):</v>
      </c>
      <c r="K88" s="375">
        <f t="shared" si="11"/>
        <v>70</v>
      </c>
      <c r="L88" s="375" t="str">
        <f t="shared" si="14"/>
        <v>Hasta (&lt;):</v>
      </c>
      <c r="M88" s="375">
        <f t="shared" si="12"/>
        <v>100</v>
      </c>
      <c r="N88" s="375" t="str">
        <f t="shared" si="15"/>
        <v>Menor o Igual A:</v>
      </c>
      <c r="O88" s="376">
        <v>70</v>
      </c>
      <c r="P88" s="370">
        <f>+'15-CTRL DISCIPLINARIO INTERNO'!F18</f>
        <v>400</v>
      </c>
      <c r="Q88" s="370">
        <f>+'15-CTRL DISCIPLINARIO INTERNO'!G18</f>
        <v>100</v>
      </c>
      <c r="R88" s="393" t="str">
        <f>+'15-CTRL DISCIPLINARIO INTERNO'!O18</f>
        <v>Oficina Control Interno Disciplinario</v>
      </c>
    </row>
    <row r="89" spans="2:18" ht="36" customHeight="1">
      <c r="B89" s="370">
        <f t="shared" si="18"/>
        <v>85</v>
      </c>
      <c r="C89" s="381" t="s">
        <v>735</v>
      </c>
      <c r="D89" s="378" t="s">
        <v>844</v>
      </c>
      <c r="E89" s="382" t="str">
        <f>+'16-EVALUACIÓN Y SEGUIMIENTO'!I16</f>
        <v>Programa anual de auditorías ejecutado.</v>
      </c>
      <c r="F89" s="382" t="str">
        <f>+'16-EVALUACIÓN Y SEGUIMIENTO'!J16</f>
        <v>Grado del avance del Programa Anual de Auditoría</v>
      </c>
      <c r="G89" s="378" t="s">
        <v>753</v>
      </c>
      <c r="H89" s="373" t="s">
        <v>719</v>
      </c>
      <c r="I89" s="374">
        <v>90</v>
      </c>
      <c r="J89" s="375" t="str">
        <f t="shared" si="13"/>
        <v>Desde (&gt;):</v>
      </c>
      <c r="K89" s="375">
        <f t="shared" si="11"/>
        <v>69</v>
      </c>
      <c r="L89" s="375" t="str">
        <f t="shared" si="14"/>
        <v>Hasta (&lt;):</v>
      </c>
      <c r="M89" s="375">
        <f t="shared" si="12"/>
        <v>90</v>
      </c>
      <c r="N89" s="375" t="str">
        <f t="shared" si="15"/>
        <v>Menor o Igual A:</v>
      </c>
      <c r="O89" s="376">
        <v>69</v>
      </c>
      <c r="P89" s="370">
        <f>+'16-EVALUACIÓN Y SEGUIMIENTO'!F16</f>
        <v>4</v>
      </c>
      <c r="Q89" s="370">
        <f>+'16-EVALUACIÓN Y SEGUIMIENTO'!G16</f>
        <v>1</v>
      </c>
      <c r="R89" s="393" t="str">
        <f>+'16-EVALUACIÓN Y SEGUIMIENTO'!O16</f>
        <v>Oficina de Control Interno</v>
      </c>
    </row>
    <row r="90" spans="2:18" ht="26.4">
      <c r="B90" s="370">
        <f t="shared" si="18"/>
        <v>86</v>
      </c>
      <c r="C90" s="381" t="s">
        <v>735</v>
      </c>
      <c r="D90" s="378" t="s">
        <v>853</v>
      </c>
      <c r="E90" s="382" t="str">
        <f>+'16-EVALUACIÓN Y SEGUIMIENTO'!I17</f>
        <v>Estrategia de Sensibilización acerca de la Cultura del Control realizada</v>
      </c>
      <c r="F90" s="382" t="str">
        <f>+'16-EVALUACIÓN Y SEGUIMIENTO'!J17</f>
        <v>Número de estratégias de sensibilización acerca de la cultura del control desarrolladas</v>
      </c>
      <c r="G90" s="378" t="s">
        <v>753</v>
      </c>
      <c r="H90" s="373" t="s">
        <v>719</v>
      </c>
      <c r="I90" s="374">
        <v>90</v>
      </c>
      <c r="J90" s="375" t="str">
        <f t="shared" si="13"/>
        <v>Desde (&gt;):</v>
      </c>
      <c r="K90" s="375">
        <f t="shared" si="11"/>
        <v>69</v>
      </c>
      <c r="L90" s="375" t="str">
        <f t="shared" si="14"/>
        <v>Hasta (&lt;):</v>
      </c>
      <c r="M90" s="375">
        <f t="shared" si="12"/>
        <v>90</v>
      </c>
      <c r="N90" s="375" t="str">
        <f t="shared" si="15"/>
        <v>Menor o Igual A:</v>
      </c>
      <c r="O90" s="376">
        <v>69</v>
      </c>
      <c r="P90" s="370">
        <f>+'16-EVALUACIÓN Y SEGUIMIENTO'!F17</f>
        <v>4</v>
      </c>
      <c r="Q90" s="370">
        <f>+'16-EVALUACIÓN Y SEGUIMIENTO'!G17</f>
        <v>1</v>
      </c>
      <c r="R90" s="393" t="str">
        <f>+'16-EVALUACIÓN Y SEGUIMIENTO'!O17</f>
        <v>Oficina de Control Interno</v>
      </c>
    </row>
    <row r="91" spans="2:18" ht="39.6">
      <c r="B91" s="370">
        <f t="shared" si="18"/>
        <v>87</v>
      </c>
      <c r="C91" s="381" t="s">
        <v>735</v>
      </c>
      <c r="D91" s="378" t="s">
        <v>854</v>
      </c>
      <c r="E91" s="382" t="str">
        <f>+'16-EVALUACIÓN Y SEGUIMIENTO'!I18</f>
        <v>Sensibilización a Directivos y Referentes de Gestión sobre la Séptima Dimensión del MIPG realizada</v>
      </c>
      <c r="F91" s="382" t="str">
        <f>+'16-EVALUACIÓN Y SEGUIMIENTO'!J18</f>
        <v>Número de jornadas de Sensibilización realizadas</v>
      </c>
      <c r="G91" s="378" t="s">
        <v>753</v>
      </c>
      <c r="H91" s="373" t="s">
        <v>719</v>
      </c>
      <c r="I91" s="374">
        <v>90</v>
      </c>
      <c r="J91" s="375" t="str">
        <f t="shared" si="13"/>
        <v>Desde (&gt;):</v>
      </c>
      <c r="K91" s="375">
        <f t="shared" si="11"/>
        <v>69</v>
      </c>
      <c r="L91" s="375" t="str">
        <f t="shared" si="14"/>
        <v>Hasta (&lt;):</v>
      </c>
      <c r="M91" s="375">
        <f t="shared" si="12"/>
        <v>90</v>
      </c>
      <c r="N91" s="375" t="str">
        <f t="shared" si="15"/>
        <v>Menor o Igual A:</v>
      </c>
      <c r="O91" s="376">
        <v>69</v>
      </c>
      <c r="P91" s="370">
        <f>+'16-EVALUACIÓN Y SEGUIMIENTO'!F18</f>
        <v>4</v>
      </c>
      <c r="Q91" s="370">
        <f>+'16-EVALUACIÓN Y SEGUIMIENTO'!G18</f>
        <v>1</v>
      </c>
      <c r="R91" s="393" t="str">
        <f>+'16-EVALUACIÓN Y SEGUIMIENTO'!O18</f>
        <v>Oficina de Control Interno</v>
      </c>
    </row>
    <row r="92" spans="2:18">
      <c r="B92" s="370">
        <f t="shared" ref="B92:B106" si="19">1+B91</f>
        <v>88</v>
      </c>
      <c r="C92" s="397"/>
      <c r="D92" s="370"/>
      <c r="E92" s="382"/>
      <c r="F92" s="382"/>
      <c r="G92" s="378"/>
      <c r="H92" s="373"/>
      <c r="I92" s="374"/>
      <c r="J92" s="375" t="str">
        <f t="shared" si="13"/>
        <v/>
      </c>
      <c r="K92" s="375" t="str">
        <f t="shared" si="11"/>
        <v>No Aplica</v>
      </c>
      <c r="L92" s="375" t="str">
        <f t="shared" si="14"/>
        <v/>
      </c>
      <c r="M92" s="375" t="str">
        <f t="shared" si="12"/>
        <v>No Aplica</v>
      </c>
      <c r="N92" s="375" t="str">
        <f t="shared" si="15"/>
        <v/>
      </c>
      <c r="O92" s="376"/>
      <c r="P92" s="370"/>
      <c r="Q92" s="370"/>
      <c r="R92" s="393"/>
    </row>
    <row r="93" spans="2:18">
      <c r="B93" s="370">
        <f t="shared" si="19"/>
        <v>89</v>
      </c>
      <c r="C93" s="397"/>
      <c r="D93" s="370"/>
      <c r="E93" s="382"/>
      <c r="F93" s="382"/>
      <c r="G93" s="378"/>
      <c r="H93" s="373"/>
      <c r="I93" s="374"/>
      <c r="J93" s="375" t="str">
        <f t="shared" si="13"/>
        <v/>
      </c>
      <c r="K93" s="375" t="str">
        <f t="shared" si="11"/>
        <v>No Aplica</v>
      </c>
      <c r="L93" s="375" t="str">
        <f t="shared" si="14"/>
        <v/>
      </c>
      <c r="M93" s="375" t="str">
        <f t="shared" si="12"/>
        <v>No Aplica</v>
      </c>
      <c r="N93" s="375" t="str">
        <f t="shared" si="15"/>
        <v/>
      </c>
      <c r="O93" s="376"/>
      <c r="P93" s="370"/>
      <c r="Q93" s="370"/>
      <c r="R93" s="393"/>
    </row>
    <row r="94" spans="2:18">
      <c r="B94" s="370">
        <f t="shared" si="19"/>
        <v>90</v>
      </c>
      <c r="C94" s="397"/>
      <c r="D94" s="370"/>
      <c r="E94" s="382"/>
      <c r="F94" s="382"/>
      <c r="G94" s="378"/>
      <c r="H94" s="373"/>
      <c r="I94" s="374"/>
      <c r="J94" s="375" t="str">
        <f t="shared" si="13"/>
        <v/>
      </c>
      <c r="K94" s="375" t="str">
        <f t="shared" si="11"/>
        <v>No Aplica</v>
      </c>
      <c r="L94" s="375" t="str">
        <f t="shared" si="14"/>
        <v/>
      </c>
      <c r="M94" s="375" t="str">
        <f t="shared" si="12"/>
        <v>No Aplica</v>
      </c>
      <c r="N94" s="375" t="str">
        <f t="shared" si="15"/>
        <v/>
      </c>
      <c r="O94" s="376"/>
      <c r="P94" s="370"/>
      <c r="Q94" s="370"/>
      <c r="R94" s="393"/>
    </row>
    <row r="95" spans="2:18" hidden="1">
      <c r="B95" s="370">
        <f t="shared" si="19"/>
        <v>91</v>
      </c>
      <c r="C95" s="397"/>
      <c r="D95" s="370"/>
      <c r="E95" s="382"/>
      <c r="F95" s="382"/>
      <c r="G95" s="378"/>
      <c r="H95" s="373"/>
      <c r="I95" s="374"/>
      <c r="J95" s="375" t="str">
        <f t="shared" si="13"/>
        <v/>
      </c>
      <c r="K95" s="375" t="str">
        <f t="shared" si="11"/>
        <v>No Aplica</v>
      </c>
      <c r="L95" s="375" t="str">
        <f t="shared" si="14"/>
        <v/>
      </c>
      <c r="M95" s="375" t="str">
        <f t="shared" si="12"/>
        <v>No Aplica</v>
      </c>
      <c r="N95" s="375" t="str">
        <f t="shared" si="15"/>
        <v/>
      </c>
      <c r="O95" s="376"/>
      <c r="P95" s="370"/>
      <c r="Q95" s="370"/>
      <c r="R95" s="393"/>
    </row>
    <row r="96" spans="2:18" hidden="1">
      <c r="B96" s="370">
        <f t="shared" si="19"/>
        <v>92</v>
      </c>
      <c r="C96" s="397"/>
      <c r="D96" s="370"/>
      <c r="E96" s="382"/>
      <c r="F96" s="382"/>
      <c r="G96" s="378"/>
      <c r="H96" s="373"/>
      <c r="I96" s="374"/>
      <c r="J96" s="375" t="str">
        <f t="shared" si="13"/>
        <v/>
      </c>
      <c r="K96" s="375" t="str">
        <f t="shared" si="11"/>
        <v>No Aplica</v>
      </c>
      <c r="L96" s="375" t="str">
        <f t="shared" si="14"/>
        <v/>
      </c>
      <c r="M96" s="375" t="str">
        <f t="shared" si="12"/>
        <v>No Aplica</v>
      </c>
      <c r="N96" s="375" t="str">
        <f t="shared" si="15"/>
        <v/>
      </c>
      <c r="O96" s="376"/>
      <c r="P96" s="370"/>
      <c r="Q96" s="370"/>
      <c r="R96" s="393"/>
    </row>
    <row r="97" spans="2:18" hidden="1">
      <c r="B97" s="370">
        <f t="shared" si="19"/>
        <v>93</v>
      </c>
      <c r="C97" s="382"/>
      <c r="D97" s="370"/>
      <c r="E97" s="382"/>
      <c r="F97" s="382"/>
      <c r="G97" s="370"/>
      <c r="H97" s="373"/>
      <c r="I97" s="374"/>
      <c r="J97" s="375" t="str">
        <f t="shared" si="13"/>
        <v/>
      </c>
      <c r="K97" s="375" t="str">
        <f t="shared" si="11"/>
        <v>No Aplica</v>
      </c>
      <c r="L97" s="375" t="str">
        <f t="shared" si="14"/>
        <v/>
      </c>
      <c r="M97" s="375" t="str">
        <f t="shared" si="12"/>
        <v>No Aplica</v>
      </c>
      <c r="N97" s="375" t="str">
        <f t="shared" si="15"/>
        <v/>
      </c>
      <c r="O97" s="376"/>
      <c r="P97" s="370"/>
      <c r="Q97" s="370"/>
      <c r="R97" s="393"/>
    </row>
    <row r="98" spans="2:18" hidden="1">
      <c r="B98" s="370">
        <f t="shared" si="19"/>
        <v>94</v>
      </c>
      <c r="C98" s="382"/>
      <c r="D98" s="370"/>
      <c r="E98" s="382"/>
      <c r="F98" s="382"/>
      <c r="G98" s="370"/>
      <c r="H98" s="373"/>
      <c r="I98" s="374"/>
      <c r="J98" s="375" t="str">
        <f t="shared" si="13"/>
        <v/>
      </c>
      <c r="K98" s="375" t="str">
        <f t="shared" si="11"/>
        <v>No Aplica</v>
      </c>
      <c r="L98" s="375" t="str">
        <f t="shared" si="14"/>
        <v/>
      </c>
      <c r="M98" s="375" t="str">
        <f t="shared" si="12"/>
        <v>No Aplica</v>
      </c>
      <c r="N98" s="375" t="str">
        <f t="shared" si="15"/>
        <v/>
      </c>
      <c r="O98" s="376"/>
      <c r="P98" s="370"/>
      <c r="Q98" s="370"/>
      <c r="R98" s="393"/>
    </row>
    <row r="99" spans="2:18" hidden="1">
      <c r="B99" s="370">
        <f t="shared" si="19"/>
        <v>95</v>
      </c>
      <c r="C99" s="382"/>
      <c r="D99" s="370"/>
      <c r="E99" s="382"/>
      <c r="F99" s="382"/>
      <c r="G99" s="370"/>
      <c r="H99" s="373"/>
      <c r="I99" s="374"/>
      <c r="J99" s="375" t="str">
        <f t="shared" si="13"/>
        <v/>
      </c>
      <c r="K99" s="375" t="str">
        <f t="shared" si="11"/>
        <v>No Aplica</v>
      </c>
      <c r="L99" s="375" t="str">
        <f t="shared" si="14"/>
        <v/>
      </c>
      <c r="M99" s="375" t="str">
        <f t="shared" si="12"/>
        <v>No Aplica</v>
      </c>
      <c r="N99" s="375" t="str">
        <f t="shared" si="15"/>
        <v/>
      </c>
      <c r="O99" s="376"/>
      <c r="P99" s="370"/>
      <c r="Q99" s="370"/>
      <c r="R99" s="393"/>
    </row>
    <row r="100" spans="2:18" hidden="1">
      <c r="B100" s="370">
        <f t="shared" si="19"/>
        <v>96</v>
      </c>
      <c r="C100" s="382"/>
      <c r="D100" s="370"/>
      <c r="E100" s="382"/>
      <c r="F100" s="382"/>
      <c r="G100" s="370"/>
      <c r="H100" s="373"/>
      <c r="I100" s="374"/>
      <c r="J100" s="375" t="str">
        <f t="shared" si="13"/>
        <v/>
      </c>
      <c r="K100" s="375" t="str">
        <f t="shared" si="11"/>
        <v>No Aplica</v>
      </c>
      <c r="L100" s="375" t="str">
        <f t="shared" si="14"/>
        <v/>
      </c>
      <c r="M100" s="375" t="str">
        <f t="shared" si="12"/>
        <v>No Aplica</v>
      </c>
      <c r="N100" s="375" t="str">
        <f t="shared" si="15"/>
        <v/>
      </c>
      <c r="O100" s="376"/>
      <c r="P100" s="370"/>
      <c r="Q100" s="370"/>
      <c r="R100" s="393"/>
    </row>
    <row r="101" spans="2:18" hidden="1">
      <c r="B101" s="370">
        <f t="shared" si="19"/>
        <v>97</v>
      </c>
      <c r="C101" s="382"/>
      <c r="D101" s="370"/>
      <c r="E101" s="382"/>
      <c r="F101" s="382"/>
      <c r="G101" s="370"/>
      <c r="H101" s="373"/>
      <c r="I101" s="374"/>
      <c r="J101" s="375" t="str">
        <f t="shared" si="13"/>
        <v/>
      </c>
      <c r="K101" s="375" t="str">
        <f t="shared" si="11"/>
        <v>No Aplica</v>
      </c>
      <c r="L101" s="375" t="str">
        <f t="shared" si="14"/>
        <v/>
      </c>
      <c r="M101" s="375" t="str">
        <f t="shared" si="12"/>
        <v>No Aplica</v>
      </c>
      <c r="N101" s="375" t="str">
        <f t="shared" si="15"/>
        <v/>
      </c>
      <c r="O101" s="376"/>
      <c r="P101" s="370"/>
      <c r="Q101" s="370"/>
      <c r="R101" s="393"/>
    </row>
    <row r="102" spans="2:18" hidden="1">
      <c r="B102" s="370">
        <f t="shared" si="19"/>
        <v>98</v>
      </c>
      <c r="C102" s="382"/>
      <c r="D102" s="370"/>
      <c r="E102" s="382"/>
      <c r="F102" s="382"/>
      <c r="G102" s="370"/>
      <c r="H102" s="373"/>
      <c r="I102" s="374"/>
      <c r="J102" s="375" t="str">
        <f t="shared" si="13"/>
        <v/>
      </c>
      <c r="K102" s="375" t="str">
        <f t="shared" si="11"/>
        <v>No Aplica</v>
      </c>
      <c r="L102" s="375" t="str">
        <f t="shared" si="14"/>
        <v/>
      </c>
      <c r="M102" s="375" t="str">
        <f t="shared" si="12"/>
        <v>No Aplica</v>
      </c>
      <c r="N102" s="375" t="str">
        <f t="shared" si="15"/>
        <v/>
      </c>
      <c r="O102" s="376"/>
      <c r="P102" s="370"/>
      <c r="Q102" s="370"/>
      <c r="R102" s="393"/>
    </row>
    <row r="103" spans="2:18" hidden="1">
      <c r="B103" s="370">
        <f t="shared" si="19"/>
        <v>99</v>
      </c>
      <c r="C103" s="382"/>
      <c r="D103" s="370"/>
      <c r="E103" s="382"/>
      <c r="F103" s="382"/>
      <c r="G103" s="370"/>
      <c r="H103" s="373"/>
      <c r="I103" s="374"/>
      <c r="J103" s="375" t="str">
        <f t="shared" si="13"/>
        <v/>
      </c>
      <c r="K103" s="375" t="str">
        <f t="shared" si="11"/>
        <v>No Aplica</v>
      </c>
      <c r="L103" s="375" t="str">
        <f t="shared" si="14"/>
        <v/>
      </c>
      <c r="M103" s="375" t="str">
        <f t="shared" si="12"/>
        <v>No Aplica</v>
      </c>
      <c r="N103" s="375" t="str">
        <f t="shared" si="15"/>
        <v/>
      </c>
      <c r="O103" s="376"/>
      <c r="P103" s="370"/>
      <c r="Q103" s="370"/>
      <c r="R103" s="393"/>
    </row>
    <row r="104" spans="2:18" hidden="1">
      <c r="B104" s="370">
        <f t="shared" si="19"/>
        <v>100</v>
      </c>
      <c r="C104" s="382"/>
      <c r="D104" s="370"/>
      <c r="E104" s="382"/>
      <c r="F104" s="382"/>
      <c r="G104" s="370"/>
      <c r="H104" s="373"/>
      <c r="I104" s="374"/>
      <c r="J104" s="375" t="str">
        <f t="shared" si="13"/>
        <v/>
      </c>
      <c r="K104" s="375" t="str">
        <f t="shared" si="11"/>
        <v>No Aplica</v>
      </c>
      <c r="L104" s="375" t="str">
        <f t="shared" si="14"/>
        <v/>
      </c>
      <c r="M104" s="375" t="str">
        <f t="shared" si="12"/>
        <v>No Aplica</v>
      </c>
      <c r="N104" s="375" t="str">
        <f t="shared" si="15"/>
        <v/>
      </c>
      <c r="O104" s="376"/>
      <c r="P104" s="370"/>
      <c r="Q104" s="370"/>
      <c r="R104" s="393"/>
    </row>
    <row r="105" spans="2:18" hidden="1">
      <c r="B105" s="370">
        <f t="shared" si="19"/>
        <v>101</v>
      </c>
      <c r="C105" s="382"/>
      <c r="D105" s="370"/>
      <c r="E105" s="382"/>
      <c r="F105" s="382"/>
      <c r="G105" s="370"/>
      <c r="H105" s="373"/>
      <c r="I105" s="374"/>
      <c r="J105" s="375" t="str">
        <f t="shared" si="13"/>
        <v/>
      </c>
      <c r="K105" s="375" t="str">
        <f t="shared" si="11"/>
        <v>No Aplica</v>
      </c>
      <c r="L105" s="375" t="str">
        <f t="shared" si="14"/>
        <v/>
      </c>
      <c r="M105" s="375" t="str">
        <f t="shared" si="12"/>
        <v>No Aplica</v>
      </c>
      <c r="N105" s="375" t="str">
        <f t="shared" si="15"/>
        <v/>
      </c>
      <c r="O105" s="376"/>
      <c r="P105" s="370"/>
      <c r="Q105" s="370"/>
      <c r="R105" s="393"/>
    </row>
    <row r="106" spans="2:18" hidden="1">
      <c r="B106" s="370">
        <f t="shared" si="19"/>
        <v>102</v>
      </c>
      <c r="C106" s="382"/>
      <c r="D106" s="370"/>
      <c r="E106" s="372"/>
      <c r="F106" s="372"/>
      <c r="G106" s="370"/>
      <c r="H106" s="373"/>
      <c r="I106" s="374"/>
      <c r="J106" s="375" t="str">
        <f t="shared" si="13"/>
        <v/>
      </c>
      <c r="K106" s="375" t="str">
        <f t="shared" si="11"/>
        <v>No Aplica</v>
      </c>
      <c r="L106" s="375" t="str">
        <f t="shared" si="14"/>
        <v/>
      </c>
      <c r="M106" s="375" t="str">
        <f t="shared" si="12"/>
        <v>No Aplica</v>
      </c>
      <c r="N106" s="375" t="str">
        <f t="shared" si="15"/>
        <v/>
      </c>
      <c r="O106" s="376"/>
      <c r="P106" s="370"/>
      <c r="Q106" s="370"/>
      <c r="R106" s="393"/>
    </row>
    <row r="109" spans="2:18" ht="15.6">
      <c r="C109" s="1093" t="s">
        <v>744</v>
      </c>
      <c r="D109" s="1094" t="s">
        <v>856</v>
      </c>
      <c r="E109" s="1104" t="s">
        <v>886</v>
      </c>
      <c r="F109" s="1104"/>
      <c r="G109" s="1104"/>
    </row>
    <row r="110" spans="2:18" ht="15.6">
      <c r="C110" s="1093"/>
      <c r="D110" s="1094"/>
      <c r="E110" s="487" t="s">
        <v>753</v>
      </c>
      <c r="F110" s="487" t="s">
        <v>757</v>
      </c>
      <c r="G110" s="487" t="s">
        <v>761</v>
      </c>
    </row>
    <row r="111" spans="2:18" ht="13.8">
      <c r="C111" s="502" t="s">
        <v>718</v>
      </c>
      <c r="D111" s="505">
        <f>COUNT(B5:B8)</f>
        <v>4</v>
      </c>
      <c r="E111" s="506">
        <f>COUNTIF($G5:$G8,"Eficacia")</f>
        <v>4</v>
      </c>
      <c r="F111" s="506">
        <f>COUNTIF($G5:$G8,"Eficiencia")</f>
        <v>0</v>
      </c>
      <c r="G111" s="506">
        <f>COUNTIF($G5:$G8,"Efectividad")</f>
        <v>0</v>
      </c>
    </row>
    <row r="112" spans="2:18" ht="13.8">
      <c r="C112" s="502" t="s">
        <v>720</v>
      </c>
      <c r="D112" s="505">
        <f>COUNT(B9:B12)</f>
        <v>4</v>
      </c>
      <c r="E112" s="506">
        <f>COUNTIF($G9:$G12,"Eficacia")</f>
        <v>4</v>
      </c>
      <c r="F112" s="506">
        <f>COUNTIF($G9:$G12,"Eficiencia")</f>
        <v>0</v>
      </c>
      <c r="G112" s="506">
        <f>COUNTIF($G9:$G12,"Efectividad")</f>
        <v>0</v>
      </c>
    </row>
    <row r="113" spans="3:9" ht="13.8">
      <c r="C113" s="502" t="s">
        <v>721</v>
      </c>
      <c r="D113" s="505">
        <f>COUNT(B13:B19)</f>
        <v>7</v>
      </c>
      <c r="E113" s="506">
        <f>COUNTIF($G13:$G19,"Eficacia")</f>
        <v>7</v>
      </c>
      <c r="F113" s="506">
        <f>COUNTIF($G13:$G19,"Eficiencia")</f>
        <v>0</v>
      </c>
      <c r="G113" s="506">
        <f>COUNTIF($G13:$G19,"Efectividad")</f>
        <v>0</v>
      </c>
    </row>
    <row r="114" spans="3:9" ht="13.8">
      <c r="C114" s="502" t="s">
        <v>722</v>
      </c>
      <c r="D114" s="505">
        <f>COUNT(B20:B21)</f>
        <v>2</v>
      </c>
      <c r="E114" s="506">
        <f>COUNTIF($G20:$G21,"Eficacia")</f>
        <v>2</v>
      </c>
      <c r="F114" s="506">
        <f>COUNTIF($G20:$G21,"Eficiencia")</f>
        <v>0</v>
      </c>
      <c r="G114" s="506">
        <f>COUNTIF($G20:$G21,"Efectividad")</f>
        <v>0</v>
      </c>
    </row>
    <row r="115" spans="3:9" ht="13.8">
      <c r="C115" s="502" t="s">
        <v>723</v>
      </c>
      <c r="D115" s="505">
        <f>COUNT(B22:B41)</f>
        <v>20</v>
      </c>
      <c r="E115" s="506">
        <f>COUNTIF($G22:$G41,"Eficacia")</f>
        <v>20</v>
      </c>
      <c r="F115" s="506">
        <f>COUNTIF($G22:$G41,"Eficiencia")</f>
        <v>0</v>
      </c>
      <c r="G115" s="506">
        <f>COUNTIF($G22:$G41,"Efectividad")</f>
        <v>0</v>
      </c>
    </row>
    <row r="116" spans="3:9" ht="13.8">
      <c r="C116" s="502" t="s">
        <v>858</v>
      </c>
      <c r="D116" s="505">
        <f>COUNT(B42:B48)</f>
        <v>7</v>
      </c>
      <c r="E116" s="506">
        <f>COUNTIF($G42:$G48,"Eficacia")</f>
        <v>7</v>
      </c>
      <c r="F116" s="506">
        <f>COUNTIF($G42:$G48,"Eficiencia")</f>
        <v>0</v>
      </c>
      <c r="G116" s="506">
        <f>COUNTIF($G42:$G48,"Efectividad")</f>
        <v>0</v>
      </c>
    </row>
    <row r="117" spans="3:9" ht="13.8">
      <c r="C117" s="502" t="s">
        <v>726</v>
      </c>
      <c r="D117" s="505">
        <f>COUNT(B49:B56)</f>
        <v>8</v>
      </c>
      <c r="E117" s="506">
        <f>COUNTIF($G49:$G56,"Eficacia")</f>
        <v>8</v>
      </c>
      <c r="F117" s="506">
        <f>COUNTIF($G49:$G56,"Eficiencia")</f>
        <v>0</v>
      </c>
      <c r="G117" s="506">
        <f>COUNTIF($G49:$G56,"Efectividad")</f>
        <v>0</v>
      </c>
    </row>
    <row r="118" spans="3:9" ht="13.8">
      <c r="C118" s="502" t="s">
        <v>727</v>
      </c>
      <c r="D118" s="505">
        <f>COUNT(B57:B64)</f>
        <v>8</v>
      </c>
      <c r="E118" s="506">
        <f>COUNTIF($G57:$G64,"Eficacia")</f>
        <v>7</v>
      </c>
      <c r="F118" s="506">
        <f>COUNTIF($G57:$G64,"Eficiencia")</f>
        <v>0</v>
      </c>
      <c r="G118" s="506">
        <f>COUNTIF($G57:$G64,"Efectividad")</f>
        <v>1</v>
      </c>
    </row>
    <row r="119" spans="3:9" ht="13.8">
      <c r="C119" s="502" t="s">
        <v>728</v>
      </c>
      <c r="D119" s="505">
        <f>COUNT(B65:B66)</f>
        <v>2</v>
      </c>
      <c r="E119" s="506">
        <f>COUNTIF($G65:$G66,"Eficacia")</f>
        <v>2</v>
      </c>
      <c r="F119" s="506">
        <f>COUNTIF($G65:$G66,"Eficiencia")</f>
        <v>0</v>
      </c>
      <c r="G119" s="506">
        <f>COUNTIF($G65:$G66,"Efectividad")</f>
        <v>0</v>
      </c>
    </row>
    <row r="120" spans="3:9" ht="13.8">
      <c r="C120" s="502" t="s">
        <v>729</v>
      </c>
      <c r="D120" s="505">
        <f>COUNT(B67:B69)</f>
        <v>3</v>
      </c>
      <c r="E120" s="506">
        <f>COUNTIF($G67:$G69,"Eficacia")</f>
        <v>3</v>
      </c>
      <c r="F120" s="506">
        <f>COUNTIF($G67:$G69,"Eficiencia")</f>
        <v>0</v>
      </c>
      <c r="G120" s="506">
        <f>COUNTIF($G67:$G69,"Efectividad")</f>
        <v>0</v>
      </c>
    </row>
    <row r="121" spans="3:9" ht="13.8">
      <c r="C121" s="502" t="s">
        <v>730</v>
      </c>
      <c r="D121" s="505">
        <f>COUNT(B70:B73)</f>
        <v>4</v>
      </c>
      <c r="E121" s="506">
        <f>COUNTIF($G70:$G73,"Eficacia")</f>
        <v>1</v>
      </c>
      <c r="F121" s="506">
        <f>COUNTIF($G70:$G73,"Eficiencia")</f>
        <v>3</v>
      </c>
      <c r="G121" s="506">
        <f>COUNTIF($G70:$G73,"Efectividad")</f>
        <v>0</v>
      </c>
    </row>
    <row r="122" spans="3:9" ht="13.8">
      <c r="C122" s="502" t="s">
        <v>731</v>
      </c>
      <c r="D122" s="505">
        <f>COUNT(B74:B77)</f>
        <v>4</v>
      </c>
      <c r="E122" s="506">
        <f>COUNTIF($G74:$G77,"Eficacia")</f>
        <v>3</v>
      </c>
      <c r="F122" s="506">
        <f>COUNTIF($G74:$G77,"Eficiencia")</f>
        <v>1</v>
      </c>
      <c r="G122" s="506">
        <f>COUNTIF($G74:$G77,"Efectividad")</f>
        <v>0</v>
      </c>
    </row>
    <row r="123" spans="3:9" ht="13.8">
      <c r="C123" s="502" t="s">
        <v>732</v>
      </c>
      <c r="D123" s="505">
        <f>COUNT(B78:B82)</f>
        <v>5</v>
      </c>
      <c r="E123" s="506">
        <f>COUNTIF($G78:$G82,"Eficacia")</f>
        <v>5</v>
      </c>
      <c r="F123" s="506">
        <f>COUNTIF($G78:$G82,"Eficiencia")</f>
        <v>0</v>
      </c>
      <c r="G123" s="506">
        <f>COUNTIF($G78:$G82,"Efectividad")</f>
        <v>0</v>
      </c>
    </row>
    <row r="124" spans="3:9" ht="13.8">
      <c r="C124" s="502" t="s">
        <v>733</v>
      </c>
      <c r="D124" s="505">
        <f>COUNT(B83:B85)</f>
        <v>3</v>
      </c>
      <c r="E124" s="506">
        <f>COUNTIF($G83:$G85,"Eficacia")</f>
        <v>3</v>
      </c>
      <c r="F124" s="506">
        <f>COUNTIF($G83:$G85,"Eficiencia")</f>
        <v>0</v>
      </c>
      <c r="G124" s="506">
        <f>COUNTIF($G83:$G85,"Efectividad")</f>
        <v>0</v>
      </c>
    </row>
    <row r="125" spans="3:9" ht="13.8">
      <c r="C125" s="502" t="s">
        <v>734</v>
      </c>
      <c r="D125" s="505">
        <f>COUNT(B86:B88)</f>
        <v>3</v>
      </c>
      <c r="E125" s="506">
        <f>COUNTIF($G86:$G88,"Eficacia")</f>
        <v>3</v>
      </c>
      <c r="F125" s="506">
        <f>COUNTIF($G86:$G88,"Eficiencia")</f>
        <v>0</v>
      </c>
      <c r="G125" s="506">
        <f>COUNTIF($G86:$G88,"Efectividad")</f>
        <v>0</v>
      </c>
    </row>
    <row r="126" spans="3:9" ht="13.8">
      <c r="C126" s="502" t="s">
        <v>735</v>
      </c>
      <c r="D126" s="505">
        <f>COUNT(B89:B91)</f>
        <v>3</v>
      </c>
      <c r="E126" s="506">
        <f>COUNTIF($G89:$G91,"Eficacia")</f>
        <v>3</v>
      </c>
      <c r="F126" s="506">
        <f>COUNTIF($G89:$G91,"Eficiencia")</f>
        <v>0</v>
      </c>
      <c r="G126" s="506">
        <f>COUNTIF($G89:$G91,"Efectividad")</f>
        <v>0</v>
      </c>
    </row>
    <row r="127" spans="3:9" ht="15.6">
      <c r="C127" s="503" t="s">
        <v>893</v>
      </c>
      <c r="D127" s="504">
        <f>SUM(D111:D126)</f>
        <v>87</v>
      </c>
      <c r="E127" s="504">
        <f t="shared" ref="E127:G127" si="20">SUM(E111:E126)</f>
        <v>82</v>
      </c>
      <c r="F127" s="504">
        <f t="shared" si="20"/>
        <v>4</v>
      </c>
      <c r="G127" s="504">
        <f t="shared" si="20"/>
        <v>1</v>
      </c>
      <c r="H127" s="507"/>
      <c r="I127" s="508"/>
    </row>
    <row r="131" spans="6:7">
      <c r="F131" s="953"/>
      <c r="G131" s="953"/>
    </row>
    <row r="132" spans="6:7">
      <c r="F132" s="954"/>
      <c r="G132" s="955"/>
    </row>
  </sheetData>
  <sheetProtection formatRows="0"/>
  <mergeCells count="8">
    <mergeCell ref="C109:C110"/>
    <mergeCell ref="D109:D110"/>
    <mergeCell ref="B2:O2"/>
    <mergeCell ref="H3:O3"/>
    <mergeCell ref="H4:I4"/>
    <mergeCell ref="J4:M4"/>
    <mergeCell ref="N4:O4"/>
    <mergeCell ref="E109:G109"/>
  </mergeCells>
  <phoneticPr fontId="68"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402" t="s">
        <v>744</v>
      </c>
      <c r="B1" s="402" t="s">
        <v>745</v>
      </c>
      <c r="C1" s="402" t="s">
        <v>746</v>
      </c>
      <c r="D1" s="402" t="s">
        <v>747</v>
      </c>
      <c r="E1" s="402" t="s">
        <v>748</v>
      </c>
      <c r="F1" s="402" t="s">
        <v>749</v>
      </c>
      <c r="G1" s="403" t="s">
        <v>750</v>
      </c>
    </row>
    <row r="2" spans="1:7">
      <c r="A2" s="404" t="s">
        <v>718</v>
      </c>
      <c r="B2" s="404" t="s">
        <v>751</v>
      </c>
      <c r="C2" s="405" t="s">
        <v>752</v>
      </c>
      <c r="D2" s="406" t="s">
        <v>753</v>
      </c>
      <c r="E2" s="406" t="s">
        <v>754</v>
      </c>
      <c r="F2" s="406" t="s">
        <v>755</v>
      </c>
      <c r="G2" s="407" t="s">
        <v>724</v>
      </c>
    </row>
    <row r="3" spans="1:7">
      <c r="A3" s="404" t="s">
        <v>720</v>
      </c>
      <c r="B3" s="404" t="s">
        <v>751</v>
      </c>
      <c r="C3" s="405" t="s">
        <v>756</v>
      </c>
      <c r="D3" s="406" t="s">
        <v>757</v>
      </c>
      <c r="E3" s="406" t="s">
        <v>758</v>
      </c>
      <c r="F3" s="406" t="s">
        <v>759</v>
      </c>
      <c r="G3" s="407" t="s">
        <v>719</v>
      </c>
    </row>
    <row r="4" spans="1:7" ht="14.4">
      <c r="A4" s="404" t="s">
        <v>721</v>
      </c>
      <c r="B4" s="404" t="s">
        <v>751</v>
      </c>
      <c r="C4" s="405" t="s">
        <v>760</v>
      </c>
      <c r="D4" s="406" t="s">
        <v>761</v>
      </c>
      <c r="E4" s="406" t="s">
        <v>762</v>
      </c>
      <c r="F4" s="408"/>
      <c r="G4" s="409" t="s">
        <v>736</v>
      </c>
    </row>
    <row r="5" spans="1:7" ht="14.4">
      <c r="A5" s="404" t="s">
        <v>722</v>
      </c>
      <c r="B5" s="404" t="s">
        <v>751</v>
      </c>
      <c r="C5" s="404" t="s">
        <v>763</v>
      </c>
      <c r="D5" s="408"/>
      <c r="E5" s="408"/>
      <c r="F5" s="408"/>
      <c r="G5" s="409" t="s">
        <v>764</v>
      </c>
    </row>
    <row r="6" spans="1:7" ht="14.4">
      <c r="A6" s="404" t="s">
        <v>723</v>
      </c>
      <c r="B6" s="404" t="s">
        <v>765</v>
      </c>
      <c r="C6" s="405" t="s">
        <v>766</v>
      </c>
      <c r="D6" s="408"/>
      <c r="E6" s="408"/>
      <c r="F6" s="408"/>
      <c r="G6" s="409" t="s">
        <v>767</v>
      </c>
    </row>
    <row r="7" spans="1:7" ht="14.4">
      <c r="A7" s="404" t="s">
        <v>725</v>
      </c>
      <c r="B7" s="404" t="s">
        <v>765</v>
      </c>
      <c r="C7" s="405" t="s">
        <v>768</v>
      </c>
      <c r="D7" s="408"/>
      <c r="E7" s="408"/>
      <c r="F7" s="408"/>
      <c r="G7" s="399"/>
    </row>
    <row r="8" spans="1:7" ht="14.4">
      <c r="A8" s="404" t="s">
        <v>726</v>
      </c>
      <c r="B8" s="404" t="s">
        <v>765</v>
      </c>
      <c r="C8" s="405" t="s">
        <v>769</v>
      </c>
      <c r="D8" s="408"/>
      <c r="E8" s="408"/>
      <c r="F8" s="408"/>
      <c r="G8" s="399"/>
    </row>
    <row r="9" spans="1:7" ht="14.4">
      <c r="A9" s="404" t="s">
        <v>727</v>
      </c>
      <c r="B9" s="404" t="s">
        <v>770</v>
      </c>
      <c r="C9" s="405" t="s">
        <v>771</v>
      </c>
      <c r="D9" s="408"/>
      <c r="E9" s="408"/>
      <c r="F9" s="408"/>
      <c r="G9" s="399"/>
    </row>
    <row r="10" spans="1:7" ht="14.4">
      <c r="A10" s="404" t="s">
        <v>728</v>
      </c>
      <c r="B10" s="404" t="s">
        <v>770</v>
      </c>
      <c r="C10" s="408"/>
      <c r="D10" s="408"/>
      <c r="E10" s="408"/>
      <c r="F10" s="408"/>
      <c r="G10" s="399"/>
    </row>
    <row r="11" spans="1:7" ht="14.4">
      <c r="A11" s="404" t="s">
        <v>729</v>
      </c>
      <c r="B11" s="404" t="s">
        <v>770</v>
      </c>
      <c r="C11" s="408"/>
      <c r="D11" s="408"/>
      <c r="E11" s="408"/>
      <c r="F11" s="408"/>
      <c r="G11" s="399"/>
    </row>
    <row r="12" spans="1:7" ht="14.4">
      <c r="A12" s="404" t="s">
        <v>730</v>
      </c>
      <c r="B12" s="404" t="s">
        <v>770</v>
      </c>
      <c r="C12" s="405"/>
      <c r="D12" s="408"/>
      <c r="E12" s="408"/>
      <c r="F12" s="408"/>
      <c r="G12" s="399"/>
    </row>
    <row r="13" spans="1:7" ht="14.4">
      <c r="A13" s="404" t="s">
        <v>731</v>
      </c>
      <c r="B13" s="404" t="s">
        <v>772</v>
      </c>
      <c r="C13" s="405"/>
      <c r="D13" s="408"/>
      <c r="E13" s="408"/>
      <c r="F13" s="408"/>
      <c r="G13" s="399"/>
    </row>
    <row r="14" spans="1:7" ht="14.4">
      <c r="A14" s="404" t="s">
        <v>732</v>
      </c>
      <c r="B14" s="404" t="s">
        <v>770</v>
      </c>
      <c r="C14" s="405"/>
      <c r="D14" s="408"/>
      <c r="E14" s="408"/>
      <c r="F14" s="408"/>
      <c r="G14" s="399"/>
    </row>
    <row r="15" spans="1:7" ht="14.4">
      <c r="A15" s="404" t="s">
        <v>733</v>
      </c>
      <c r="B15" s="404" t="s">
        <v>751</v>
      </c>
      <c r="C15" s="405"/>
      <c r="D15" s="408"/>
      <c r="E15" s="408"/>
      <c r="F15" s="408"/>
      <c r="G15" s="399"/>
    </row>
    <row r="16" spans="1:7" ht="14.4">
      <c r="A16" s="404" t="s">
        <v>734</v>
      </c>
      <c r="B16" s="404" t="s">
        <v>772</v>
      </c>
      <c r="C16" s="405"/>
      <c r="D16" s="408"/>
      <c r="E16" s="408"/>
      <c r="F16" s="408"/>
      <c r="G16" s="399"/>
    </row>
    <row r="17" spans="1:6" ht="14.4">
      <c r="A17" s="404" t="s">
        <v>735</v>
      </c>
      <c r="B17" s="404" t="s">
        <v>772</v>
      </c>
      <c r="C17" s="405"/>
      <c r="D17" s="408"/>
      <c r="E17" s="408"/>
      <c r="F17" s="408"/>
    </row>
    <row r="20" spans="1:6" ht="14.4">
      <c r="A20" s="410" t="s">
        <v>773</v>
      </c>
      <c r="B20" s="408"/>
      <c r="C20" s="408"/>
      <c r="D20" s="408"/>
      <c r="E20" s="408"/>
      <c r="F20" s="408"/>
    </row>
    <row r="21" spans="1:6" ht="14.4">
      <c r="A21" s="404" t="s">
        <v>774</v>
      </c>
      <c r="B21" s="408"/>
      <c r="C21" s="408"/>
      <c r="D21" s="408"/>
      <c r="E21" s="408"/>
      <c r="F21" s="408"/>
    </row>
    <row r="22" spans="1:6" ht="14.4">
      <c r="A22" s="408"/>
      <c r="B22" s="408"/>
      <c r="C22" s="408"/>
      <c r="D22" s="408"/>
      <c r="E22" s="408"/>
      <c r="F22" s="408"/>
    </row>
    <row r="23" spans="1:6" ht="14.4">
      <c r="A23" s="408"/>
      <c r="B23" s="408"/>
      <c r="C23" s="408"/>
      <c r="D23" s="408"/>
      <c r="E23" s="408"/>
      <c r="F23" s="408"/>
    </row>
    <row r="24" spans="1:6">
      <c r="A24" s="411"/>
      <c r="B24" s="411"/>
      <c r="C24" s="411"/>
      <c r="D24" s="412"/>
      <c r="E24" s="412"/>
      <c r="F24" s="412"/>
    </row>
    <row r="25" spans="1:6">
      <c r="A25" s="411"/>
      <c r="B25" s="411"/>
      <c r="C25" s="411"/>
      <c r="D25" s="412"/>
      <c r="E25" s="412"/>
      <c r="F25" s="412"/>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CE01-0D56-4E34-B8B3-599A311D3A9D}">
  <sheetPr>
    <tabColor rgb="FF002060"/>
  </sheetPr>
  <dimension ref="B1:E55"/>
  <sheetViews>
    <sheetView showGridLines="0" tabSelected="1" zoomScale="40" zoomScaleNormal="40" workbookViewId="0">
      <selection activeCell="B5" sqref="B5"/>
    </sheetView>
  </sheetViews>
  <sheetFormatPr baseColWidth="10" defaultColWidth="17.33203125" defaultRowHeight="15"/>
  <cols>
    <col min="1" max="1" width="4.33203125" style="1" customWidth="1"/>
    <col min="2" max="2" width="87.44140625" style="3" customWidth="1"/>
    <col min="3" max="3" width="99" style="1" customWidth="1"/>
    <col min="4" max="5" width="38.6640625" style="1" customWidth="1"/>
    <col min="6" max="16384" width="17.33203125" style="1"/>
  </cols>
  <sheetData>
    <row r="1" spans="2:5" ht="15" customHeight="1"/>
    <row r="2" spans="2:5" ht="59.4" customHeight="1">
      <c r="B2" s="1105" t="s">
        <v>679</v>
      </c>
      <c r="C2" s="1112" t="s">
        <v>1030</v>
      </c>
      <c r="D2" s="754"/>
      <c r="E2" s="754"/>
    </row>
    <row r="3" spans="2:5" ht="59.4" customHeight="1">
      <c r="B3" s="1105"/>
      <c r="C3" s="1113"/>
      <c r="D3" s="754"/>
      <c r="E3" s="754"/>
    </row>
    <row r="4" spans="2:5" ht="14.25" customHeight="1">
      <c r="B4" s="2"/>
    </row>
    <row r="5" spans="2:5" ht="32.4" customHeight="1">
      <c r="B5" s="720" t="s">
        <v>707</v>
      </c>
      <c r="C5" s="931" t="str">
        <f>+'2- Resumen Ejec PEI 2022'!C4</f>
        <v>SEMESTRE 2 2022</v>
      </c>
      <c r="D5" s="930"/>
      <c r="E5" s="621"/>
    </row>
    <row r="6" spans="2:5" ht="14.25" customHeight="1">
      <c r="B6" s="2"/>
      <c r="C6" s="11"/>
      <c r="D6" s="11"/>
      <c r="E6" s="11"/>
    </row>
    <row r="7" spans="2:5" ht="34.200000000000003" customHeight="1" thickBot="1">
      <c r="B7" s="721" t="str">
        <f>'3-Grado Cump Metas Estratégicas'!B7</f>
        <v>Acumulado Corte: 31 de diciembre de 2022</v>
      </c>
      <c r="C7" s="11"/>
      <c r="D7" s="11"/>
      <c r="E7" s="11"/>
    </row>
    <row r="8" spans="2:5" ht="52.2" customHeight="1">
      <c r="B8" s="1106" t="s">
        <v>1015</v>
      </c>
      <c r="C8" s="1107"/>
      <c r="D8" s="711"/>
      <c r="E8" s="711"/>
    </row>
    <row r="9" spans="2:5" ht="59.4" customHeight="1">
      <c r="B9" s="1108" t="s">
        <v>0</v>
      </c>
      <c r="C9" s="1110" t="s">
        <v>1032</v>
      </c>
      <c r="D9" s="712"/>
      <c r="E9" s="712"/>
    </row>
    <row r="10" spans="2:5" ht="38.4" customHeight="1">
      <c r="B10" s="1109"/>
      <c r="C10" s="1111"/>
      <c r="D10" s="712"/>
      <c r="E10" s="712"/>
    </row>
    <row r="11" spans="2:5" ht="218.25" customHeight="1">
      <c r="B11" s="734"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68">
        <f>+'1-Infor Det Sgto PEI 2021-2024 '!BP9</f>
        <v>0.68535995631230484</v>
      </c>
      <c r="D11" s="713"/>
      <c r="E11" s="713"/>
    </row>
    <row r="12" spans="2:5" ht="167.25" customHeight="1">
      <c r="B12" s="735" t="str">
        <f>+'Matriz PEI 2021-2024'!B13</f>
        <v>2. Realizar acciones de prevención y control a la Función Pública, en el marco del cumplimiento del Plan de Desarrollo, con énfasis en los Derechos e intereses colectivos.</v>
      </c>
      <c r="C12" s="969">
        <f>+'1-Infor Det Sgto PEI 2021-2024 '!BP29</f>
        <v>0.73000770416024652</v>
      </c>
      <c r="D12" s="714"/>
      <c r="E12" s="714"/>
    </row>
    <row r="13" spans="2:5" ht="173.25" customHeight="1">
      <c r="B13" s="734" t="str">
        <f>+'Matriz PEI 2021-2024'!B16</f>
        <v>3. Vigilar la conducta oficial de los(as) servidores(as) públicos(as) del Distrito Capital, mediante acciones preventivas y correctivas, que permitan un adecuado cumplimiento de los principios de la Función Pública</v>
      </c>
      <c r="C13" s="968">
        <f>+'1-Infor Det Sgto PEI 2021-2024 '!BP36</f>
        <v>0.55319902985074632</v>
      </c>
      <c r="D13" s="713"/>
      <c r="E13" s="713"/>
    </row>
    <row r="14" spans="2:5" ht="174.75" customHeight="1">
      <c r="B14" s="735"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14" s="970">
        <f>+'1-Infor Det Sgto PEI 2021-2024 '!BP44</f>
        <v>0.6796724398821552</v>
      </c>
      <c r="D14" s="715"/>
      <c r="E14" s="715"/>
    </row>
    <row r="15" spans="2:5" ht="141.6" customHeight="1">
      <c r="B15" s="734" t="str">
        <f>+'Matriz PEI 2021-2024'!B27</f>
        <v xml:space="preserve">5. Incorporar una cultura del conocimiento y la innovación a través de actividades que permitan el desarrollo de ideas, lecciones aprendidas e investigaciones para mejorar los resultados de la gestión institucional. </v>
      </c>
      <c r="C15" s="971">
        <f>+'1-Infor Det Sgto PEI 2021-2024 '!BP92</f>
        <v>0.55374999999999996</v>
      </c>
      <c r="D15" s="709"/>
      <c r="E15" s="709"/>
    </row>
    <row r="16" spans="2:5" ht="32.4" customHeight="1" thickBot="1">
      <c r="B16" s="736" t="s">
        <v>1014</v>
      </c>
      <c r="C16" s="733">
        <f>AVERAGE(C11:C15)</f>
        <v>0.64039782604109052</v>
      </c>
      <c r="D16" s="710"/>
      <c r="E16" s="710"/>
    </row>
    <row r="17" spans="2:2" ht="13.5" customHeight="1">
      <c r="B17" s="35"/>
    </row>
    <row r="18" spans="2:2" ht="15" customHeight="1">
      <c r="B18" s="35"/>
    </row>
    <row r="19" spans="2:2" ht="15" customHeight="1">
      <c r="B19" s="35"/>
    </row>
    <row r="20" spans="2:2" ht="15" customHeight="1">
      <c r="B20" s="35"/>
    </row>
    <row r="21" spans="2:2" ht="15" customHeight="1">
      <c r="B21" s="35"/>
    </row>
    <row r="25" spans="2:2" s="723" customFormat="1">
      <c r="B25" s="722"/>
    </row>
    <row r="26" spans="2:2" s="723" customFormat="1" ht="24.6" customHeight="1">
      <c r="B26" s="722"/>
    </row>
    <row r="27" spans="2:2" s="723" customFormat="1">
      <c r="B27" s="722"/>
    </row>
    <row r="28" spans="2:2" s="723" customFormat="1">
      <c r="B28" s="722"/>
    </row>
    <row r="29" spans="2:2" s="723" customFormat="1">
      <c r="B29" s="722"/>
    </row>
    <row r="30" spans="2:2" s="723" customFormat="1">
      <c r="B30" s="722"/>
    </row>
    <row r="31" spans="2:2" s="723" customFormat="1">
      <c r="B31" s="722"/>
    </row>
    <row r="32" spans="2:2" s="723" customFormat="1">
      <c r="B32" s="722"/>
    </row>
    <row r="33" spans="2:2" s="723" customFormat="1">
      <c r="B33" s="722"/>
    </row>
    <row r="34" spans="2:2" s="723" customFormat="1">
      <c r="B34" s="722"/>
    </row>
    <row r="35" spans="2:2" s="723" customFormat="1">
      <c r="B35" s="722"/>
    </row>
    <row r="36" spans="2:2" s="723" customFormat="1">
      <c r="B36" s="722"/>
    </row>
    <row r="37" spans="2:2" s="723" customFormat="1">
      <c r="B37" s="722"/>
    </row>
    <row r="38" spans="2:2" s="723" customFormat="1">
      <c r="B38" s="722"/>
    </row>
    <row r="39" spans="2:2" s="723" customFormat="1">
      <c r="B39" s="722"/>
    </row>
    <row r="40" spans="2:2" s="723" customFormat="1">
      <c r="B40" s="722"/>
    </row>
    <row r="41" spans="2:2" s="723" customFormat="1">
      <c r="B41" s="722"/>
    </row>
    <row r="42" spans="2:2" s="723" customFormat="1">
      <c r="B42" s="722"/>
    </row>
    <row r="43" spans="2:2" s="723" customFormat="1">
      <c r="B43" s="722"/>
    </row>
    <row r="44" spans="2:2" s="723" customFormat="1">
      <c r="B44" s="722"/>
    </row>
    <row r="45" spans="2:2" s="723" customFormat="1">
      <c r="B45" s="722"/>
    </row>
    <row r="46" spans="2:2" s="723" customFormat="1">
      <c r="B46" s="722"/>
    </row>
    <row r="47" spans="2:2" s="723" customFormat="1">
      <c r="B47" s="722"/>
    </row>
    <row r="48" spans="2:2" s="723" customFormat="1">
      <c r="B48" s="722"/>
    </row>
    <row r="49" spans="2:2" s="723" customFormat="1" ht="15" customHeight="1">
      <c r="B49" s="722"/>
    </row>
    <row r="50" spans="2:2" s="723" customFormat="1" ht="15" customHeight="1">
      <c r="B50" s="722"/>
    </row>
    <row r="51" spans="2:2" s="723" customFormat="1">
      <c r="B51" s="722"/>
    </row>
    <row r="52" spans="2:2" s="723" customFormat="1">
      <c r="B52" s="722"/>
    </row>
    <row r="53" spans="2:2" s="723" customFormat="1">
      <c r="B53" s="722"/>
    </row>
    <row r="54" spans="2:2" s="723" customFormat="1">
      <c r="B54" s="722"/>
    </row>
    <row r="55" spans="2:2" s="723" customFormat="1">
      <c r="B55" s="722"/>
    </row>
  </sheetData>
  <sheetProtection algorithmName="SHA-512" hashValue="i8fhtGSt5FQKCZ79a3SSb0E9MzSNoKlzwZpKrmc3rav4sPgG+mbgBdAc16ZK1LmGpk0ovWqvh24jUiVuOGCrLQ==" saltValue="SjQfnE2I9ncFnsbiVDVBzg==" spinCount="100000" sheet="1" objects="1" scenarios="1"/>
  <mergeCells count="5">
    <mergeCell ref="B2:B3"/>
    <mergeCell ref="B8:C8"/>
    <mergeCell ref="B9:B10"/>
    <mergeCell ref="C9:C10"/>
    <mergeCell ref="C2:C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ECF-DA94-4A76-A72B-B71E8A2CB608}">
  <sheetPr>
    <tabColor rgb="FF002060"/>
  </sheetPr>
  <dimension ref="B1:G73"/>
  <sheetViews>
    <sheetView showGridLines="0" zoomScale="40" zoomScaleNormal="40" workbookViewId="0">
      <selection activeCell="B5" sqref="B5"/>
    </sheetView>
  </sheetViews>
  <sheetFormatPr baseColWidth="10" defaultColWidth="17.33203125" defaultRowHeight="15"/>
  <cols>
    <col min="1" max="1" width="4.33203125" style="1" customWidth="1"/>
    <col min="2" max="2" width="85.6640625" style="3" customWidth="1"/>
    <col min="3" max="3" width="76.6640625" style="3" customWidth="1"/>
    <col min="4" max="4" width="38.6640625" style="1" customWidth="1"/>
    <col min="5" max="5" width="44.6640625" style="1" customWidth="1"/>
    <col min="6" max="7" width="38.6640625" style="1" customWidth="1"/>
    <col min="8" max="16384" width="17.33203125" style="1"/>
  </cols>
  <sheetData>
    <row r="1" spans="2:7" ht="15" customHeight="1" thickBot="1"/>
    <row r="2" spans="2:7" ht="126" customHeight="1">
      <c r="B2" s="1149" t="s">
        <v>679</v>
      </c>
      <c r="C2" s="1122" t="s">
        <v>1027</v>
      </c>
      <c r="D2" s="1123"/>
      <c r="E2" s="1124"/>
      <c r="F2" s="754"/>
      <c r="G2" s="754"/>
    </row>
    <row r="3" spans="2:7" ht="27" customHeight="1" thickBot="1">
      <c r="B3" s="1150"/>
      <c r="C3" s="1125"/>
      <c r="D3" s="1126"/>
      <c r="E3" s="1127"/>
      <c r="F3" s="754"/>
      <c r="G3" s="754"/>
    </row>
    <row r="4" spans="2:7" ht="14.25" customHeight="1">
      <c r="B4" s="2"/>
      <c r="C4" s="2"/>
    </row>
    <row r="5" spans="2:7" ht="32.4" customHeight="1">
      <c r="B5" s="720" t="s">
        <v>707</v>
      </c>
      <c r="C5" s="1151" t="str">
        <f>+'2- Resumen Ejec PEI 2022'!C4</f>
        <v>SEMESTRE 2 2022</v>
      </c>
      <c r="D5" s="1152"/>
      <c r="E5" s="621"/>
      <c r="F5" s="621"/>
      <c r="G5" s="621"/>
    </row>
    <row r="6" spans="2:7" ht="14.25" customHeight="1">
      <c r="B6" s="2"/>
      <c r="C6" s="2"/>
      <c r="D6" s="11"/>
      <c r="E6" s="11"/>
      <c r="F6" s="11"/>
      <c r="G6" s="11"/>
    </row>
    <row r="7" spans="2:7" ht="34.200000000000003" customHeight="1">
      <c r="B7" s="721" t="str">
        <f>+'2- Resumen Ejec PEI 2022'!B6</f>
        <v>Acumulado Corte: 31 de diciembre de 2022</v>
      </c>
      <c r="C7" s="2"/>
      <c r="D7" s="11"/>
      <c r="E7" s="11"/>
      <c r="F7" s="11"/>
      <c r="G7" s="11"/>
    </row>
    <row r="8" spans="2:7" ht="52.2" customHeight="1">
      <c r="B8" s="1128" t="s">
        <v>702</v>
      </c>
      <c r="C8" s="1129"/>
      <c r="D8" s="1129"/>
      <c r="E8" s="1130"/>
      <c r="F8" s="711"/>
      <c r="G8" s="711"/>
    </row>
    <row r="9" spans="2:7" ht="59.4" customHeight="1">
      <c r="B9" s="1131" t="s">
        <v>0</v>
      </c>
      <c r="C9" s="1131" t="s">
        <v>52</v>
      </c>
      <c r="D9" s="1145" t="s">
        <v>1033</v>
      </c>
      <c r="E9" s="1147" t="s">
        <v>1032</v>
      </c>
      <c r="F9" s="712"/>
      <c r="G9" s="712"/>
    </row>
    <row r="10" spans="2:7" ht="38.4" customHeight="1">
      <c r="B10" s="1132"/>
      <c r="C10" s="1132"/>
      <c r="D10" s="1146"/>
      <c r="E10" s="1148"/>
      <c r="F10" s="712"/>
      <c r="G10" s="712"/>
    </row>
    <row r="11" spans="2:7" ht="103.5" customHeight="1">
      <c r="B11" s="1116"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1" s="988" t="str">
        <f>+'Matriz PEI 2021-2024'!C10</f>
        <v>1.1. Realizar 884.203 acciones que promuevan la defensa, garantía y restablecimiento de los derechos de las personas en el Distrito Capital.</v>
      </c>
      <c r="D11" s="997">
        <f>+'1-Infor Det Sgto PEI 2021-2024 '!BO9</f>
        <v>0.69146267277259543</v>
      </c>
      <c r="E11" s="1138">
        <f>+'1-Infor Det Sgto PEI 2021-2024 '!BP9</f>
        <v>0.68535995631230484</v>
      </c>
      <c r="F11" s="713"/>
      <c r="G11" s="713"/>
    </row>
    <row r="12" spans="2:7" ht="135.75" customHeight="1">
      <c r="B12" s="1117"/>
      <c r="C12" s="988"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12" s="997">
        <f>+'1-Infor Det Sgto PEI 2021-2024 '!BO20</f>
        <v>0.75463497231198573</v>
      </c>
      <c r="E12" s="1139"/>
      <c r="F12" s="714"/>
      <c r="G12" s="714"/>
    </row>
    <row r="13" spans="2:7" ht="90" customHeight="1">
      <c r="B13" s="1117"/>
      <c r="C13" s="988" t="str">
        <f>+'Matriz PEI 2021-2024'!C12</f>
        <v>1.3. Construir e Implementar 35 estrategias que permitan incrementar la oferta y cobertura de los servicios prestados por la Entidad.</v>
      </c>
      <c r="D13" s="997">
        <f>+'1-Infor Det Sgto PEI 2021-2024 '!BO26</f>
        <v>0.50409090909090915</v>
      </c>
      <c r="E13" s="1140"/>
      <c r="F13" s="714"/>
      <c r="G13" s="714"/>
    </row>
    <row r="14" spans="2:7" ht="102" customHeight="1">
      <c r="B14" s="1144" t="str">
        <f>+'Matriz PEI 2021-2024'!B13</f>
        <v>2. Realizar acciones de prevención y control a la Función Pública, en el marco del cumplimiento del Plan de Desarrollo, con énfasis en los Derechos e intereses colectivos.</v>
      </c>
      <c r="C14" s="998" t="str">
        <f>+'Matriz PEI 2021-2024'!C13</f>
        <v>2.1. Realizar 22 acciones de prevención y control a la función pública en medio ambiente, agua, protección y bienestar animal y desarrollo urbano.</v>
      </c>
      <c r="D14" s="1009">
        <f>+'1-Infor Det Sgto PEI 2021-2024 '!BO29</f>
        <v>0.49999999999999989</v>
      </c>
      <c r="E14" s="1141">
        <f>+'1-Infor Det Sgto PEI 2021-2024 '!BP29</f>
        <v>0.73000770416024652</v>
      </c>
      <c r="F14" s="714"/>
      <c r="G14" s="714"/>
    </row>
    <row r="15" spans="2:7" ht="100.5" customHeight="1">
      <c r="B15" s="1136"/>
      <c r="C15" s="998" t="str">
        <f>+'Matriz PEI 2021-2024'!C14</f>
        <v>2.2. Fortalecer la moralidad publica realizando  952 acciones de prevención y control a la función pública.</v>
      </c>
      <c r="D15" s="1009">
        <f>+'1-Infor Det Sgto PEI 2021-2024 '!BO31</f>
        <v>0.80227272727272725</v>
      </c>
      <c r="E15" s="1142"/>
      <c r="F15" s="714"/>
      <c r="G15" s="714"/>
    </row>
    <row r="16" spans="2:7" ht="65.25" customHeight="1">
      <c r="B16" s="1136"/>
      <c r="C16" s="998" t="str">
        <f>+'Matriz PEI 2021-2024'!C15</f>
        <v>2.3. Fortalecer 320 espacios de participación ciudadana en la Personería de Bogotá</v>
      </c>
      <c r="D16" s="1010">
        <f>+'1-Infor Det Sgto PEI 2021-2024 '!BO33</f>
        <v>0.98644067796610169</v>
      </c>
      <c r="E16" s="1143"/>
      <c r="F16" s="714"/>
      <c r="G16" s="714"/>
    </row>
    <row r="17" spans="2:7" ht="93.75" customHeight="1">
      <c r="B17" s="1116" t="str">
        <f>+'Matriz PEI 2021-2024'!B16</f>
        <v>3. Vigilar la conducta oficial de los(as) servidores(as) públicos(as) del Distrito Capital, mediante acciones preventivas y correctivas, que permitan un adecuado cumplimiento de los principios de la Función Pública</v>
      </c>
      <c r="C17" s="988" t="str">
        <f>+'Matriz PEI 2021-2024'!C16</f>
        <v>3.1. Descongestionar 6.700 procesos disciplinarios con criterios de calidad, efectividad y garantía del debido proceso.</v>
      </c>
      <c r="D17" s="996">
        <f>+'1-Infor Det Sgto PEI 2021-2024 '!BO36</f>
        <v>0.49349757462686572</v>
      </c>
      <c r="E17" s="1138">
        <f>+'1-Infor Det Sgto PEI 2021-2024 '!BP36</f>
        <v>0.55319902985074632</v>
      </c>
      <c r="F17" s="713"/>
      <c r="G17" s="713"/>
    </row>
    <row r="18" spans="2:7" ht="95.25" customHeight="1">
      <c r="B18" s="1117"/>
      <c r="C18" s="988" t="str">
        <f>+'Matriz PEI 2021-2024'!C17</f>
        <v xml:space="preserve">3.2. Identificar el 100% de los hechos constitutivos de faltas disciplinarias para ejercer el poder preferente en las Oficinas de Control Interno Disciplinario, en temas de interés e impacto para el Distrito Capital. </v>
      </c>
      <c r="D18" s="996">
        <f>+'1-Infor Det Sgto PEI 2021-2024 '!BO38</f>
        <v>0.4986666666666667</v>
      </c>
      <c r="E18" s="1139"/>
      <c r="F18" s="713"/>
      <c r="G18" s="713"/>
    </row>
    <row r="19" spans="2:7" ht="126.75" customHeight="1">
      <c r="B19" s="1117"/>
      <c r="C19" s="992" t="str">
        <f>+'Matriz PEI 2021-2024'!C18</f>
        <v>3.3. Generar 8 escenarios que fortalezcan el conocimiento y las competencias del operador disciplinario, que apoya el cumplimiento de la labor misional, extendiendo el alcance a los jueces naturales en el Distrito Capital.</v>
      </c>
      <c r="D19" s="927">
        <f>+'1-Infor Det Sgto PEI 2021-2024 '!BO40</f>
        <v>0.5</v>
      </c>
      <c r="E19" s="1139"/>
      <c r="F19" s="713"/>
      <c r="G19" s="713"/>
    </row>
    <row r="20" spans="2:7" ht="61.5" customHeight="1">
      <c r="B20" s="1117"/>
      <c r="C20" s="988" t="str">
        <f>+'Matriz PEI 2021-2024'!C19</f>
        <v>3.4. Implementar al 100% tres soluciones informáticas propias para la ejecución y gestión de la Potestad Disciplinaria.</v>
      </c>
      <c r="D20" s="928">
        <f>+'1-Infor Det Sgto PEI 2021-2024 '!BO41</f>
        <v>0.66</v>
      </c>
      <c r="E20" s="1140"/>
      <c r="F20" s="713"/>
      <c r="G20" s="713"/>
    </row>
    <row r="21" spans="2:7" ht="75" customHeight="1">
      <c r="B21" s="1136"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1" s="998" t="str">
        <f>+'Matriz PEI 2021-2024'!C20</f>
        <v>4.1. Implementar el 100% de las acciones que impulsen el crecimiento del Modelo de Madurez de Transformación Digital de la Entidad, aplicando los principios , lineamientos y normas que lo enmarcan.</v>
      </c>
      <c r="D21" s="1007">
        <f>+'1-Infor Det Sgto PEI 2021-2024 '!BO44</f>
        <v>0.7</v>
      </c>
      <c r="E21" s="1133">
        <f>+'1-Infor Det Sgto PEI 2021-2024 '!BP44</f>
        <v>0.6796724398821552</v>
      </c>
      <c r="F21" s="715"/>
      <c r="G21" s="715"/>
    </row>
    <row r="22" spans="2:7" ht="105" customHeight="1">
      <c r="B22" s="1136"/>
      <c r="C22" s="988" t="str">
        <f>+'Matriz PEI 2021-2024'!C21</f>
        <v>4.2. Consolidar el 90% del Modelo Integrado de Planeación y Gestión –MIPG- y sus sistemas de gestión articulados, como compromiso con la Calidad, la Excelencia, la Responsabilidad Ambiental y la Mejora en la prestación del Servicio.</v>
      </c>
      <c r="D22" s="996">
        <f>+'1-Infor Det Sgto PEI 2021-2024 '!BO51</f>
        <v>0.63841403602328473</v>
      </c>
      <c r="E22" s="1134"/>
      <c r="F22" s="714"/>
      <c r="G22" s="714"/>
    </row>
    <row r="23" spans="2:7" ht="60" customHeight="1">
      <c r="B23" s="1136"/>
      <c r="C23" s="998" t="str">
        <f>+'Matriz PEI 2021-2024'!C22</f>
        <v xml:space="preserve">4.3. Realizar el 100% de las actividades relacionadas con la Gestión del Talento Humano, que permita su fortalecimiento y el desarrollo de sus conocimientos, su competencia y bienestar. </v>
      </c>
      <c r="D23" s="999">
        <f>+'1-Infor Det Sgto PEI 2021-2024 '!BO57</f>
        <v>0.51071176092574044</v>
      </c>
      <c r="E23" s="1134"/>
      <c r="F23" s="707"/>
      <c r="G23" s="707"/>
    </row>
    <row r="24" spans="2:7" ht="76.5" customHeight="1">
      <c r="B24" s="1136"/>
      <c r="C24" s="988" t="str">
        <f>+'Matriz PEI 2021-2024'!C23</f>
        <v>4.4. Implementar el 100% de las acciones necesarias para la modernización de la gestión institucional a través de los procesos de apoyo, que permita una mejor prestación del servicio.</v>
      </c>
      <c r="D24" s="996">
        <f>+'1-Infor Det Sgto PEI 2021-2024 '!BO65</f>
        <v>0.50601327943021401</v>
      </c>
      <c r="E24" s="1134"/>
      <c r="F24" s="713"/>
      <c r="G24" s="713"/>
    </row>
    <row r="25" spans="2:7" ht="73.5" customHeight="1">
      <c r="B25" s="1136"/>
      <c r="C25" s="998" t="str">
        <f>+'Matriz PEI 2021-2024'!C24</f>
        <v>4.5. Desarrollar el 100% de las acciones relacionadas con el fomento de la Cultura del Autocontrol, la Autorregulación y la Autogestión institucional.</v>
      </c>
      <c r="D25" s="1006">
        <f>+'1-Infor Det Sgto PEI 2021-2024 '!BO83</f>
        <v>0.5707297297297298</v>
      </c>
      <c r="E25" s="1134"/>
      <c r="F25" s="705"/>
      <c r="G25" s="705"/>
    </row>
    <row r="26" spans="2:7" ht="60" customHeight="1">
      <c r="B26" s="1136"/>
      <c r="C26" s="988" t="str">
        <f>+'Matriz PEI 2021-2024'!C25</f>
        <v>4.6. Desarrollar el 100% de las estrategias de comunicación organizacional y de medios que contribuyan al logro de los objetivos institucionales y al posicionamiento de la Entidad.</v>
      </c>
      <c r="D26" s="990">
        <f>+'1-Infor Det Sgto PEI 2021-2024 '!BO89</f>
        <v>0.5</v>
      </c>
      <c r="E26" s="1134"/>
      <c r="F26" s="707"/>
      <c r="G26" s="707"/>
    </row>
    <row r="27" spans="2:7" ht="114" customHeight="1">
      <c r="B27" s="1137"/>
      <c r="C27" s="653" t="str">
        <f>+'Matriz PEI 2021-2024'!C26</f>
        <v>4.7. Articular el 100% de las acciones de trabajo interinstitucional y cooperación nacional e internacional que permita aunar esfuerzos para el cumplimiento de la misión institucional.</v>
      </c>
      <c r="D27" s="703">
        <f>+'1-Infor Det Sgto PEI 2021-2024 '!BO91</f>
        <v>1.3333333333333333</v>
      </c>
      <c r="E27" s="1135"/>
      <c r="F27" s="707"/>
      <c r="G27" s="707"/>
    </row>
    <row r="28" spans="2:7" ht="93.75" customHeight="1">
      <c r="B28" s="1116" t="str">
        <f>+'Matriz PEI 2021-2024'!B27</f>
        <v xml:space="preserve">5. Incorporar una cultura del conocimiento y la innovación a través de actividades que permitan el desarrollo de ideas, lecciones aprendidas e investigaciones para mejorar los resultados de la gestión institucional. </v>
      </c>
      <c r="C28" s="657" t="str">
        <f>+'Matriz PEI 2021-2024'!C27</f>
        <v>5.1 Generar el 100% de productos de nuevo conocimiento o transformar los existentes, alineados con proyectos resultados de la investigación, desarrollo e innovación (I+D+I) en la Entidad.</v>
      </c>
      <c r="D28" s="929">
        <f>+'1-Infor Det Sgto PEI 2021-2024 '!BO92</f>
        <v>0.625</v>
      </c>
      <c r="E28" s="1119">
        <f>+'1-Infor Det Sgto PEI 2021-2024 '!BP92</f>
        <v>0.55374999999999996</v>
      </c>
      <c r="F28" s="709"/>
      <c r="G28" s="709"/>
    </row>
    <row r="29" spans="2:7" ht="102" customHeight="1">
      <c r="B29" s="1117"/>
      <c r="C29" s="657" t="str">
        <f>+'Matriz PEI 2021-2024'!C28</f>
        <v>5.2 Formular el 100% de herramientas y acciones que permitan categorizar, preservar y utilizar el conocimiento para la toma de decisiones y compartir fácilmente los datos y la información de la Entidad.</v>
      </c>
      <c r="D29" s="929">
        <f>+'1-Infor Det Sgto PEI 2021-2024 '!BO94</f>
        <v>0.5</v>
      </c>
      <c r="E29" s="1120"/>
      <c r="F29" s="709"/>
      <c r="G29" s="709"/>
    </row>
    <row r="30" spans="2:7" ht="124.5" customHeight="1" thickBot="1">
      <c r="B30" s="1118"/>
      <c r="C30" s="658"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30" s="929">
        <f>+'1-Infor Det Sgto PEI 2021-2024 '!BO95</f>
        <v>0.51249999999999996</v>
      </c>
      <c r="E30" s="1121"/>
      <c r="F30" s="709"/>
      <c r="G30" s="709"/>
    </row>
    <row r="31" spans="2:7" ht="21.6" thickBot="1">
      <c r="B31" s="659"/>
      <c r="C31" s="719"/>
      <c r="D31" s="1052">
        <f>AVERAGE(D11:D30)</f>
        <v>0.6393884170075077</v>
      </c>
      <c r="E31" s="975">
        <f>AVERAGE(E11:E30)</f>
        <v>0.64039782604109052</v>
      </c>
      <c r="F31" s="710"/>
      <c r="G31" s="710"/>
    </row>
    <row r="32" spans="2:7" ht="13.5" customHeight="1">
      <c r="B32" s="35"/>
      <c r="C32" s="35"/>
    </row>
    <row r="33" spans="2:6" ht="15" customHeight="1">
      <c r="B33" s="35" t="s">
        <v>988</v>
      </c>
      <c r="C33" s="35"/>
    </row>
    <row r="34" spans="2:6" ht="15" customHeight="1">
      <c r="B34" s="35"/>
      <c r="C34" s="35"/>
    </row>
    <row r="35" spans="2:6" ht="15" customHeight="1">
      <c r="B35" s="35"/>
      <c r="C35" s="35"/>
    </row>
    <row r="36" spans="2:6" ht="15" customHeight="1">
      <c r="B36" s="35"/>
      <c r="C36" s="35"/>
    </row>
    <row r="37" spans="2:6">
      <c r="B37" s="791"/>
      <c r="C37" s="791"/>
      <c r="D37" s="792"/>
      <c r="E37" s="792"/>
      <c r="F37" s="792"/>
    </row>
    <row r="38" spans="2:6" s="738" customFormat="1">
      <c r="B38" s="793"/>
      <c r="C38" s="793"/>
      <c r="D38" s="794"/>
      <c r="E38" s="794"/>
      <c r="F38" s="794"/>
    </row>
    <row r="39" spans="2:6" s="738" customFormat="1">
      <c r="B39" s="737"/>
      <c r="C39" s="737"/>
    </row>
    <row r="40" spans="2:6" s="740" customFormat="1">
      <c r="B40" s="739"/>
      <c r="C40" s="1114" t="s">
        <v>52</v>
      </c>
      <c r="D40" s="1114" t="s">
        <v>933</v>
      </c>
    </row>
    <row r="41" spans="2:6" s="740" customFormat="1" ht="77.400000000000006" customHeight="1">
      <c r="B41" s="739"/>
      <c r="C41" s="1114"/>
      <c r="D41" s="1114"/>
    </row>
    <row r="42" spans="2:6" s="740" customFormat="1" ht="22.8">
      <c r="B42" s="739"/>
      <c r="C42" s="741" t="s">
        <v>989</v>
      </c>
      <c r="D42" s="742">
        <f t="shared" ref="D42:D53" si="0">+D11</f>
        <v>0.69146267277259543</v>
      </c>
    </row>
    <row r="43" spans="2:6" s="740" customFormat="1" ht="22.8">
      <c r="B43" s="739"/>
      <c r="C43" s="741" t="s">
        <v>990</v>
      </c>
      <c r="D43" s="742">
        <f t="shared" si="0"/>
        <v>0.75463497231198573</v>
      </c>
    </row>
    <row r="44" spans="2:6" s="740" customFormat="1" ht="22.8">
      <c r="B44" s="739"/>
      <c r="C44" s="741" t="s">
        <v>991</v>
      </c>
      <c r="D44" s="742">
        <f t="shared" si="0"/>
        <v>0.50409090909090915</v>
      </c>
    </row>
    <row r="45" spans="2:6" s="740" customFormat="1" ht="22.8">
      <c r="B45" s="739"/>
      <c r="C45" s="741" t="s">
        <v>992</v>
      </c>
      <c r="D45" s="742">
        <f t="shared" si="0"/>
        <v>0.49999999999999989</v>
      </c>
    </row>
    <row r="46" spans="2:6" s="740" customFormat="1" ht="22.8">
      <c r="B46" s="739"/>
      <c r="C46" s="741" t="s">
        <v>993</v>
      </c>
      <c r="D46" s="742">
        <f t="shared" si="0"/>
        <v>0.80227272727272725</v>
      </c>
    </row>
    <row r="47" spans="2:6" s="740" customFormat="1" ht="22.8">
      <c r="B47" s="739"/>
      <c r="C47" s="741" t="s">
        <v>994</v>
      </c>
      <c r="D47" s="742">
        <f t="shared" si="0"/>
        <v>0.98644067796610169</v>
      </c>
    </row>
    <row r="48" spans="2:6" s="740" customFormat="1" ht="22.8">
      <c r="B48" s="739"/>
      <c r="C48" s="741" t="s">
        <v>995</v>
      </c>
      <c r="D48" s="742">
        <f t="shared" si="0"/>
        <v>0.49349757462686572</v>
      </c>
    </row>
    <row r="49" spans="2:4" s="740" customFormat="1" ht="22.8">
      <c r="B49" s="739"/>
      <c r="C49" s="741" t="s">
        <v>996</v>
      </c>
      <c r="D49" s="742">
        <f t="shared" si="0"/>
        <v>0.4986666666666667</v>
      </c>
    </row>
    <row r="50" spans="2:4" s="740" customFormat="1" ht="22.8">
      <c r="B50" s="739"/>
      <c r="C50" s="741" t="s">
        <v>997</v>
      </c>
      <c r="D50" s="742">
        <f t="shared" si="0"/>
        <v>0.5</v>
      </c>
    </row>
    <row r="51" spans="2:4" s="740" customFormat="1" ht="22.8">
      <c r="B51" s="739"/>
      <c r="C51" s="741" t="s">
        <v>998</v>
      </c>
      <c r="D51" s="742">
        <f t="shared" si="0"/>
        <v>0.66</v>
      </c>
    </row>
    <row r="52" spans="2:4" s="740" customFormat="1" ht="22.8">
      <c r="B52" s="739"/>
      <c r="C52" s="741" t="s">
        <v>999</v>
      </c>
      <c r="D52" s="742">
        <f t="shared" si="0"/>
        <v>0.7</v>
      </c>
    </row>
    <row r="53" spans="2:4" s="740" customFormat="1" ht="22.8">
      <c r="B53" s="739"/>
      <c r="C53" s="741" t="s">
        <v>1000</v>
      </c>
      <c r="D53" s="742">
        <f t="shared" si="0"/>
        <v>0.63841403602328473</v>
      </c>
    </row>
    <row r="54" spans="2:4" s="740" customFormat="1" ht="22.8">
      <c r="B54" s="739"/>
      <c r="C54" s="741" t="s">
        <v>1001</v>
      </c>
      <c r="D54" s="742">
        <f t="shared" ref="D54:D61" si="1">+D23</f>
        <v>0.51071176092574044</v>
      </c>
    </row>
    <row r="55" spans="2:4" s="740" customFormat="1" ht="22.8">
      <c r="B55" s="739"/>
      <c r="C55" s="741" t="s">
        <v>1002</v>
      </c>
      <c r="D55" s="742">
        <f t="shared" si="1"/>
        <v>0.50601327943021401</v>
      </c>
    </row>
    <row r="56" spans="2:4" s="740" customFormat="1" ht="22.8">
      <c r="B56" s="739"/>
      <c r="C56" s="741" t="s">
        <v>1003</v>
      </c>
      <c r="D56" s="742">
        <f t="shared" si="1"/>
        <v>0.5707297297297298</v>
      </c>
    </row>
    <row r="57" spans="2:4" s="740" customFormat="1" ht="22.8">
      <c r="B57" s="739"/>
      <c r="C57" s="741" t="s">
        <v>1004</v>
      </c>
      <c r="D57" s="742">
        <f t="shared" si="1"/>
        <v>0.5</v>
      </c>
    </row>
    <row r="58" spans="2:4" s="740" customFormat="1" ht="22.8">
      <c r="B58" s="739"/>
      <c r="C58" s="741" t="s">
        <v>1005</v>
      </c>
      <c r="D58" s="742">
        <f t="shared" si="1"/>
        <v>1.3333333333333333</v>
      </c>
    </row>
    <row r="59" spans="2:4" s="740" customFormat="1" ht="22.8">
      <c r="B59" s="739"/>
      <c r="C59" s="741" t="s">
        <v>1006</v>
      </c>
      <c r="D59" s="742">
        <f t="shared" si="1"/>
        <v>0.625</v>
      </c>
    </row>
    <row r="60" spans="2:4" s="740" customFormat="1" ht="22.8">
      <c r="B60" s="739"/>
      <c r="C60" s="741" t="s">
        <v>1007</v>
      </c>
      <c r="D60" s="742">
        <f t="shared" si="1"/>
        <v>0.5</v>
      </c>
    </row>
    <row r="61" spans="2:4" s="740" customFormat="1" ht="22.8">
      <c r="B61" s="739"/>
      <c r="C61" s="741" t="s">
        <v>1008</v>
      </c>
      <c r="D61" s="742">
        <f t="shared" si="1"/>
        <v>0.51249999999999996</v>
      </c>
    </row>
    <row r="62" spans="2:4" s="740" customFormat="1">
      <c r="B62" s="739"/>
      <c r="C62" s="739"/>
    </row>
    <row r="63" spans="2:4" s="740" customFormat="1">
      <c r="B63" s="739"/>
      <c r="C63" s="739"/>
    </row>
    <row r="64" spans="2:4" s="740" customFormat="1" ht="15" customHeight="1">
      <c r="B64" s="739"/>
      <c r="C64" s="1114" t="s">
        <v>0</v>
      </c>
      <c r="D64" s="1115" t="s">
        <v>987</v>
      </c>
    </row>
    <row r="65" spans="2:4" s="740" customFormat="1" ht="59.4" customHeight="1">
      <c r="B65" s="739"/>
      <c r="C65" s="1114"/>
      <c r="D65" s="1115"/>
    </row>
    <row r="66" spans="2:4" s="740" customFormat="1" ht="20.399999999999999">
      <c r="B66" s="739"/>
      <c r="C66" s="739" t="s">
        <v>1009</v>
      </c>
      <c r="D66" s="743">
        <f>+E11</f>
        <v>0.68535995631230484</v>
      </c>
    </row>
    <row r="67" spans="2:4" s="740" customFormat="1" ht="20.399999999999999">
      <c r="B67" s="739"/>
      <c r="C67" s="739" t="s">
        <v>1010</v>
      </c>
      <c r="D67" s="743">
        <f>+E14</f>
        <v>0.73000770416024652</v>
      </c>
    </row>
    <row r="68" spans="2:4" s="740" customFormat="1" ht="20.399999999999999">
      <c r="B68" s="739"/>
      <c r="C68" s="739" t="s">
        <v>1011</v>
      </c>
      <c r="D68" s="743">
        <f>+E17</f>
        <v>0.55319902985074632</v>
      </c>
    </row>
    <row r="69" spans="2:4" s="740" customFormat="1" ht="20.399999999999999">
      <c r="B69" s="739"/>
      <c r="C69" s="739" t="s">
        <v>1012</v>
      </c>
      <c r="D69" s="743">
        <f>+E21</f>
        <v>0.6796724398821552</v>
      </c>
    </row>
    <row r="70" spans="2:4" s="740" customFormat="1" ht="20.399999999999999">
      <c r="B70" s="739"/>
      <c r="C70" s="739" t="s">
        <v>1013</v>
      </c>
      <c r="D70" s="743">
        <f>+E28</f>
        <v>0.55374999999999996</v>
      </c>
    </row>
    <row r="71" spans="2:4" s="738" customFormat="1">
      <c r="B71" s="737"/>
      <c r="C71" s="737"/>
      <c r="D71" s="744"/>
    </row>
    <row r="72" spans="2:4" s="738" customFormat="1">
      <c r="B72" s="737"/>
      <c r="C72" s="737"/>
    </row>
    <row r="73" spans="2:4" s="738" customFormat="1">
      <c r="B73" s="737"/>
      <c r="C73" s="737"/>
    </row>
  </sheetData>
  <sheetProtection algorithmName="SHA-512" hashValue="f8794nyyYq0Zb/paNZLMnH8BvhzYleIjOsIub3fVNnh7xxJ3JiHRby3M0lfSEqGhH9NrQOcMltYkSJQSVGP7aQ==" saltValue="XPvcN1uXnRlvZ+NSrlYYbQ==" spinCount="100000" sheet="1" objects="1" scenarios="1"/>
  <mergeCells count="22">
    <mergeCell ref="E11:E13"/>
    <mergeCell ref="D9:D10"/>
    <mergeCell ref="E9:E10"/>
    <mergeCell ref="B11:B13"/>
    <mergeCell ref="B2:B3"/>
    <mergeCell ref="C5:D5"/>
    <mergeCell ref="C64:C65"/>
    <mergeCell ref="D64:D65"/>
    <mergeCell ref="B28:B30"/>
    <mergeCell ref="E28:E30"/>
    <mergeCell ref="C2:E3"/>
    <mergeCell ref="B8:E8"/>
    <mergeCell ref="B9:B10"/>
    <mergeCell ref="C9:C10"/>
    <mergeCell ref="C40:C41"/>
    <mergeCell ref="D40:D41"/>
    <mergeCell ref="E21:E27"/>
    <mergeCell ref="B21:B27"/>
    <mergeCell ref="E17:E20"/>
    <mergeCell ref="B17:B20"/>
    <mergeCell ref="E14:E16"/>
    <mergeCell ref="B14:B16"/>
  </mergeCells>
  <phoneticPr fontId="68"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055A-26E2-48F5-A1D7-149586EEB355}">
  <sheetPr>
    <tabColor rgb="FF002060"/>
  </sheetPr>
  <dimension ref="B1:P52"/>
  <sheetViews>
    <sheetView showGridLines="0" zoomScale="52" zoomScaleNormal="52" workbookViewId="0">
      <selection activeCell="B4" sqref="B4"/>
    </sheetView>
  </sheetViews>
  <sheetFormatPr baseColWidth="10" defaultColWidth="17.33203125" defaultRowHeight="15"/>
  <cols>
    <col min="1" max="1" width="4.33203125" style="1" customWidth="1"/>
    <col min="2" max="2" width="85.6640625" style="3" customWidth="1"/>
    <col min="3" max="3" width="76.6640625" style="3" customWidth="1"/>
    <col min="4" max="5" width="43.44140625" style="3" customWidth="1"/>
    <col min="6" max="6" width="35.6640625" style="3" hidden="1" customWidth="1"/>
    <col min="7" max="9" width="36.44140625" style="3" hidden="1" customWidth="1"/>
    <col min="10" max="12" width="36.44140625" style="3" customWidth="1"/>
    <col min="13" max="16" width="38.6640625" style="1" customWidth="1"/>
    <col min="17" max="16384" width="17.33203125" style="1"/>
  </cols>
  <sheetData>
    <row r="1" spans="2:16" ht="15" customHeight="1" thickBot="1"/>
    <row r="2" spans="2:16" ht="90" customHeight="1" thickBot="1">
      <c r="B2" s="757" t="s">
        <v>679</v>
      </c>
      <c r="C2" s="1171" t="s">
        <v>1029</v>
      </c>
      <c r="D2" s="1172"/>
      <c r="E2" s="1172"/>
      <c r="F2" s="1172"/>
      <c r="G2" s="1172"/>
      <c r="H2" s="1172"/>
      <c r="I2" s="1172"/>
      <c r="J2" s="1172"/>
      <c r="K2" s="1172"/>
      <c r="L2" s="1172"/>
      <c r="M2" s="1172"/>
      <c r="N2" s="1173"/>
      <c r="O2" s="754"/>
      <c r="P2" s="754"/>
    </row>
    <row r="3" spans="2:16" ht="14.25" customHeight="1">
      <c r="B3" s="2"/>
      <c r="C3" s="2"/>
      <c r="D3" s="2"/>
      <c r="E3" s="2"/>
      <c r="F3" s="2"/>
      <c r="G3" s="2"/>
      <c r="H3" s="2"/>
      <c r="I3" s="2"/>
      <c r="J3" s="2"/>
      <c r="K3" s="2"/>
      <c r="L3" s="2"/>
    </row>
    <row r="4" spans="2:16" ht="32.4" customHeight="1">
      <c r="B4" s="720" t="s">
        <v>707</v>
      </c>
      <c r="C4" s="781" t="str">
        <f>_xlfn.CONCAT('1-Infor Det Sgto PEI 2021-2024 '!C4,'1-Infor Det Sgto PEI 2021-2024 '!D4)</f>
        <v>SEMESTRE 2 2022</v>
      </c>
      <c r="D4" s="726"/>
      <c r="E4" s="726"/>
      <c r="F4" s="726"/>
      <c r="G4" s="726"/>
      <c r="H4" s="726"/>
      <c r="I4" s="726"/>
      <c r="J4" s="726"/>
      <c r="K4" s="726"/>
      <c r="L4" s="726"/>
      <c r="N4" s="726"/>
      <c r="O4" s="621"/>
      <c r="P4" s="621"/>
    </row>
    <row r="5" spans="2:16" ht="14.25" customHeight="1">
      <c r="B5" s="2"/>
      <c r="C5" s="2"/>
      <c r="D5" s="2"/>
      <c r="E5" s="2"/>
      <c r="F5" s="2"/>
      <c r="G5" s="2"/>
      <c r="H5" s="2"/>
      <c r="I5" s="2"/>
      <c r="J5" s="2"/>
      <c r="K5" s="2"/>
      <c r="L5" s="2"/>
      <c r="M5" s="11"/>
      <c r="N5" s="11"/>
      <c r="O5" s="11"/>
      <c r="P5" s="11"/>
    </row>
    <row r="6" spans="2:16" ht="34.200000000000003" customHeight="1">
      <c r="B6" s="721" t="s">
        <v>1185</v>
      </c>
      <c r="C6" s="2"/>
      <c r="D6" s="2"/>
      <c r="E6" s="2"/>
      <c r="F6" s="2"/>
      <c r="G6" s="2"/>
      <c r="H6" s="2"/>
      <c r="I6" s="2"/>
      <c r="J6" s="2"/>
      <c r="K6" s="2"/>
      <c r="L6" s="2"/>
      <c r="M6" s="11"/>
      <c r="N6" s="11"/>
      <c r="O6" s="11"/>
      <c r="P6" s="11"/>
    </row>
    <row r="7" spans="2:16" ht="52.2" customHeight="1">
      <c r="B7" s="1128" t="s">
        <v>702</v>
      </c>
      <c r="C7" s="1129"/>
      <c r="D7" s="1129"/>
      <c r="E7" s="1174"/>
      <c r="F7" s="1174"/>
      <c r="G7" s="1174"/>
      <c r="H7" s="1174"/>
      <c r="I7" s="1174"/>
      <c r="J7" s="1174"/>
      <c r="K7" s="1174"/>
      <c r="L7" s="1174"/>
      <c r="M7" s="1129"/>
      <c r="N7" s="1130"/>
      <c r="O7" s="711"/>
      <c r="P7" s="711"/>
    </row>
    <row r="8" spans="2:16" ht="51.6" customHeight="1">
      <c r="B8" s="1131" t="s">
        <v>0</v>
      </c>
      <c r="C8" s="1131" t="s">
        <v>52</v>
      </c>
      <c r="D8" s="1177" t="s">
        <v>928</v>
      </c>
      <c r="E8" s="1178" t="s">
        <v>1154</v>
      </c>
      <c r="F8" s="1178"/>
      <c r="G8" s="1178"/>
      <c r="H8" s="1178"/>
      <c r="I8" s="1178" t="s">
        <v>1194</v>
      </c>
      <c r="J8" s="1178"/>
      <c r="K8" s="1178"/>
      <c r="L8" s="1179" t="s">
        <v>701</v>
      </c>
      <c r="M8" s="1175" t="s">
        <v>1016</v>
      </c>
      <c r="N8" s="1176" t="s">
        <v>1017</v>
      </c>
      <c r="O8" s="712"/>
      <c r="P8" s="712"/>
    </row>
    <row r="9" spans="2:16" ht="70.2" customHeight="1">
      <c r="B9" s="1132"/>
      <c r="C9" s="1132"/>
      <c r="D9" s="1132"/>
      <c r="E9" s="979" t="s">
        <v>967</v>
      </c>
      <c r="F9" s="979" t="s">
        <v>697</v>
      </c>
      <c r="G9" s="979" t="s">
        <v>698</v>
      </c>
      <c r="H9" s="911" t="s">
        <v>1162</v>
      </c>
      <c r="I9" s="980" t="s">
        <v>697</v>
      </c>
      <c r="J9" s="980" t="s">
        <v>698</v>
      </c>
      <c r="K9" s="910" t="s">
        <v>1195</v>
      </c>
      <c r="L9" s="1180"/>
      <c r="M9" s="1146"/>
      <c r="N9" s="1176"/>
      <c r="O9" s="712"/>
      <c r="P9" s="712"/>
    </row>
    <row r="10" spans="2:16" ht="103.5" customHeight="1">
      <c r="B10" s="1116"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0" s="1167" t="str">
        <f>+'Matriz PEI 2021-2024'!C10</f>
        <v>1.1. Realizar 884.203 acciones que promuevan la defensa, garantía y restablecimiento de los derechos de las personas en el Distrito Capital.</v>
      </c>
      <c r="D10" s="1165">
        <f>+'Matriz PEI 2021-2024'!E10</f>
        <v>884203</v>
      </c>
      <c r="E10" s="728" t="str">
        <f>+'1-Infor Det Sgto PEI 2021-2024 '!F9</f>
        <v>Acciones realizadas que promueven la defensa, garantía y restablecimiento de los derechos</v>
      </c>
      <c r="F10" s="982">
        <f>SUM('1-Infor Det Sgto PEI 2021-2024 '!AJ9:AJ18)</f>
        <v>262415</v>
      </c>
      <c r="G10" s="982">
        <f>SUM('1-Infor Det Sgto PEI 2021-2024 '!AK9:AK18)</f>
        <v>334627</v>
      </c>
      <c r="H10" s="751">
        <f>AVERAGE('1-Infor Det Sgto PEI 2021-2024 '!AL9:AL18)</f>
        <v>1.3391712500128412</v>
      </c>
      <c r="I10" s="779">
        <f>SUM('1-Infor Det Sgto PEI 2021-2024 '!BJ9:BJ18)</f>
        <v>502147</v>
      </c>
      <c r="J10" s="779">
        <f>SUM('1-Infor Det Sgto PEI 2021-2024 '!BK9:BK18)</f>
        <v>625977</v>
      </c>
      <c r="K10" s="912">
        <f>AVERAGE('1-Infor Det Sgto PEI 2021-2024 '!BL9:BL18)</f>
        <v>1.2835005128083905</v>
      </c>
      <c r="L10" s="913">
        <f>SUM('1-Infor Det Sgto PEI 2021-2024 '!BN9:BN18)</f>
        <v>0.6901494052287358</v>
      </c>
      <c r="M10" s="1138">
        <f>+'1-Infor Det Sgto PEI 2021-2024 '!BO9</f>
        <v>0.69146267277259543</v>
      </c>
      <c r="N10" s="1163">
        <f>+'1-Infor Det Sgto PEI 2021-2024 '!BP9</f>
        <v>0.68535995631230484</v>
      </c>
      <c r="O10" s="713"/>
      <c r="P10" s="713"/>
    </row>
    <row r="11" spans="2:16" ht="103.5" customHeight="1">
      <c r="B11" s="1117"/>
      <c r="C11" s="1168"/>
      <c r="D11" s="1166"/>
      <c r="E11" s="728" t="str">
        <f>+'1-Infor Det Sgto PEI 2021-2024 '!F19</f>
        <v>Porcentaje de Acciones de Tutela, Desacatos e Impugnaciones entregadas en un Termino Menor a Cinco (5) Días Hábiles</v>
      </c>
      <c r="F11" s="984">
        <f>+'1-Infor Det Sgto PEI 2021-2024 '!AJ19</f>
        <v>0.94999999999999984</v>
      </c>
      <c r="G11" s="745">
        <f>+'1-Infor Det Sgto PEI 2021-2024 '!AK19</f>
        <v>0.999</v>
      </c>
      <c r="H11" s="747">
        <f>+'1-Infor Det Sgto PEI 2021-2024 '!AL19</f>
        <v>1.0515789473684212</v>
      </c>
      <c r="I11" s="751">
        <f>'1-Infor Det Sgto PEI 2021-2024 '!BJ19</f>
        <v>0.95</v>
      </c>
      <c r="J11" s="751">
        <f>'1-Infor Det Sgto PEI 2021-2024 '!BK19</f>
        <v>0.99808333333333343</v>
      </c>
      <c r="K11" s="747">
        <f>+'1-Infor Det Sgto PEI 2021-2024 '!BL19</f>
        <v>1.0506140350877196</v>
      </c>
      <c r="L11" s="914">
        <f>'1-Infor Det Sgto PEI 2021-2024 '!BN19</f>
        <v>1.3132675438596495E-3</v>
      </c>
      <c r="M11" s="1140"/>
      <c r="N11" s="1163"/>
      <c r="O11" s="713"/>
      <c r="P11" s="713"/>
    </row>
    <row r="12" spans="2:16" ht="135.75" customHeight="1">
      <c r="B12" s="1117"/>
      <c r="C12" s="983"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12" s="982">
        <f>+'Matriz PEI 2021-2024'!E11</f>
        <v>260709</v>
      </c>
      <c r="E12" s="728" t="str">
        <f>+'1-Infor Det Sgto PEI 2021-2024 '!F20</f>
        <v>Acciones realizadas que propendan por la efectiva defensa y garantía de los derechos de los sujetos de especial protección constitucional</v>
      </c>
      <c r="F12" s="982">
        <f>SUM('1-Infor Det Sgto PEI 2021-2024 '!AJ20:AJ25)</f>
        <v>85619</v>
      </c>
      <c r="G12" s="982">
        <f>SUM('1-Infor Det Sgto PEI 2021-2024 '!AK20:AK25)</f>
        <v>101845</v>
      </c>
      <c r="H12" s="745">
        <f>AVERAGE('1-Infor Det Sgto PEI 2021-2024 '!AL20:AL25)</f>
        <v>1.4207211552315606</v>
      </c>
      <c r="I12" s="982">
        <f>SUM('1-Infor Det Sgto PEI 2021-2024 '!BJ20:BJ25)</f>
        <v>162219</v>
      </c>
      <c r="J12" s="982">
        <f>SUM('1-Infor Det Sgto PEI 2021-2024 '!BK20:BK25)</f>
        <v>197157</v>
      </c>
      <c r="K12" s="745">
        <f>AVERAGE('1-Infor Det Sgto PEI 2021-2024 '!BL20:BL25)</f>
        <v>1.319650359775866</v>
      </c>
      <c r="L12" s="745">
        <f>SUM('1-Infor Det Sgto PEI 2021-2024 '!BN20:BN25)</f>
        <v>0.75463497231198573</v>
      </c>
      <c r="M12" s="997">
        <f>+'1-Infor Det Sgto PEI 2021-2024 '!BO20</f>
        <v>0.75463497231198573</v>
      </c>
      <c r="N12" s="1163"/>
      <c r="O12" s="714"/>
      <c r="P12" s="714"/>
    </row>
    <row r="13" spans="2:16" ht="90" customHeight="1">
      <c r="B13" s="1117"/>
      <c r="C13" s="983" t="str">
        <f>+'Matriz PEI 2021-2024'!C12</f>
        <v>1.3. Construir e Implementar 35 estrategias que permitan incrementar la oferta y cobertura de los servicios prestados por la Entidad.</v>
      </c>
      <c r="D13" s="982">
        <f>+'Matriz PEI 2021-2024'!E12</f>
        <v>35</v>
      </c>
      <c r="E13" s="728" t="str">
        <f>+'1-Infor Det Sgto PEI 2021-2024 '!F26</f>
        <v>Estrategias construidas e implementadas</v>
      </c>
      <c r="F13" s="982">
        <f>SUM('1-Infor Det Sgto PEI 2021-2024 '!AJ26:AJ28)</f>
        <v>12</v>
      </c>
      <c r="G13" s="746">
        <f>SUM('1-Infor Det Sgto PEI 2021-2024 '!AK26:AK28)</f>
        <v>12</v>
      </c>
      <c r="H13" s="745">
        <f>AVERAGE('1-Infor Det Sgto PEI 2021-2024 '!AL26:AL28)</f>
        <v>1</v>
      </c>
      <c r="I13" s="982">
        <f>SUM('1-Infor Det Sgto PEI 2021-2024 '!BJ26:BJ28)</f>
        <v>18</v>
      </c>
      <c r="J13" s="982">
        <f>SUM('1-Infor Det Sgto PEI 2021-2024 '!BK26:BK28)</f>
        <v>18</v>
      </c>
      <c r="K13" s="745">
        <f>AVERAGE('1-Infor Det Sgto PEI 2021-2024 '!BL26:BL28)</f>
        <v>1</v>
      </c>
      <c r="L13" s="745">
        <f>SUM('1-Infor Det Sgto PEI 2021-2024 '!BN26:BN28)</f>
        <v>0.50409090909090915</v>
      </c>
      <c r="M13" s="997">
        <f>+'1-Infor Det Sgto PEI 2021-2024 '!BO26</f>
        <v>0.50409090909090915</v>
      </c>
      <c r="N13" s="1163"/>
      <c r="O13" s="714"/>
      <c r="P13" s="714"/>
    </row>
    <row r="14" spans="2:16" ht="102" customHeight="1">
      <c r="B14" s="1144" t="str">
        <f>+'Matriz PEI 2021-2024'!B13</f>
        <v>2. Realizar acciones de prevención y control a la Función Pública, en el marco del cumplimiento del Plan de Desarrollo, con énfasis en los Derechos e intereses colectivos.</v>
      </c>
      <c r="C14" s="985" t="str">
        <f>+'Matriz PEI 2021-2024'!C13</f>
        <v>2.1. Realizar 22 acciones de prevención y control a la función pública en medio ambiente, agua, protección y bienestar animal y desarrollo urbano.</v>
      </c>
      <c r="D14" s="729">
        <f>+'Matriz PEI 2021-2024'!E13</f>
        <v>22</v>
      </c>
      <c r="E14" s="730" t="str">
        <f>+'1-Infor Det Sgto PEI 2021-2024 '!F29</f>
        <v>Acciones realizadas de prevención y control a la función pública en temas priorizados</v>
      </c>
      <c r="F14" s="729">
        <f>SUM('1-Infor Det Sgto PEI 2021-2024 '!AJ29:AJ30)</f>
        <v>8</v>
      </c>
      <c r="G14" s="729">
        <f>SUM('1-Infor Det Sgto PEI 2021-2024 '!AK29:AK30)</f>
        <v>8</v>
      </c>
      <c r="H14" s="986">
        <f>AVERAGE('1-Infor Det Sgto PEI 2021-2024 '!AL29:AL30)</f>
        <v>1</v>
      </c>
      <c r="I14" s="729">
        <f>SUM('1-Infor Det Sgto PEI 2021-2024 '!BJ29:BJ30)</f>
        <v>11</v>
      </c>
      <c r="J14" s="729">
        <f>SUM('1-Infor Det Sgto PEI 2021-2024 '!BK29:BK30)</f>
        <v>11</v>
      </c>
      <c r="K14" s="986">
        <f>AVERAGE('1-Infor Det Sgto PEI 2021-2024 '!BL29:BL30)</f>
        <v>1</v>
      </c>
      <c r="L14" s="753">
        <f>SUM('1-Infor Det Sgto PEI 2021-2024 '!BN29:BN30)</f>
        <v>0.49999999999999989</v>
      </c>
      <c r="M14" s="1009">
        <f>+'1-Infor Det Sgto PEI 2021-2024 '!BO29</f>
        <v>0.49999999999999989</v>
      </c>
      <c r="N14" s="1141">
        <f>+'1-Infor Det Sgto PEI 2021-2024 '!BP29</f>
        <v>0.73000770416024652</v>
      </c>
      <c r="O14" s="714"/>
      <c r="P14" s="714"/>
    </row>
    <row r="15" spans="2:16" ht="100.5" customHeight="1">
      <c r="B15" s="1136"/>
      <c r="C15" s="985" t="str">
        <f>+'Matriz PEI 2021-2024'!C14</f>
        <v>2.2. Fortalecer la moralidad publica realizando  952 acciones de prevención y control a la función pública.</v>
      </c>
      <c r="D15" s="729">
        <f>+'Matriz PEI 2021-2024'!E14</f>
        <v>952</v>
      </c>
      <c r="E15" s="730" t="str">
        <f>+'1-Infor Det Sgto PEI 2021-2024 '!F31</f>
        <v>Acciones realizadas de prevención y control a la función pública para fortalecer la moralidad pública</v>
      </c>
      <c r="F15" s="729">
        <f>SUM('1-Infor Det Sgto PEI 2021-2024 '!AJ31:AJ32)</f>
        <v>353</v>
      </c>
      <c r="G15" s="729">
        <f>SUM('1-Infor Det Sgto PEI 2021-2024 '!AK31:AK32)</f>
        <v>360</v>
      </c>
      <c r="H15" s="752">
        <f>AVERAGE('1-Infor Det Sgto PEI 2021-2024 '!AL31:AL32)</f>
        <v>1.0122377622377621</v>
      </c>
      <c r="I15" s="729">
        <f>SUM('1-Infor Det Sgto PEI 2021-2024 '!BJ31:BJ32)</f>
        <v>581</v>
      </c>
      <c r="J15" s="729">
        <f>SUM('1-Infor Det Sgto PEI 2021-2024 '!BK31:BK32)</f>
        <v>706</v>
      </c>
      <c r="K15" s="752">
        <f>AVERAGE('1-Infor Det Sgto PEI 2021-2024 '!BL31:BL32)</f>
        <v>1.2895061728395061</v>
      </c>
      <c r="L15" s="986">
        <f>SUM('1-Infor Det Sgto PEI 2021-2024 '!BN31:BN32)</f>
        <v>0.80227272727272725</v>
      </c>
      <c r="M15" s="1009">
        <f>+'1-Infor Det Sgto PEI 2021-2024 '!BO31</f>
        <v>0.80227272727272725</v>
      </c>
      <c r="N15" s="1142"/>
      <c r="O15" s="714"/>
      <c r="P15" s="714"/>
    </row>
    <row r="16" spans="2:16" ht="65.25" customHeight="1">
      <c r="B16" s="1136"/>
      <c r="C16" s="985" t="str">
        <f>+'Matriz PEI 2021-2024'!C15</f>
        <v>2.3. Fortalecer 320 espacios de participación ciudadana en la Personería de Bogotá</v>
      </c>
      <c r="D16" s="729">
        <f>+'Matriz PEI 2021-2024'!E15</f>
        <v>320</v>
      </c>
      <c r="E16" s="730" t="str">
        <f>+'1-Infor Det Sgto PEI 2021-2024 '!F33</f>
        <v>Espacios de participación ciudadana fortalecidos</v>
      </c>
      <c r="F16" s="729">
        <f>SUM('1-Infor Det Sgto PEI 2021-2024 '!AJ33:AJ35)</f>
        <v>111</v>
      </c>
      <c r="G16" s="729">
        <f>SUM('1-Infor Det Sgto PEI 2021-2024 '!AK33:AK35)</f>
        <v>147</v>
      </c>
      <c r="H16" s="987">
        <f>AVERAGE('1-Infor Det Sgto PEI 2021-2024 '!AL33:AL35)</f>
        <v>1.3706349206349209</v>
      </c>
      <c r="I16" s="729">
        <f>SUM('1-Infor Det Sgto PEI 2021-2024 '!BJ33:BJ35)</f>
        <v>183</v>
      </c>
      <c r="J16" s="729">
        <f>SUM('1-Infor Det Sgto PEI 2021-2024 '!BK33:BK35)</f>
        <v>291</v>
      </c>
      <c r="K16" s="987">
        <f>AVERAGE('1-Infor Det Sgto PEI 2021-2024 '!BL33:BL35)</f>
        <v>1.5402020202020203</v>
      </c>
      <c r="L16" s="986">
        <f>SUM('1-Infor Det Sgto PEI 2021-2024 '!BN33:BN35)</f>
        <v>0.98644067796610169</v>
      </c>
      <c r="M16" s="1010">
        <f>+'1-Infor Det Sgto PEI 2021-2024 '!BO33</f>
        <v>0.98644067796610169</v>
      </c>
      <c r="N16" s="1142"/>
      <c r="O16" s="714"/>
      <c r="P16" s="714"/>
    </row>
    <row r="17" spans="2:16" ht="93.75" customHeight="1">
      <c r="B17" s="1116" t="str">
        <f>+'Matriz PEI 2021-2024'!B16</f>
        <v>3. Vigilar la conducta oficial de los(as) servidores(as) públicos(as) del Distrito Capital, mediante acciones preventivas y correctivas, que permitan un adecuado cumplimiento de los principios de la Función Pública</v>
      </c>
      <c r="C17" s="1167" t="str">
        <f>+'Matriz PEI 2021-2024'!C16</f>
        <v>3.1. Descongestionar 6.700 procesos disciplinarios con criterios de calidad, efectividad y garantía del debido proceso.</v>
      </c>
      <c r="D17" s="1165">
        <f>+'Matriz PEI 2021-2024'!E16</f>
        <v>6700</v>
      </c>
      <c r="E17" s="728" t="str">
        <f>+'1-Infor Det Sgto PEI 2021-2024 '!F36</f>
        <v xml:space="preserve">Procesos disciplinarios descongestionados </v>
      </c>
      <c r="F17" s="982">
        <f>+'1-Infor Det Sgto PEI 2021-2024 '!AJ36</f>
        <v>1800</v>
      </c>
      <c r="G17" s="982">
        <f>+'1-Infor Det Sgto PEI 2021-2024 '!AK36</f>
        <v>1739</v>
      </c>
      <c r="H17" s="750">
        <f>'1-Infor Det Sgto PEI 2021-2024 '!AL36</f>
        <v>0.96611111111111114</v>
      </c>
      <c r="I17" s="982">
        <f>'1-Infor Det Sgto PEI 2021-2024 '!BJ36</f>
        <v>3400</v>
      </c>
      <c r="J17" s="982">
        <f>'1-Infor Det Sgto PEI 2021-2024 '!BK36</f>
        <v>3308</v>
      </c>
      <c r="K17" s="750">
        <f>'1-Infor Det Sgto PEI 2021-2024 '!BL36</f>
        <v>0.9729411764705882</v>
      </c>
      <c r="L17" s="921">
        <f>'1-Infor Det Sgto PEI 2021-2024 '!BN36</f>
        <v>0.39498507462686572</v>
      </c>
      <c r="M17" s="1138">
        <f>+'1-Infor Det Sgto PEI 2021-2024 '!BO36</f>
        <v>0.49349757462686572</v>
      </c>
      <c r="N17" s="1138">
        <f>+'1-Infor Det Sgto PEI 2021-2024 '!BP36</f>
        <v>0.55319902985074632</v>
      </c>
      <c r="O17" s="713"/>
      <c r="P17" s="713"/>
    </row>
    <row r="18" spans="2:16" ht="93.75" customHeight="1">
      <c r="B18" s="1117"/>
      <c r="C18" s="1168"/>
      <c r="D18" s="1166"/>
      <c r="E18" s="728" t="str">
        <f>+'1-Infor Det Sgto PEI 2021-2024 '!F37</f>
        <v>Noticias disciplinarias  evaluadas y con impulso procesal</v>
      </c>
      <c r="F18" s="745">
        <f>+'1-Infor Det Sgto PEI 2021-2024 '!AJ37</f>
        <v>1</v>
      </c>
      <c r="G18" s="745">
        <f>+'1-Infor Det Sgto PEI 2021-2024 '!AK37</f>
        <v>0.96899999999999997</v>
      </c>
      <c r="H18" s="750">
        <f>'1-Infor Det Sgto PEI 2021-2024 '!AL37</f>
        <v>0.96899999999999997</v>
      </c>
      <c r="I18" s="750">
        <f>'1-Infor Det Sgto PEI 2021-2024 '!BJ37</f>
        <v>1</v>
      </c>
      <c r="J18" s="751">
        <f>'1-Infor Det Sgto PEI 2021-2024 '!BK37</f>
        <v>0.98512499999999992</v>
      </c>
      <c r="K18" s="750">
        <f>'1-Infor Det Sgto PEI 2021-2024 '!BL37</f>
        <v>0.98512499999999992</v>
      </c>
      <c r="L18" s="914">
        <f>'1-Infor Det Sgto PEI 2021-2024 '!BN37</f>
        <v>9.8512500000000003E-2</v>
      </c>
      <c r="M18" s="1140"/>
      <c r="N18" s="1139"/>
      <c r="O18" s="713"/>
      <c r="P18" s="713"/>
    </row>
    <row r="19" spans="2:16" ht="95.25" customHeight="1">
      <c r="B19" s="1117"/>
      <c r="C19" s="1167" t="str">
        <f>+'Matriz PEI 2021-2024'!C17</f>
        <v xml:space="preserve">3.2. Identificar el 100% de los hechos constitutivos de faltas disciplinarias para ejercer el poder preferente en las Oficinas de Control Interno Disciplinario, en temas de interés e impacto para el Distrito Capital. </v>
      </c>
      <c r="D19" s="1169">
        <f>+'Matriz PEI 2021-2024'!E17</f>
        <v>1</v>
      </c>
      <c r="E19" s="731" t="str">
        <f>+'1-Infor Det Sgto PEI 2021-2024 '!F38</f>
        <v>Visitas de seguimiento a Oficinas de Control Interno Disciplinario realizadas</v>
      </c>
      <c r="F19" s="982">
        <f>+'1-Infor Det Sgto PEI 2021-2024 '!AJ38</f>
        <v>51</v>
      </c>
      <c r="G19" s="982">
        <f>+'1-Infor Det Sgto PEI 2021-2024 '!AK38</f>
        <v>51</v>
      </c>
      <c r="H19" s="750">
        <f>'1-Infor Det Sgto PEI 2021-2024 '!AL38</f>
        <v>1</v>
      </c>
      <c r="I19" s="982">
        <f>'1-Infor Det Sgto PEI 2021-2024 '!BJ38</f>
        <v>102</v>
      </c>
      <c r="J19" s="982">
        <f>'1-Infor Det Sgto PEI 2021-2024 '!BK38</f>
        <v>102</v>
      </c>
      <c r="K19" s="750">
        <f>'1-Infor Det Sgto PEI 2021-2024 '!BL38</f>
        <v>1</v>
      </c>
      <c r="L19" s="914">
        <f>'1-Infor Det Sgto PEI 2021-2024 '!BN38</f>
        <v>0.25</v>
      </c>
      <c r="M19" s="1138">
        <f>+'1-Infor Det Sgto PEI 2021-2024 '!BO38</f>
        <v>0.4986666666666667</v>
      </c>
      <c r="N19" s="1139"/>
      <c r="O19" s="713"/>
      <c r="P19" s="713"/>
    </row>
    <row r="20" spans="2:16" ht="95.25" customHeight="1">
      <c r="B20" s="1117"/>
      <c r="C20" s="1168"/>
      <c r="D20" s="1170"/>
      <c r="E20" s="731" t="str">
        <f>+'1-Infor Det Sgto PEI 2021-2024 '!F39</f>
        <v>Procesos de interés e impacto asumidos por competencia</v>
      </c>
      <c r="F20" s="984">
        <f>+'1-Infor Det Sgto PEI 2021-2024 '!AJ39</f>
        <v>1</v>
      </c>
      <c r="G20" s="984">
        <f>+'1-Infor Det Sgto PEI 2021-2024 '!AK39</f>
        <v>0.98899999999999999</v>
      </c>
      <c r="H20" s="750">
        <f>'1-Infor Det Sgto PEI 2021-2024 '!AL39</f>
        <v>0.98899999999999999</v>
      </c>
      <c r="I20" s="750">
        <f>'1-Infor Det Sgto PEI 2021-2024 '!BJ39</f>
        <v>1</v>
      </c>
      <c r="J20" s="750">
        <f>'1-Infor Det Sgto PEI 2021-2024 '!BK39</f>
        <v>0.9946666666666667</v>
      </c>
      <c r="K20" s="750">
        <f>'1-Infor Det Sgto PEI 2021-2024 '!BL39</f>
        <v>0.9946666666666667</v>
      </c>
      <c r="L20" s="914">
        <f>'1-Infor Det Sgto PEI 2021-2024 '!BN39</f>
        <v>0.24866666666666667</v>
      </c>
      <c r="M20" s="1140"/>
      <c r="N20" s="1139"/>
      <c r="O20" s="713"/>
      <c r="P20" s="713"/>
    </row>
    <row r="21" spans="2:16" ht="126.75" customHeight="1">
      <c r="B21" s="1117"/>
      <c r="C21" s="795" t="str">
        <f>+'Matriz PEI 2021-2024'!C18</f>
        <v>3.3. Generar 8 escenarios que fortalezcan el conocimiento y las competencias del operador disciplinario, que apoya el cumplimiento de la labor misional, extendiendo el alcance a los jueces naturales en el Distrito Capital.</v>
      </c>
      <c r="D21" s="982">
        <f>+'Matriz PEI 2021-2024'!E18</f>
        <v>8</v>
      </c>
      <c r="E21" s="728" t="str">
        <f>+'1-Infor Det Sgto PEI 2021-2024 '!F40</f>
        <v>Escenarios generados que fortalezcan el conocimiento</v>
      </c>
      <c r="F21" s="982">
        <f>+'1-Infor Det Sgto PEI 2021-2024 '!AJ40</f>
        <v>2</v>
      </c>
      <c r="G21" s="982">
        <f>+'1-Infor Det Sgto PEI 2021-2024 '!AK40</f>
        <v>2</v>
      </c>
      <c r="H21" s="984">
        <f>+'1-Infor Det Sgto PEI 2021-2024 '!AL40</f>
        <v>1</v>
      </c>
      <c r="I21" s="982">
        <f>'1-Infor Det Sgto PEI 2021-2024 '!BJ40</f>
        <v>4</v>
      </c>
      <c r="J21" s="982">
        <f>'1-Infor Det Sgto PEI 2021-2024 '!BK40</f>
        <v>4</v>
      </c>
      <c r="K21" s="984">
        <f>+'1-Infor Det Sgto PEI 2021-2024 '!BL40</f>
        <v>1</v>
      </c>
      <c r="L21" s="921">
        <f>'1-Infor Det Sgto PEI 2021-2024 '!BN40</f>
        <v>0.5</v>
      </c>
      <c r="M21" s="981">
        <f>+'1-Infor Det Sgto PEI 2021-2024 '!BO40</f>
        <v>0.5</v>
      </c>
      <c r="N21" s="1139"/>
      <c r="O21" s="713"/>
      <c r="P21" s="713"/>
    </row>
    <row r="22" spans="2:16" ht="61.5" customHeight="1">
      <c r="B22" s="1164"/>
      <c r="C22" s="983" t="str">
        <f>+'Matriz PEI 2021-2024'!C19</f>
        <v>3.4. Implementar al 100% tres soluciones informáticas propias para la ejecución y gestión de la Potestad Disciplinaria.</v>
      </c>
      <c r="D22" s="984">
        <f>+'Matriz PEI 2021-2024'!E19</f>
        <v>1</v>
      </c>
      <c r="E22" s="728" t="str">
        <f>+'1-Infor Det Sgto PEI 2021-2024 '!F41</f>
        <v>Soluciones informáticas implementadas</v>
      </c>
      <c r="F22" s="746">
        <f>AVERAGE('1-Infor Det Sgto PEI 2021-2024 '!AJ41:AJ43)</f>
        <v>0.40000000000000008</v>
      </c>
      <c r="G22" s="746">
        <f>AVERAGE('1-Infor Det Sgto PEI 2021-2024 '!AK41:AK43)</f>
        <v>0.40000000000000008</v>
      </c>
      <c r="H22" s="748">
        <f>AVERAGE('1-Infor Det Sgto PEI 2021-2024 '!AL41:AL43)</f>
        <v>1</v>
      </c>
      <c r="I22" s="746">
        <f>AVERAGE('1-Infor Det Sgto PEI 2021-2024 '!BJ41:BJ43)</f>
        <v>0.66666666666666663</v>
      </c>
      <c r="J22" s="746">
        <f>AVERAGE('1-Infor Det Sgto PEI 2021-2024 '!BK41:BK43)</f>
        <v>0.66666666666666663</v>
      </c>
      <c r="K22" s="748">
        <f>AVERAGE('1-Infor Det Sgto PEI 2021-2024 '!BL41:BL43)</f>
        <v>1</v>
      </c>
      <c r="L22" s="921">
        <f>SUM('1-Infor Det Sgto PEI 2021-2024 '!BN41:BN43)</f>
        <v>0.66</v>
      </c>
      <c r="M22" s="1012">
        <f>+'1-Infor Det Sgto PEI 2021-2024 '!BO41</f>
        <v>0.66</v>
      </c>
      <c r="N22" s="1139"/>
      <c r="O22" s="713"/>
      <c r="P22" s="713"/>
    </row>
    <row r="23" spans="2:16" ht="75" customHeight="1">
      <c r="B23" s="1136"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23" s="985" t="str">
        <f>+'Matriz PEI 2021-2024'!C20</f>
        <v>4.1. Implementar el 100% de las acciones que impulsen el crecimiento del Modelo de Madurez de Transformación Digital de la Entidad, aplicando los principios , lineamientos y normas que lo enmarcan.</v>
      </c>
      <c r="D23" s="986">
        <f>+'Matriz PEI 2021-2024'!E20</f>
        <v>1</v>
      </c>
      <c r="E23" s="732" t="str">
        <f>+'1-Infor Det Sgto PEI 2021-2024 '!F44</f>
        <v>Acciones implementadas que impulsan el crecimiento del modelo de la Entidad</v>
      </c>
      <c r="F23" s="986">
        <f>AVERAGE('1-Infor Det Sgto PEI 2021-2024 '!AJ44:AJ50)</f>
        <v>0.39999999999999997</v>
      </c>
      <c r="G23" s="753">
        <f>AVERAGE('1-Infor Det Sgto PEI 2021-2024 '!AK44:AK50)</f>
        <v>0.39999999999999997</v>
      </c>
      <c r="H23" s="749">
        <f>AVERAGE('1-Infor Det Sgto PEI 2021-2024 '!AL44:AL50)</f>
        <v>1</v>
      </c>
      <c r="I23" s="986">
        <f>AVERAGE('1-Infor Det Sgto PEI 2021-2024 '!BJ44:BJ50)</f>
        <v>0.70000000000000007</v>
      </c>
      <c r="J23" s="753">
        <f>AVERAGE('1-Infor Det Sgto PEI 2021-2024 '!BK44:BK50)</f>
        <v>0.70000000000000007</v>
      </c>
      <c r="K23" s="749">
        <f>AVERAGE('1-Infor Det Sgto PEI 2021-2024 '!BL44:BL50)</f>
        <v>1</v>
      </c>
      <c r="L23" s="922">
        <f>SUM('1-Infor Det Sgto PEI 2021-2024 '!BN44:BN50)</f>
        <v>0.7</v>
      </c>
      <c r="M23" s="1007">
        <f>+'1-Infor Det Sgto PEI 2021-2024 '!BO44</f>
        <v>0.7</v>
      </c>
      <c r="N23" s="1133">
        <f>+'1-Infor Det Sgto PEI 2021-2024 '!BP44</f>
        <v>0.6796724398821552</v>
      </c>
      <c r="O23" s="715"/>
      <c r="P23" s="715"/>
    </row>
    <row r="24" spans="2:16" ht="105" customHeight="1">
      <c r="B24" s="1136"/>
      <c r="C24" s="1154" t="str">
        <f>+'Matriz PEI 2021-2024'!C21</f>
        <v>4.2. Consolidar el 90% del Modelo Integrado de Planeación y Gestión –MIPG- y sus sistemas de gestión articulados, como compromiso con la Calidad, la Excelencia, la Responsabilidad Ambiental y la Mejora en la prestación del Servicio.</v>
      </c>
      <c r="D24" s="1157">
        <f>+'Matriz PEI 2021-2024'!E21</f>
        <v>0.9</v>
      </c>
      <c r="E24" s="732" t="str">
        <f>+'1-Infor Det Sgto PEI 2021-2024 '!F51</f>
        <v xml:space="preserve">Porcentaje de acciones implementadas para la sostenibilidad y mejora del SGC </v>
      </c>
      <c r="F24" s="986">
        <f>+'1-Infor Det Sgto PEI 2021-2024 '!AJ51</f>
        <v>1</v>
      </c>
      <c r="G24" s="986">
        <f>+'1-Infor Det Sgto PEI 2021-2024 '!AK51</f>
        <v>0.99960000000000004</v>
      </c>
      <c r="H24" s="986">
        <f>+'1-Infor Det Sgto PEI 2021-2024 '!AL51</f>
        <v>0.99960000000000004</v>
      </c>
      <c r="I24" s="986">
        <f>+'1-Infor Det Sgto PEI 2021-2024 '!BJ51</f>
        <v>1</v>
      </c>
      <c r="J24" s="986">
        <f>+'1-Infor Det Sgto PEI 2021-2024 '!BK51</f>
        <v>0.99604512213760876</v>
      </c>
      <c r="K24" s="986">
        <f>+'1-Infor Det Sgto PEI 2021-2024 '!BL51</f>
        <v>0.99604512213760876</v>
      </c>
      <c r="L24" s="922">
        <f>+'1-Infor Det Sgto PEI 2021-2024 '!BN51</f>
        <v>9.9604512213760876E-2</v>
      </c>
      <c r="M24" s="1141">
        <f>+'1-Infor Det Sgto PEI 2021-2024 '!BO51</f>
        <v>0.63841403602328473</v>
      </c>
      <c r="N24" s="1134"/>
      <c r="O24" s="714"/>
      <c r="P24" s="714"/>
    </row>
    <row r="25" spans="2:16" ht="69.599999999999994" customHeight="1">
      <c r="B25" s="1136"/>
      <c r="C25" s="1155"/>
      <c r="D25" s="1158"/>
      <c r="E25" s="732" t="str">
        <f>+'1-Infor Det Sgto PEI 2021-2024 '!F52</f>
        <v>Porcentaje de actividades implementadas para la sostenibilidad  y mejora del MIPG</v>
      </c>
      <c r="F25" s="986">
        <f>+'1-Infor Det Sgto PEI 2021-2024 '!AJ52</f>
        <v>0.13999999999999999</v>
      </c>
      <c r="G25" s="986">
        <f>+'1-Infor Det Sgto PEI 2021-2024 '!AK52</f>
        <v>0.14000000000000001</v>
      </c>
      <c r="H25" s="986">
        <f>+'1-Infor Det Sgto PEI 2021-2024 '!AL52</f>
        <v>1.0000000000000002</v>
      </c>
      <c r="I25" s="986">
        <f>+'1-Infor Det Sgto PEI 2021-2024 '!BJ52</f>
        <v>0.36000000000000004</v>
      </c>
      <c r="J25" s="986">
        <f>+'1-Infor Det Sgto PEI 2021-2024 '!BK52</f>
        <v>0.34</v>
      </c>
      <c r="K25" s="986">
        <f>+'1-Infor Det Sgto PEI 2021-2024 '!BL52</f>
        <v>0.94444444444444442</v>
      </c>
      <c r="L25" s="922">
        <f>+'1-Infor Det Sgto PEI 2021-2024 '!BN52</f>
        <v>0.17</v>
      </c>
      <c r="M25" s="1142"/>
      <c r="N25" s="1134"/>
      <c r="O25" s="714"/>
      <c r="P25" s="714"/>
    </row>
    <row r="26" spans="2:16" ht="55.95" customHeight="1">
      <c r="B26" s="1136"/>
      <c r="C26" s="1155"/>
      <c r="D26" s="1158"/>
      <c r="E26" s="732" t="str">
        <f>+'1-Infor Det Sgto PEI 2021-2024 '!F53</f>
        <v xml:space="preserve">Porcentaje de requisitos del  SGA implementados bajo los estándares de la norma ISO 14001 </v>
      </c>
      <c r="F26" s="986">
        <f>+'1-Infor Det Sgto PEI 2021-2024 '!AJ53</f>
        <v>0.33</v>
      </c>
      <c r="G26" s="986">
        <f>+'1-Infor Det Sgto PEI 2021-2024 '!AK53</f>
        <v>0.33</v>
      </c>
      <c r="H26" s="986">
        <f>+'1-Infor Det Sgto PEI 2021-2024 '!AL53</f>
        <v>1</v>
      </c>
      <c r="I26" s="986">
        <f>+'1-Infor Det Sgto PEI 2021-2024 '!BJ53</f>
        <v>0.71</v>
      </c>
      <c r="J26" s="986">
        <f>+'1-Infor Det Sgto PEI 2021-2024 '!BK53</f>
        <v>0.71</v>
      </c>
      <c r="K26" s="986">
        <f>+'1-Infor Det Sgto PEI 2021-2024 '!BL53</f>
        <v>1</v>
      </c>
      <c r="L26" s="922">
        <f>+'1-Infor Det Sgto PEI 2021-2024 '!BN53</f>
        <v>0.1065</v>
      </c>
      <c r="M26" s="1142"/>
      <c r="N26" s="1134"/>
      <c r="O26" s="714"/>
      <c r="P26" s="714"/>
    </row>
    <row r="27" spans="2:16" ht="52.2" customHeight="1">
      <c r="B27" s="1136"/>
      <c r="C27" s="1155"/>
      <c r="D27" s="1158"/>
      <c r="E27" s="732" t="str">
        <f>+'1-Infor Det Sgto PEI 2021-2024 '!F54</f>
        <v>Acciones de monitoreo y revisión realizadas al PAAC</v>
      </c>
      <c r="F27" s="729">
        <f>+'1-Infor Det Sgto PEI 2021-2024 '!AJ54</f>
        <v>3</v>
      </c>
      <c r="G27" s="729">
        <f>+'1-Infor Det Sgto PEI 2021-2024 '!AK54</f>
        <v>3</v>
      </c>
      <c r="H27" s="986">
        <f>+'1-Infor Det Sgto PEI 2021-2024 '!AL54</f>
        <v>1</v>
      </c>
      <c r="I27" s="729">
        <f>+'1-Infor Det Sgto PEI 2021-2024 '!BJ54</f>
        <v>6</v>
      </c>
      <c r="J27" s="729">
        <f>+'1-Infor Det Sgto PEI 2021-2024 '!BK54</f>
        <v>6</v>
      </c>
      <c r="K27" s="729">
        <f>+'1-Infor Det Sgto PEI 2021-2024 '!BL54</f>
        <v>1</v>
      </c>
      <c r="L27" s="922">
        <f>+'1-Infor Det Sgto PEI 2021-2024 '!BN54</f>
        <v>0.05</v>
      </c>
      <c r="M27" s="1142"/>
      <c r="N27" s="1134"/>
      <c r="O27" s="714"/>
      <c r="P27" s="714"/>
    </row>
    <row r="28" spans="2:16" ht="64.95" customHeight="1">
      <c r="B28" s="1136"/>
      <c r="C28" s="1155"/>
      <c r="D28" s="1158"/>
      <c r="E28" s="732" t="str">
        <f>+'1-Infor Det Sgto PEI 2021-2024 '!F55</f>
        <v>Porcentaje de Percepción de los usuarios en calificación excelente y bueno incrementado</v>
      </c>
      <c r="F28" s="986">
        <f>+'1-Infor Det Sgto PEI 2021-2024 '!AJ55</f>
        <v>0.9</v>
      </c>
      <c r="G28" s="986">
        <f>+'1-Infor Det Sgto PEI 2021-2024 '!AK55</f>
        <v>0.95899999999999996</v>
      </c>
      <c r="H28" s="986">
        <f>+'1-Infor Det Sgto PEI 2021-2024 '!AL55</f>
        <v>1.0655555555555556</v>
      </c>
      <c r="I28" s="986">
        <f>+'1-Infor Det Sgto PEI 2021-2024 '!BJ55</f>
        <v>0.9</v>
      </c>
      <c r="J28" s="753">
        <f>+'1-Infor Det Sgto PEI 2021-2024 '!BK55</f>
        <v>0.94650000000000001</v>
      </c>
      <c r="K28" s="986">
        <f>+'1-Infor Det Sgto PEI 2021-2024 '!BL55</f>
        <v>1.0516666666666667</v>
      </c>
      <c r="L28" s="922">
        <f>+'1-Infor Det Sgto PEI 2021-2024 '!BN55</f>
        <v>0.10516666666666669</v>
      </c>
      <c r="M28" s="1142"/>
      <c r="N28" s="1134"/>
      <c r="O28" s="714"/>
      <c r="P28" s="714"/>
    </row>
    <row r="29" spans="2:16" ht="42" customHeight="1">
      <c r="B29" s="1136"/>
      <c r="C29" s="1156"/>
      <c r="D29" s="1159"/>
      <c r="E29" s="732" t="str">
        <f>+'1-Infor Det Sgto PEI 2021-2024 '!F56</f>
        <v>Lineamientos implementados en el periodo</v>
      </c>
      <c r="F29" s="729">
        <f>+'1-Infor Det Sgto PEI 2021-2024 '!AJ56</f>
        <v>3</v>
      </c>
      <c r="G29" s="729">
        <f>+'1-Infor Det Sgto PEI 2021-2024 '!AK56</f>
        <v>3</v>
      </c>
      <c r="H29" s="986">
        <f>+'1-Infor Det Sgto PEI 2021-2024 '!AL56</f>
        <v>1</v>
      </c>
      <c r="I29" s="729">
        <f>+'1-Infor Det Sgto PEI 2021-2024 '!BJ56</f>
        <v>5</v>
      </c>
      <c r="J29" s="729">
        <f>+'1-Infor Det Sgto PEI 2021-2024 '!BK56</f>
        <v>5</v>
      </c>
      <c r="K29" s="729">
        <f>+'1-Infor Det Sgto PEI 2021-2024 '!BL56</f>
        <v>1</v>
      </c>
      <c r="L29" s="922">
        <f>+'1-Infor Det Sgto PEI 2021-2024 '!BN56</f>
        <v>0.10714285714285714</v>
      </c>
      <c r="M29" s="1143"/>
      <c r="N29" s="1134"/>
      <c r="O29" s="714"/>
      <c r="P29" s="714"/>
    </row>
    <row r="30" spans="2:16" ht="60" customHeight="1">
      <c r="B30" s="1136"/>
      <c r="C30" s="1154" t="str">
        <f>+'Matriz PEI 2021-2024'!C22</f>
        <v xml:space="preserve">4.3. Realizar el 100% de las actividades relacionadas con la Gestión del Talento Humano, que permita su fortalecimiento y el desarrollo de sus conocimientos, su competencia y bienestar. </v>
      </c>
      <c r="D30" s="1157">
        <f>+'Matriz PEI 2021-2024'!E22</f>
        <v>1</v>
      </c>
      <c r="E30" s="732" t="str">
        <f>+'1-Infor Det Sgto PEI 2021-2024 '!F57</f>
        <v>Porcentaje de novedades y situaciones administrativas gestionadas</v>
      </c>
      <c r="F30" s="986">
        <f>+'1-Infor Det Sgto PEI 2021-2024 '!AJ57</f>
        <v>1</v>
      </c>
      <c r="G30" s="986">
        <f>+'1-Infor Det Sgto PEI 2021-2024 '!AK57</f>
        <v>1</v>
      </c>
      <c r="H30" s="986">
        <f>+'1-Infor Det Sgto PEI 2021-2024 '!AL57</f>
        <v>1</v>
      </c>
      <c r="I30" s="986">
        <f>+'1-Infor Det Sgto PEI 2021-2024 '!BJ57</f>
        <v>1</v>
      </c>
      <c r="J30" s="986">
        <f>+'1-Infor Det Sgto PEI 2021-2024 '!BK57</f>
        <v>1</v>
      </c>
      <c r="K30" s="986">
        <f>+'1-Infor Det Sgto PEI 2021-2024 '!BL57</f>
        <v>1</v>
      </c>
      <c r="L30" s="922">
        <f>+'1-Infor Det Sgto PEI 2021-2024 '!BN57</f>
        <v>0.05</v>
      </c>
      <c r="M30" s="1160">
        <f>+'1-Infor Det Sgto PEI 2021-2024 '!BO57</f>
        <v>0.51071176092574044</v>
      </c>
      <c r="N30" s="1134"/>
      <c r="O30" s="707"/>
      <c r="P30" s="707"/>
    </row>
    <row r="31" spans="2:16" ht="60" customHeight="1">
      <c r="B31" s="1136"/>
      <c r="C31" s="1155"/>
      <c r="D31" s="1158"/>
      <c r="E31" s="732" t="str">
        <f>+'1-Infor Det Sgto PEI 2021-2024 '!F58</f>
        <v xml:space="preserve">Novedades incluidas en la nómina  oportunamente  </v>
      </c>
      <c r="F31" s="986">
        <f>+'1-Infor Det Sgto PEI 2021-2024 '!AJ58</f>
        <v>0.98000000000000032</v>
      </c>
      <c r="G31" s="986">
        <f>+'1-Infor Det Sgto PEI 2021-2024 '!AK58</f>
        <v>0.98199999999999998</v>
      </c>
      <c r="H31" s="986">
        <f>+'1-Infor Det Sgto PEI 2021-2024 '!AL58</f>
        <v>1.0020408163265302</v>
      </c>
      <c r="I31" s="986">
        <f>+'1-Infor Det Sgto PEI 2021-2024 '!BJ58</f>
        <v>0.97500000000000009</v>
      </c>
      <c r="J31" s="986">
        <f>+'1-Infor Det Sgto PEI 2021-2024 '!BK58</f>
        <v>0.98016666666666663</v>
      </c>
      <c r="K31" s="986">
        <f>+'1-Infor Det Sgto PEI 2021-2024 '!BL58</f>
        <v>1.0052991452991451</v>
      </c>
      <c r="L31" s="922">
        <f>+'1-Infor Det Sgto PEI 2021-2024 '!BN58</f>
        <v>5.0110770279481937E-2</v>
      </c>
      <c r="M31" s="1161"/>
      <c r="N31" s="1134"/>
      <c r="O31" s="707"/>
      <c r="P31" s="707"/>
    </row>
    <row r="32" spans="2:16" ht="119.4" customHeight="1">
      <c r="B32" s="1136"/>
      <c r="C32" s="1155"/>
      <c r="D32" s="1158"/>
      <c r="E32" s="732" t="str">
        <f>+'1-Infor Det Sgto PEI 2021-2024 '!F59</f>
        <v>Porcentaje de Usuarios internos satisfechos con las solicitudes de los servicios atendidas de la SGTH (Certificaciones laborales, bonos pensionales y autorizaciones de retiro de cesantías)</v>
      </c>
      <c r="F32" s="986">
        <f>+'1-Infor Det Sgto PEI 2021-2024 '!AJ59</f>
        <v>0.96000000000000008</v>
      </c>
      <c r="G32" s="986">
        <f>+'1-Infor Det Sgto PEI 2021-2024 '!AK59</f>
        <v>0.96599999999999997</v>
      </c>
      <c r="H32" s="986">
        <f>+'1-Infor Det Sgto PEI 2021-2024 '!AL59</f>
        <v>1.0062499999999999</v>
      </c>
      <c r="I32" s="986">
        <f>+'1-Infor Det Sgto PEI 2021-2024 '!BJ59</f>
        <v>0.93428571428571427</v>
      </c>
      <c r="J32" s="986">
        <f>+'1-Infor Det Sgto PEI 2021-2024 '!BK59</f>
        <v>0.96171428571428563</v>
      </c>
      <c r="K32" s="986">
        <f>+'1-Infor Det Sgto PEI 2021-2024 '!BL59</f>
        <v>1.0293577981651376</v>
      </c>
      <c r="L32" s="922">
        <f>+'1-Infor Det Sgto PEI 2021-2024 '!BN59</f>
        <v>5.0884353741496607E-2</v>
      </c>
      <c r="M32" s="1161"/>
      <c r="N32" s="1134"/>
      <c r="O32" s="707"/>
      <c r="P32" s="707"/>
    </row>
    <row r="33" spans="2:16" ht="60" customHeight="1">
      <c r="B33" s="1136"/>
      <c r="C33" s="1155"/>
      <c r="D33" s="1158"/>
      <c r="E33" s="732" t="str">
        <f>+'1-Infor Det Sgto PEI 2021-2024 '!F60</f>
        <v>Avance en la ejecución de los planes que desarrollan la gestión del talento humano</v>
      </c>
      <c r="F33" s="986">
        <f>AVERAGE('1-Infor Det Sgto PEI 2021-2024 '!AJ60:AJ63)</f>
        <v>1</v>
      </c>
      <c r="G33" s="986">
        <f>AVERAGE('1-Infor Det Sgto PEI 2021-2024 '!AK60:AK63)</f>
        <v>0.98259999999999992</v>
      </c>
      <c r="H33" s="986">
        <f>AVERAGE('1-Infor Det Sgto PEI 2021-2024 '!AL60:AL63)</f>
        <v>0.98260000000000003</v>
      </c>
      <c r="I33" s="986">
        <f>AVERAGE('1-Infor Det Sgto PEI 2021-2024 '!BJ60:BJ63)</f>
        <v>1</v>
      </c>
      <c r="J33" s="986">
        <f>AVERAGE('1-Infor Det Sgto PEI 2021-2024 '!BK60:BK63)</f>
        <v>1.0228312499999999</v>
      </c>
      <c r="K33" s="986">
        <f>AVERAGE('1-Infor Det Sgto PEI 2021-2024 '!BL60:BL63)</f>
        <v>1.0228312499999999</v>
      </c>
      <c r="L33" s="922">
        <f>SUM('1-Infor Det Sgto PEI 2021-2024 '!BN60:BN63)</f>
        <v>0.297811875</v>
      </c>
      <c r="M33" s="1161"/>
      <c r="N33" s="1134"/>
      <c r="O33" s="707"/>
      <c r="P33" s="707"/>
    </row>
    <row r="34" spans="2:16" ht="106.95" customHeight="1">
      <c r="B34" s="1136"/>
      <c r="C34" s="1156"/>
      <c r="D34" s="1159"/>
      <c r="E34" s="732" t="str">
        <f>+'1-Infor Det Sgto PEI 2021-2024 '!F64</f>
        <v>Capacitaciones realizadas sobre los Sistemas de Gestión y Evaluación del Desempeño Laboral de la Personería de Bogotá, D.C.</v>
      </c>
      <c r="F34" s="729">
        <f>+'1-Infor Det Sgto PEI 2021-2024 '!AJ64</f>
        <v>4</v>
      </c>
      <c r="G34" s="729">
        <f>+'1-Infor Det Sgto PEI 2021-2024 '!AK64</f>
        <v>4</v>
      </c>
      <c r="H34" s="753">
        <f>+'1-Infor Det Sgto PEI 2021-2024 '!AL64</f>
        <v>1</v>
      </c>
      <c r="I34" s="729">
        <f>+'1-Infor Det Sgto PEI 2021-2024 '!BJ64</f>
        <v>13</v>
      </c>
      <c r="J34" s="729">
        <f>+'1-Infor Det Sgto PEI 2021-2024 '!BK64</f>
        <v>13</v>
      </c>
      <c r="K34" s="986">
        <f>+'1-Infor Det Sgto PEI 2021-2024 '!BL64</f>
        <v>1</v>
      </c>
      <c r="L34" s="922">
        <f>+'1-Infor Det Sgto PEI 2021-2024 '!BN64</f>
        <v>6.1904761904761907E-2</v>
      </c>
      <c r="M34" s="1162"/>
      <c r="N34" s="1134"/>
      <c r="O34" s="707"/>
      <c r="P34" s="707"/>
    </row>
    <row r="35" spans="2:16" ht="76.5" customHeight="1">
      <c r="B35" s="1136"/>
      <c r="C35" s="1154" t="str">
        <f>+'Matriz PEI 2021-2024'!C23</f>
        <v>4.4. Implementar el 100% de las acciones necesarias para la modernización de la gestión institucional a través de los procesos de apoyo, que permita una mejor prestación del servicio.</v>
      </c>
      <c r="D35" s="1157">
        <f>+'Matriz PEI 2021-2024'!E23</f>
        <v>1</v>
      </c>
      <c r="E35" s="732" t="str">
        <f>+'1-Infor Det Sgto PEI 2021-2024 '!F65</f>
        <v>Acciones implementadas para la modernización de la gestión institucional en el proceso Gestión Administrativa</v>
      </c>
      <c r="F35" s="753">
        <f>AVERAGE('1-Infor Det Sgto PEI 2021-2024 '!AJ65:AJ66)</f>
        <v>0.9850000000000001</v>
      </c>
      <c r="G35" s="753">
        <f>AVERAGE('1-Infor Det Sgto PEI 2021-2024 '!AK65:AK66)</f>
        <v>1.0655000000000001</v>
      </c>
      <c r="H35" s="749">
        <f>AVERAGE('1-Infor Det Sgto PEI 2021-2024 '!AL65:AL66)</f>
        <v>1.0829896907216494</v>
      </c>
      <c r="I35" s="753">
        <f>AVERAGE('1-Infor Det Sgto PEI 2021-2024 '!BJ65:BJ66)</f>
        <v>0.98499999999999999</v>
      </c>
      <c r="J35" s="753">
        <f>AVERAGE('1-Infor Det Sgto PEI 2021-2024 '!BK65:BK66)</f>
        <v>1.0450023148148149</v>
      </c>
      <c r="K35" s="753">
        <f>AVERAGE('1-Infor Det Sgto PEI 2021-2024 '!BL65:BL66)</f>
        <v>1.0618651441389844</v>
      </c>
      <c r="L35" s="922">
        <f>SUM('1-Infor Det Sgto PEI 2021-2024 '!BN65:BN66)</f>
        <v>0.10618651441389844</v>
      </c>
      <c r="M35" s="1141">
        <f>+'1-Infor Det Sgto PEI 2021-2024 '!BO65</f>
        <v>0.50601327943021401</v>
      </c>
      <c r="N35" s="1134"/>
      <c r="O35" s="713"/>
      <c r="P35" s="713"/>
    </row>
    <row r="36" spans="2:16" ht="76.5" customHeight="1">
      <c r="B36" s="1136"/>
      <c r="C36" s="1155"/>
      <c r="D36" s="1158"/>
      <c r="E36" s="732" t="str">
        <f>+'1-Infor Det Sgto PEI 2021-2024 '!F67</f>
        <v>Acciones implementadas para la modernización de la gestión institucional en el proceso Gestión Financiera</v>
      </c>
      <c r="F36" s="986">
        <f>AVERAGE('1-Infor Det Sgto PEI 2021-2024 '!AJ67:AJ69)</f>
        <v>0.96666666666666667</v>
      </c>
      <c r="G36" s="753">
        <f>AVERAGE('1-Infor Det Sgto PEI 2021-2024 '!AK67:AK69)</f>
        <v>1.0128305647612477</v>
      </c>
      <c r="H36" s="749">
        <f>AVERAGE('1-Infor Det Sgto PEI 2021-2024 '!AL67:AL69)</f>
        <v>1.0485935769416641</v>
      </c>
      <c r="I36" s="986">
        <f>AVERAGE('1-Infor Det Sgto PEI 2021-2024 '!BJ67:BJ69)</f>
        <v>0.96666666666666667</v>
      </c>
      <c r="J36" s="753">
        <f>AVERAGE('1-Infor Det Sgto PEI 2021-2024 '!BK67:BK69)</f>
        <v>0.99589270530634666</v>
      </c>
      <c r="K36" s="753">
        <f>AVERAGE('1-Infor Det Sgto PEI 2021-2024 '!BL67:BL69)</f>
        <v>1.0307642511996631</v>
      </c>
      <c r="L36" s="922">
        <f>SUM('1-Infor Det Sgto PEI 2021-2024 '!BN67:BN69)</f>
        <v>0.10323024637596463</v>
      </c>
      <c r="M36" s="1142"/>
      <c r="N36" s="1134"/>
      <c r="O36" s="713"/>
      <c r="P36" s="713"/>
    </row>
    <row r="37" spans="2:16" ht="76.5" customHeight="1">
      <c r="B37" s="1136"/>
      <c r="C37" s="1155"/>
      <c r="D37" s="1158"/>
      <c r="E37" s="732" t="str">
        <f>+'1-Infor Det Sgto PEI 2021-2024 '!F70</f>
        <v xml:space="preserve">Porcentaje del Plan Anual de Adquisiciones ejecutado </v>
      </c>
      <c r="F37" s="986">
        <f>+'1-Infor Det Sgto PEI 2021-2024 '!AJ70</f>
        <v>0.95000000000000007</v>
      </c>
      <c r="G37" s="986">
        <f>+'1-Infor Det Sgto PEI 2021-2024 '!AK70</f>
        <v>0.98</v>
      </c>
      <c r="H37" s="986">
        <f>+'1-Infor Det Sgto PEI 2021-2024 '!AL70</f>
        <v>1.0315789473684209</v>
      </c>
      <c r="I37" s="986">
        <f>+'1-Infor Det Sgto PEI 2021-2024 '!BJ70</f>
        <v>0.95</v>
      </c>
      <c r="J37" s="986">
        <f>+'1-Infor Det Sgto PEI 2021-2024 '!BK70</f>
        <v>0.91999999999999993</v>
      </c>
      <c r="K37" s="986">
        <f>+'1-Infor Det Sgto PEI 2021-2024 '!BL70</f>
        <v>0.96842105263157896</v>
      </c>
      <c r="L37" s="922">
        <f>+'1-Infor Det Sgto PEI 2021-2024 '!BN70</f>
        <v>4.8421052631578948E-2</v>
      </c>
      <c r="M37" s="1142"/>
      <c r="N37" s="1134"/>
      <c r="O37" s="713"/>
      <c r="P37" s="713"/>
    </row>
    <row r="38" spans="2:16" ht="76.5" customHeight="1">
      <c r="B38" s="1136"/>
      <c r="C38" s="1155"/>
      <c r="D38" s="1158"/>
      <c r="E38" s="732" t="str">
        <f>+'1-Infor Det Sgto PEI 2021-2024 '!F71</f>
        <v>Porcentaje de Comunicaciones oficiales con reparto realizado dentro de los 3 días hábiles desde su radicación</v>
      </c>
      <c r="F38" s="986">
        <f>+'1-Infor Det Sgto PEI 2021-2024 '!AJ71</f>
        <v>0.94999999999999984</v>
      </c>
      <c r="G38" s="986">
        <f>+'1-Infor Det Sgto PEI 2021-2024 '!AK71</f>
        <v>0.98399999999999999</v>
      </c>
      <c r="H38" s="986">
        <f>+'1-Infor Det Sgto PEI 2021-2024 '!AL71</f>
        <v>1.0357894736842106</v>
      </c>
      <c r="I38" s="986">
        <f>+'1-Infor Det Sgto PEI 2021-2024 '!BJ71</f>
        <v>0.95</v>
      </c>
      <c r="J38" s="986">
        <f>+'1-Infor Det Sgto PEI 2021-2024 '!BK71</f>
        <v>0.9790916666666668</v>
      </c>
      <c r="K38" s="986">
        <f>+'1-Infor Det Sgto PEI 2021-2024 '!BL71</f>
        <v>1.0306228070175441</v>
      </c>
      <c r="L38" s="922">
        <f>+'1-Infor Det Sgto PEI 2021-2024 '!BN71</f>
        <v>2.5765570175438603E-2</v>
      </c>
      <c r="M38" s="1142"/>
      <c r="N38" s="1134"/>
      <c r="O38" s="713"/>
      <c r="P38" s="713"/>
    </row>
    <row r="39" spans="2:16" ht="76.5" customHeight="1">
      <c r="B39" s="1136"/>
      <c r="C39" s="1155"/>
      <c r="D39" s="1158"/>
      <c r="E39" s="732" t="str">
        <f>+'1-Infor Det Sgto PEI 2021-2024 '!F72</f>
        <v>Porcentaje de documentación incorporada en el archivo central durante la vigencia.</v>
      </c>
      <c r="F39" s="986">
        <f>+'1-Infor Det Sgto PEI 2021-2024 '!AJ72</f>
        <v>0.79999999999999993</v>
      </c>
      <c r="G39" s="986">
        <f>+'1-Infor Det Sgto PEI 2021-2024 '!AK72</f>
        <v>0.85099999999999998</v>
      </c>
      <c r="H39" s="753">
        <f>+'1-Infor Det Sgto PEI 2021-2024 '!AL72</f>
        <v>1.06375</v>
      </c>
      <c r="I39" s="986">
        <f>+'1-Infor Det Sgto PEI 2021-2024 '!BJ72</f>
        <v>0.8</v>
      </c>
      <c r="J39" s="986">
        <f>+'1-Infor Det Sgto PEI 2021-2024 '!BK72</f>
        <v>0.82725000000000004</v>
      </c>
      <c r="K39" s="986">
        <f>+'1-Infor Det Sgto PEI 2021-2024 '!BL72</f>
        <v>1.0340624999999999</v>
      </c>
      <c r="L39" s="922">
        <f>+'1-Infor Det Sgto PEI 2021-2024 '!BN72</f>
        <v>2.5851562499999998E-2</v>
      </c>
      <c r="M39" s="1142"/>
      <c r="N39" s="1134"/>
      <c r="O39" s="713"/>
      <c r="P39" s="713"/>
    </row>
    <row r="40" spans="2:16" ht="105.6" customHeight="1">
      <c r="B40" s="1136"/>
      <c r="C40" s="1155"/>
      <c r="D40" s="1158"/>
      <c r="E40" s="732" t="str">
        <f>+'1-Infor Det Sgto PEI 2021-2024 '!F73</f>
        <v xml:space="preserve">Acciones implementadas para la modernización de la gestión institucional en actualización e  implementación de instrumentos archivísticos </v>
      </c>
      <c r="F40" s="729">
        <f>'1-Infor Det Sgto PEI 2021-2024 '!AJ73+'1-Infor Det Sgto PEI 2021-2024 '!AJ74</f>
        <v>50</v>
      </c>
      <c r="G40" s="729">
        <f>'1-Infor Det Sgto PEI 2021-2024 '!AK73+'1-Infor Det Sgto PEI 2021-2024 '!AK74</f>
        <v>50.45</v>
      </c>
      <c r="H40" s="749">
        <f>AVERAGE('1-Infor Det Sgto PEI 2021-2024 '!AL73:AL74)</f>
        <v>1.0090000000000001</v>
      </c>
      <c r="I40" s="729">
        <f>'1-Infor Det Sgto PEI 2021-2024 '!BJ73+'1-Infor Det Sgto PEI 2021-2024 '!BJ74</f>
        <v>100</v>
      </c>
      <c r="J40" s="729">
        <f>'1-Infor Det Sgto PEI 2021-2024 '!BK73+'1-Infor Det Sgto PEI 2021-2024 '!BK74</f>
        <v>100.45</v>
      </c>
      <c r="K40" s="729">
        <f>'1-Infor Det Sgto PEI 2021-2024 '!BL73+'1-Infor Det Sgto PEI 2021-2024 '!BL74</f>
        <v>2.0089999999999999</v>
      </c>
      <c r="L40" s="922">
        <f>'1-Infor Det Sgto PEI 2021-2024 '!BN73+'1-Infor Det Sgto PEI 2021-2024 '!BN74</f>
        <v>5.0225000000000006E-2</v>
      </c>
      <c r="M40" s="1142"/>
      <c r="N40" s="1134"/>
      <c r="O40" s="713"/>
      <c r="P40" s="713"/>
    </row>
    <row r="41" spans="2:16" ht="76.5" customHeight="1">
      <c r="B41" s="1136"/>
      <c r="C41" s="1155"/>
      <c r="D41" s="1158"/>
      <c r="E41" s="732" t="str">
        <f>+'1-Infor Det Sgto PEI 2021-2024 '!F75</f>
        <v>Acciones implementadas para la modernización de la gestión institucional en el proceso Gestión Jurídica</v>
      </c>
      <c r="F41" s="986">
        <f>AVERAGE('1-Infor Det Sgto PEI 2021-2024 '!AJ75:AJ79)</f>
        <v>1</v>
      </c>
      <c r="G41" s="986">
        <f>AVERAGE('1-Infor Det Sgto PEI 2021-2024 '!AK75:AK79)</f>
        <v>1</v>
      </c>
      <c r="H41" s="986">
        <f>AVERAGE('1-Infor Det Sgto PEI 2021-2024 '!AL75:AL79)</f>
        <v>1</v>
      </c>
      <c r="I41" s="986">
        <f>AVERAGE('1-Infor Det Sgto PEI 2021-2024 '!BJ75:BJ79)</f>
        <v>1</v>
      </c>
      <c r="J41" s="986">
        <f>AVERAGE('1-Infor Det Sgto PEI 2021-2024 '!BK75:BK79)</f>
        <v>1</v>
      </c>
      <c r="K41" s="986">
        <f>AVERAGE('1-Infor Det Sgto PEI 2021-2024 '!BL75:BL79)</f>
        <v>1</v>
      </c>
      <c r="L41" s="922">
        <f>SUM('1-Infor Det Sgto PEI 2021-2024 '!BN75:BN79)</f>
        <v>0.1</v>
      </c>
      <c r="M41" s="1142"/>
      <c r="N41" s="1134"/>
      <c r="O41" s="713"/>
      <c r="P41" s="713"/>
    </row>
    <row r="42" spans="2:16" ht="76.5" customHeight="1">
      <c r="B42" s="1136"/>
      <c r="C42" s="1156"/>
      <c r="D42" s="1159"/>
      <c r="E42" s="732" t="str">
        <f>+'1-Infor Det Sgto PEI 2021-2024 '!F80</f>
        <v xml:space="preserve">Porcentaje de contratos en las diferentes modalidades de contratación elaborados en los tiempos óptimos </v>
      </c>
      <c r="F42" s="986">
        <f>AVERAGE('1-Infor Det Sgto PEI 2021-2024 '!AJ80:AJ82)</f>
        <v>0.79999999999999993</v>
      </c>
      <c r="G42" s="986">
        <f>AVERAGE('1-Infor Det Sgto PEI 2021-2024 '!AK80:AK82)</f>
        <v>0.8803333333333333</v>
      </c>
      <c r="H42" s="986">
        <f>AVERAGE('1-Infor Det Sgto PEI 2021-2024 '!AL80:AL82)</f>
        <v>1.1004166666666666</v>
      </c>
      <c r="I42" s="986">
        <f>AVERAGE('1-Infor Det Sgto PEI 2021-2024 '!BJ80:BJ82)</f>
        <v>0.79999999999999993</v>
      </c>
      <c r="J42" s="986">
        <f>AVERAGE('1-Infor Det Sgto PEI 2021-2024 '!BK80:BK82)</f>
        <v>0.8803333333333333</v>
      </c>
      <c r="K42" s="986">
        <f>AVERAGE('1-Infor Det Sgto PEI 2021-2024 '!BL80:BL82)</f>
        <v>1.1004166666666666</v>
      </c>
      <c r="L42" s="922">
        <f>SUM('1-Infor Det Sgto PEI 2021-2024 '!BN80:BN82)</f>
        <v>4.6333333333333337E-2</v>
      </c>
      <c r="M42" s="1143"/>
      <c r="N42" s="1134"/>
      <c r="O42" s="713"/>
      <c r="P42" s="713"/>
    </row>
    <row r="43" spans="2:16" ht="83.4" customHeight="1">
      <c r="B43" s="1136"/>
      <c r="C43" s="985" t="str">
        <f>+'Matriz PEI 2021-2024'!C24</f>
        <v>4.5. Desarrollar el 100% de las acciones relacionadas con el fomento de la Cultura del Autocontrol, la Autorregulación y la Autogestión institucional.</v>
      </c>
      <c r="D43" s="986">
        <f>+'Matriz PEI 2021-2024'!E24</f>
        <v>1</v>
      </c>
      <c r="E43" s="732" t="str">
        <f>+'1-Infor Det Sgto PEI 2021-2024 '!F83</f>
        <v>Acciones desarrolladas relacionadas con el fomento de la cultura del autocontrol, autoregulación y autogestión</v>
      </c>
      <c r="F43" s="729">
        <f>SUM('1-Infor Det Sgto PEI 2021-2024 '!AJ83:AJ88)</f>
        <v>161</v>
      </c>
      <c r="G43" s="729">
        <f>SUM('1-Infor Det Sgto PEI 2021-2024 '!AK83:AK88)</f>
        <v>248</v>
      </c>
      <c r="H43" s="749">
        <f>AVERAGE('1-Infor Det Sgto PEI 2021-2024 '!AL83:AL88)</f>
        <v>1.1711538461538462</v>
      </c>
      <c r="I43" s="729">
        <f>SUM('1-Infor Det Sgto PEI 2021-2024 '!BJ83:BJ88)</f>
        <v>290</v>
      </c>
      <c r="J43" s="729">
        <f>SUM('1-Infor Det Sgto PEI 2021-2024 '!BK83:BK88)</f>
        <v>444</v>
      </c>
      <c r="K43" s="729">
        <f>SUM('1-Infor Det Sgto PEI 2021-2024 '!BL83:BL88)</f>
        <v>6.8678947368421053</v>
      </c>
      <c r="L43" s="922">
        <f>SUM('1-Infor Det Sgto PEI 2021-2024 '!BN83:BN88)</f>
        <v>0.5707297297297298</v>
      </c>
      <c r="M43" s="924">
        <f>+'1-Infor Det Sgto PEI 2021-2024 '!BO83</f>
        <v>0.5707297297297298</v>
      </c>
      <c r="N43" s="1134"/>
      <c r="O43" s="705"/>
      <c r="P43" s="705"/>
    </row>
    <row r="44" spans="2:16" ht="60" customHeight="1">
      <c r="B44" s="1136"/>
      <c r="C44" s="985" t="str">
        <f>+'Matriz PEI 2021-2024'!C25</f>
        <v>4.6. Desarrollar el 100% de las estrategias de comunicación organizacional y de medios que contribuyan al logro de los objetivos institucionales y al posicionamiento de la Entidad.</v>
      </c>
      <c r="D44" s="986">
        <f>+'Matriz PEI 2021-2024'!E25</f>
        <v>1</v>
      </c>
      <c r="E44" s="732" t="str">
        <f>'1-Infor Det Sgto PEI 2021-2024 '!F89</f>
        <v>Estrategias desarrolladas para la comunicación en la Entidad</v>
      </c>
      <c r="F44" s="986">
        <f>AVERAGE('1-Infor Det Sgto PEI 2021-2024 '!AJ89:AJ90)</f>
        <v>1</v>
      </c>
      <c r="G44" s="986">
        <f>AVERAGE('1-Infor Det Sgto PEI 2021-2024 '!AK89:AK90)</f>
        <v>1</v>
      </c>
      <c r="H44" s="986">
        <f>AVERAGE('1-Infor Det Sgto PEI 2021-2024 '!AL89:AL90)</f>
        <v>1</v>
      </c>
      <c r="I44" s="986">
        <f>AVERAGE('1-Infor Det Sgto PEI 2021-2024 '!BJ89:BJ90)</f>
        <v>1</v>
      </c>
      <c r="J44" s="986">
        <f>AVERAGE('1-Infor Det Sgto PEI 2021-2024 '!BK89:BK90)</f>
        <v>1</v>
      </c>
      <c r="K44" s="986">
        <f>AVERAGE('1-Infor Det Sgto PEI 2021-2024 '!BL89:BL90)</f>
        <v>1</v>
      </c>
      <c r="L44" s="922">
        <f>SUM('1-Infor Det Sgto PEI 2021-2024 '!BN89:BN90)</f>
        <v>0.5</v>
      </c>
      <c r="M44" s="925">
        <f>+'1-Infor Det Sgto PEI 2021-2024 '!BO89</f>
        <v>0.5</v>
      </c>
      <c r="N44" s="1134"/>
      <c r="O44" s="707"/>
      <c r="P44" s="707"/>
    </row>
    <row r="45" spans="2:16" ht="114" customHeight="1">
      <c r="B45" s="1137"/>
      <c r="C45" s="796" t="str">
        <f>+'Matriz PEI 2021-2024'!C26</f>
        <v>4.7. Articular el 100% de las acciones de trabajo interinstitucional y cooperación nacional e internacional que permita aunar esfuerzos para el cumplimiento de la misión institucional.</v>
      </c>
      <c r="D45" s="986">
        <f>+'Matriz PEI 2021-2024'!E26</f>
        <v>1</v>
      </c>
      <c r="E45" s="732" t="str">
        <f>'1-Infor Det Sgto PEI 2021-2024 '!F91</f>
        <v>Acciones articuladas de trabajo interinstitucional y de cooperación</v>
      </c>
      <c r="F45" s="729">
        <f>'1-Infor Det Sgto PEI 2021-2024 '!AJ91</f>
        <v>1</v>
      </c>
      <c r="G45" s="729">
        <f>'1-Infor Det Sgto PEI 2021-2024 '!AK91</f>
        <v>2</v>
      </c>
      <c r="H45" s="986">
        <f>'1-Infor Det Sgto PEI 2021-2024 '!AL91</f>
        <v>2</v>
      </c>
      <c r="I45" s="729">
        <f>'1-Infor Det Sgto PEI 2021-2024 '!BJ91</f>
        <v>2</v>
      </c>
      <c r="J45" s="729">
        <f>'1-Infor Det Sgto PEI 2021-2024 '!BK91</f>
        <v>4</v>
      </c>
      <c r="K45" s="729">
        <f>'1-Infor Det Sgto PEI 2021-2024 '!BL91</f>
        <v>2</v>
      </c>
      <c r="L45" s="922">
        <f>'1-Infor Det Sgto PEI 2021-2024 '!BN91</f>
        <v>1.3333333333333333</v>
      </c>
      <c r="M45" s="926">
        <f>+'1-Infor Det Sgto PEI 2021-2024 '!BO91</f>
        <v>1.3333333333333333</v>
      </c>
      <c r="N45" s="1135"/>
      <c r="O45" s="707"/>
      <c r="P45" s="707"/>
    </row>
    <row r="46" spans="2:16" ht="93.75" customHeight="1">
      <c r="B46" s="1116" t="str">
        <f>+'Matriz PEI 2021-2024'!B27</f>
        <v xml:space="preserve">5. Incorporar una cultura del conocimiento y la innovación a través de actividades que permitan el desarrollo de ideas, lecciones aprendidas e investigaciones para mejorar los resultados de la gestión institucional. </v>
      </c>
      <c r="C46" s="797" t="str">
        <f>+'Matriz PEI 2021-2024'!C27</f>
        <v>5.1 Generar el 100% de productos de nuevo conocimiento o transformar los existentes, alineados con proyectos resultados de la investigación, desarrollo e innovación (I+D+I) en la Entidad.</v>
      </c>
      <c r="D46" s="984">
        <f>+'Matriz PEI 2021-2024'!E27</f>
        <v>1</v>
      </c>
      <c r="E46" s="731" t="str">
        <f>+'1-Infor Det Sgto PEI 2021-2024 '!F92</f>
        <v xml:space="preserve">Productos generados
</v>
      </c>
      <c r="F46" s="779">
        <f>+'1-Infor Det Sgto PEI 2021-2024 '!AJ92</f>
        <v>1</v>
      </c>
      <c r="G46" s="779">
        <f>+'1-Infor Det Sgto PEI 2021-2024 '!AK92</f>
        <v>1</v>
      </c>
      <c r="H46" s="780">
        <f>+'1-Infor Det Sgto PEI 2021-2024 '!AL92</f>
        <v>1</v>
      </c>
      <c r="I46" s="779">
        <f>+'1-Infor Det Sgto PEI 2021-2024 '!BJ92</f>
        <v>2</v>
      </c>
      <c r="J46" s="779">
        <f>+'1-Infor Det Sgto PEI 2021-2024 '!BK92</f>
        <v>3</v>
      </c>
      <c r="K46" s="780">
        <f>+'1-Infor Det Sgto PEI 2021-2024 '!BL92</f>
        <v>1.5</v>
      </c>
      <c r="L46" s="923">
        <f>+'1-Infor Det Sgto PEI 2021-2024 '!BN92</f>
        <v>0.375</v>
      </c>
      <c r="M46" s="704">
        <f>+'1-Infor Det Sgto PEI 2021-2024 '!BO92</f>
        <v>0.625</v>
      </c>
      <c r="N46" s="1119">
        <f>+'1-Infor Det Sgto PEI 2021-2024 '!BP92</f>
        <v>0.55374999999999996</v>
      </c>
      <c r="O46" s="709"/>
      <c r="P46" s="709"/>
    </row>
    <row r="47" spans="2:16" ht="102" customHeight="1">
      <c r="B47" s="1117"/>
      <c r="C47" s="797" t="str">
        <f>+'Matriz PEI 2021-2024'!C28</f>
        <v>5.2 Formular el 100% de herramientas y acciones que permitan categorizar, preservar y utilizar el conocimiento para la toma de decisiones y compartir fácilmente los datos y la información de la Entidad.</v>
      </c>
      <c r="D47" s="984">
        <f>+'Matriz PEI 2021-2024'!E28</f>
        <v>1</v>
      </c>
      <c r="E47" s="731" t="str">
        <f>+'1-Infor Det Sgto PEI 2021-2024 '!F94</f>
        <v xml:space="preserve">Herramientas y acciones formuladas </v>
      </c>
      <c r="F47" s="779">
        <f>+'1-Infor Det Sgto PEI 2021-2024 '!AJ94</f>
        <v>2</v>
      </c>
      <c r="G47" s="779">
        <f>+'1-Infor Det Sgto PEI 2021-2024 '!AK94</f>
        <v>2</v>
      </c>
      <c r="H47" s="780">
        <f>+'1-Infor Det Sgto PEI 2021-2024 '!AL94</f>
        <v>1</v>
      </c>
      <c r="I47" s="779">
        <f>+'1-Infor Det Sgto PEI 2021-2024 '!BJ94</f>
        <v>4</v>
      </c>
      <c r="J47" s="779">
        <f>+'1-Infor Det Sgto PEI 2021-2024 '!BK94</f>
        <v>4</v>
      </c>
      <c r="K47" s="780">
        <f>+'1-Infor Det Sgto PEI 2021-2024 '!BL94</f>
        <v>1</v>
      </c>
      <c r="L47" s="923">
        <f>+'1-Infor Det Sgto PEI 2021-2024 '!BN94</f>
        <v>0.5</v>
      </c>
      <c r="M47" s="704">
        <f>+'1-Infor Det Sgto PEI 2021-2024 '!BO94</f>
        <v>0.5</v>
      </c>
      <c r="N47" s="1120"/>
      <c r="O47" s="709"/>
      <c r="P47" s="709"/>
    </row>
    <row r="48" spans="2:16" ht="124.5" customHeight="1" thickBot="1">
      <c r="B48" s="1118"/>
      <c r="C48" s="798"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48" s="984">
        <f>+'Matriz PEI 2021-2024'!E29</f>
        <v>1</v>
      </c>
      <c r="E48" s="731" t="str">
        <f>+'1-Infor Det Sgto PEI 2021-2024 '!F95</f>
        <v>Espacios y mecanismos desarrollados para la difusión de conocimiento</v>
      </c>
      <c r="F48" s="779">
        <f>+'1-Infor Det Sgto PEI 2021-2024 '!AJ95</f>
        <v>38</v>
      </c>
      <c r="G48" s="779">
        <f>+'1-Infor Det Sgto PEI 2021-2024 '!AK95</f>
        <v>38</v>
      </c>
      <c r="H48" s="780">
        <f>+'1-Infor Det Sgto PEI 2021-2024 '!AL95</f>
        <v>1</v>
      </c>
      <c r="I48" s="779">
        <f>+'1-Infor Det Sgto PEI 2021-2024 '!BJ95</f>
        <v>41</v>
      </c>
      <c r="J48" s="779">
        <f>+'1-Infor Det Sgto PEI 2021-2024 '!BK95</f>
        <v>41</v>
      </c>
      <c r="K48" s="780">
        <f>+'1-Infor Det Sgto PEI 2021-2024 '!BL95</f>
        <v>1</v>
      </c>
      <c r="L48" s="923">
        <f>+'1-Infor Det Sgto PEI 2021-2024 '!BN95</f>
        <v>0.51249999999999996</v>
      </c>
      <c r="M48" s="704">
        <f>+'1-Infor Det Sgto PEI 2021-2024 '!BO95</f>
        <v>0.51249999999999996</v>
      </c>
      <c r="N48" s="1153"/>
      <c r="O48" s="709"/>
      <c r="P48" s="709"/>
    </row>
    <row r="49" spans="2:16" ht="18" thickBot="1">
      <c r="B49" s="659"/>
      <c r="C49" s="719"/>
      <c r="D49" s="727"/>
      <c r="E49" s="727"/>
      <c r="F49" s="727"/>
      <c r="G49" s="727"/>
      <c r="H49" s="727"/>
      <c r="I49" s="727"/>
      <c r="J49" s="727"/>
      <c r="K49" s="727"/>
      <c r="L49" s="727"/>
      <c r="M49" s="1050">
        <f>AVERAGE(M10:M48)</f>
        <v>0.6393884170075077</v>
      </c>
      <c r="N49" s="1051">
        <f>AVERAGE(N10:N48)</f>
        <v>0.64039782604109052</v>
      </c>
      <c r="O49" s="710"/>
      <c r="P49" s="710"/>
    </row>
    <row r="50" spans="2:16" ht="13.5" customHeight="1">
      <c r="B50" s="35"/>
      <c r="C50" s="35"/>
      <c r="D50" s="35"/>
      <c r="E50" s="35"/>
      <c r="F50" s="35"/>
      <c r="G50" s="35"/>
      <c r="H50" s="35"/>
      <c r="I50" s="35"/>
      <c r="J50" s="35"/>
      <c r="K50" s="35"/>
      <c r="L50" s="35"/>
    </row>
    <row r="51" spans="2:16" ht="15" customHeight="1">
      <c r="B51" s="35" t="s">
        <v>1026</v>
      </c>
      <c r="C51" s="35"/>
      <c r="D51" s="35"/>
      <c r="E51" s="35"/>
      <c r="F51" s="35"/>
      <c r="G51" s="35"/>
      <c r="H51" s="35"/>
      <c r="I51" s="35"/>
      <c r="J51" s="35"/>
      <c r="K51" s="35"/>
      <c r="L51" s="35"/>
    </row>
    <row r="52" spans="2:16" ht="15" customHeight="1">
      <c r="B52" s="35"/>
      <c r="C52" s="35"/>
      <c r="D52" s="35"/>
      <c r="E52" s="35"/>
      <c r="F52" s="35"/>
      <c r="G52" s="35"/>
      <c r="H52" s="35"/>
      <c r="I52" s="35"/>
      <c r="J52" s="35"/>
      <c r="K52" s="35"/>
      <c r="L52" s="35"/>
    </row>
  </sheetData>
  <sheetProtection algorithmName="SHA-512" hashValue="ijZb6mERvdXffBlM6o2JmeHwgMf6dim/7FhE6IxMaezDjY9Ni9476g4EDQyMYlH3PxLNHCJ2W5LOTSoVjYLgmA==" saltValue="MaQlirI40ijydxvBRJCWFA==" spinCount="100000" sheet="1" objects="1" scenarios="1"/>
  <mergeCells count="38">
    <mergeCell ref="C2:N2"/>
    <mergeCell ref="B7:N7"/>
    <mergeCell ref="B8:B9"/>
    <mergeCell ref="C8:C9"/>
    <mergeCell ref="M8:M9"/>
    <mergeCell ref="N8:N9"/>
    <mergeCell ref="D8:D9"/>
    <mergeCell ref="E8:H8"/>
    <mergeCell ref="I8:K8"/>
    <mergeCell ref="L8:L9"/>
    <mergeCell ref="B10:B13"/>
    <mergeCell ref="N10:N13"/>
    <mergeCell ref="B14:B16"/>
    <mergeCell ref="N14:N16"/>
    <mergeCell ref="B17:B22"/>
    <mergeCell ref="N17:N22"/>
    <mergeCell ref="D10:D11"/>
    <mergeCell ref="C10:C11"/>
    <mergeCell ref="M10:M11"/>
    <mergeCell ref="C17:C18"/>
    <mergeCell ref="D17:D18"/>
    <mergeCell ref="M17:M18"/>
    <mergeCell ref="C19:C20"/>
    <mergeCell ref="D19:D20"/>
    <mergeCell ref="M19:M20"/>
    <mergeCell ref="B23:B45"/>
    <mergeCell ref="N23:N45"/>
    <mergeCell ref="B46:B48"/>
    <mergeCell ref="N46:N48"/>
    <mergeCell ref="C24:C29"/>
    <mergeCell ref="D24:D29"/>
    <mergeCell ref="M24:M29"/>
    <mergeCell ref="C30:C34"/>
    <mergeCell ref="D30:D34"/>
    <mergeCell ref="M30:M34"/>
    <mergeCell ref="C35:C42"/>
    <mergeCell ref="D35:D42"/>
    <mergeCell ref="M35:M4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F3DF-BE98-4C49-ACEA-200B689C587C}">
  <sheetPr>
    <tabColor rgb="FF002060"/>
  </sheetPr>
  <dimension ref="B1:BT101"/>
  <sheetViews>
    <sheetView showGridLines="0" zoomScale="50" zoomScaleNormal="50" workbookViewId="0">
      <selection activeCell="B4" sqref="B4"/>
    </sheetView>
  </sheetViews>
  <sheetFormatPr baseColWidth="10" defaultColWidth="17.33203125" defaultRowHeight="15"/>
  <cols>
    <col min="1" max="1" width="4.33203125" style="1" customWidth="1"/>
    <col min="2" max="2" width="50.44140625" style="3" customWidth="1"/>
    <col min="3" max="3" width="55.109375" style="3" customWidth="1"/>
    <col min="4" max="4" width="36.33203125" style="3" customWidth="1"/>
    <col min="5" max="5" width="29.44140625" style="5" customWidth="1"/>
    <col min="6" max="6" width="37.5546875" style="5" customWidth="1"/>
    <col min="7" max="7" width="60.44140625" style="5" customWidth="1"/>
    <col min="8" max="8" width="52.88671875" style="3" customWidth="1"/>
    <col min="9" max="9" width="25.44140625" style="5" customWidth="1"/>
    <col min="10" max="10" width="26.33203125" style="5" customWidth="1"/>
    <col min="11" max="11" width="29.44140625" style="3" customWidth="1"/>
    <col min="12" max="12" width="56.33203125" style="3" customWidth="1"/>
    <col min="13" max="20" width="25.6640625" style="3" customWidth="1"/>
    <col min="21" max="21" width="26.6640625" style="3" customWidth="1"/>
    <col min="22" max="22" width="25.6640625" style="3" customWidth="1"/>
    <col min="23" max="23" width="28.33203125" style="3" customWidth="1"/>
    <col min="24" max="24" width="28.44140625" style="3" customWidth="1"/>
    <col min="25" max="25" width="35.6640625" style="3" customWidth="1"/>
    <col min="26" max="26" width="23.6640625" style="617" customWidth="1"/>
    <col min="27" max="37" width="23.33203125" style="617" customWidth="1"/>
    <col min="38" max="38" width="25.5546875" style="617" customWidth="1"/>
    <col min="39" max="39" width="30" style="617" customWidth="1"/>
    <col min="40" max="47" width="23.33203125" style="617" hidden="1" customWidth="1"/>
    <col min="48" max="48" width="23.33203125" style="617" customWidth="1"/>
    <col min="49" max="58" width="23.33203125" style="617" hidden="1" customWidth="1"/>
    <col min="59" max="59" width="23.33203125" style="617" customWidth="1"/>
    <col min="60" max="61" width="23.33203125" style="617" hidden="1" customWidth="1"/>
    <col min="62" max="62" width="30.33203125" style="617" customWidth="1"/>
    <col min="63" max="64" width="34.6640625" style="617" customWidth="1"/>
    <col min="65" max="65" width="36.6640625" style="617" customWidth="1"/>
    <col min="66" max="66" width="38.6640625" style="617" customWidth="1"/>
    <col min="67" max="70" width="38.6640625" style="1" customWidth="1"/>
    <col min="71" max="16384" width="17.33203125" style="1"/>
  </cols>
  <sheetData>
    <row r="1" spans="2:72" ht="15" customHeight="1" thickBot="1"/>
    <row r="2" spans="2:72" ht="95.4" customHeight="1" thickBot="1">
      <c r="B2" s="995" t="s">
        <v>695</v>
      </c>
      <c r="C2" s="1283" t="s">
        <v>962</v>
      </c>
      <c r="D2" s="1284"/>
      <c r="E2" s="1284"/>
      <c r="F2" s="1284"/>
      <c r="G2" s="1284"/>
      <c r="H2" s="1284"/>
      <c r="I2" s="1284"/>
      <c r="J2" s="1284"/>
      <c r="K2" s="1284"/>
      <c r="L2" s="1285"/>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4"/>
      <c r="BQ2" s="754"/>
      <c r="BR2" s="754"/>
      <c r="BS2" s="11"/>
      <c r="BT2" s="11"/>
    </row>
    <row r="3" spans="2:72" ht="14.25" customHeight="1" thickBot="1">
      <c r="B3" s="2"/>
      <c r="C3" s="2"/>
      <c r="D3" s="2"/>
      <c r="E3" s="4"/>
      <c r="F3" s="4"/>
      <c r="G3" s="4"/>
      <c r="H3" s="2"/>
      <c r="I3" s="4"/>
      <c r="J3" s="4"/>
      <c r="K3" s="2"/>
      <c r="L3" s="2"/>
      <c r="M3" s="2"/>
      <c r="N3" s="2"/>
      <c r="O3" s="2"/>
      <c r="P3" s="2"/>
      <c r="Q3" s="2"/>
      <c r="R3" s="2"/>
      <c r="S3" s="2"/>
      <c r="T3" s="2"/>
      <c r="U3" s="2"/>
      <c r="V3" s="2"/>
      <c r="W3" s="2"/>
      <c r="X3" s="2"/>
      <c r="Y3" s="2"/>
    </row>
    <row r="4" spans="2:72" ht="32.4" customHeight="1" thickBot="1">
      <c r="B4" s="618" t="s">
        <v>707</v>
      </c>
      <c r="C4" s="619" t="s">
        <v>1167</v>
      </c>
      <c r="D4" s="620">
        <v>2022</v>
      </c>
      <c r="E4" s="663"/>
      <c r="F4" s="663"/>
      <c r="G4" s="663"/>
      <c r="H4" s="664"/>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1"/>
      <c r="BP4" s="621"/>
      <c r="BQ4" s="621"/>
      <c r="BR4" s="621"/>
    </row>
    <row r="5" spans="2:72" ht="14.25" customHeight="1">
      <c r="B5" s="2"/>
      <c r="C5" s="2"/>
      <c r="D5" s="2"/>
      <c r="E5" s="4"/>
      <c r="F5" s="4"/>
      <c r="G5" s="4"/>
      <c r="H5" s="2"/>
      <c r="I5" s="4"/>
      <c r="J5" s="4"/>
      <c r="K5" s="2"/>
      <c r="L5" s="2"/>
      <c r="M5" s="2"/>
      <c r="N5" s="2"/>
      <c r="O5" s="2"/>
      <c r="P5" s="2"/>
      <c r="Q5" s="2"/>
      <c r="R5" s="2"/>
      <c r="S5" s="2"/>
      <c r="T5" s="2"/>
      <c r="U5" s="2"/>
      <c r="V5" s="2"/>
      <c r="W5" s="2"/>
      <c r="X5" s="2"/>
      <c r="Y5" s="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11"/>
      <c r="BP5" s="11"/>
      <c r="BQ5" s="11"/>
      <c r="BR5" s="11"/>
    </row>
    <row r="6" spans="2:72" ht="52.2" customHeight="1">
      <c r="B6" s="1202" t="s">
        <v>0</v>
      </c>
      <c r="C6" s="1202" t="s">
        <v>52</v>
      </c>
      <c r="D6" s="1248" t="s">
        <v>928</v>
      </c>
      <c r="E6" s="1249" t="s">
        <v>929</v>
      </c>
      <c r="F6" s="1202" t="s">
        <v>930</v>
      </c>
      <c r="G6" s="1249" t="s">
        <v>931</v>
      </c>
      <c r="H6" s="1202" t="s">
        <v>54</v>
      </c>
      <c r="I6" s="1252" t="s">
        <v>55</v>
      </c>
      <c r="J6" s="1202" t="s">
        <v>56</v>
      </c>
      <c r="K6" s="1202" t="s">
        <v>41</v>
      </c>
      <c r="L6" s="1202" t="s">
        <v>42</v>
      </c>
      <c r="M6" s="1229" t="s">
        <v>75</v>
      </c>
      <c r="N6" s="1229"/>
      <c r="O6" s="1229"/>
      <c r="P6" s="1229"/>
      <c r="Q6" s="1203">
        <v>2021</v>
      </c>
      <c r="R6" s="1204"/>
      <c r="S6" s="1204"/>
      <c r="T6" s="1204"/>
      <c r="U6" s="1204"/>
      <c r="V6" s="1204"/>
      <c r="W6" s="1204"/>
      <c r="X6" s="1204"/>
      <c r="Y6" s="1204"/>
      <c r="Z6" s="1204"/>
      <c r="AA6" s="1205"/>
      <c r="AB6" s="1226">
        <v>2022</v>
      </c>
      <c r="AC6" s="1227"/>
      <c r="AD6" s="1227"/>
      <c r="AE6" s="1227"/>
      <c r="AF6" s="1227"/>
      <c r="AG6" s="1227"/>
      <c r="AH6" s="1227"/>
      <c r="AI6" s="1227"/>
      <c r="AJ6" s="1227"/>
      <c r="AK6" s="1227"/>
      <c r="AL6" s="1227"/>
      <c r="AM6" s="1228"/>
      <c r="AN6" s="1203">
        <v>2023</v>
      </c>
      <c r="AO6" s="1204"/>
      <c r="AP6" s="1204"/>
      <c r="AQ6" s="1204"/>
      <c r="AR6" s="1204"/>
      <c r="AS6" s="1204"/>
      <c r="AT6" s="1204"/>
      <c r="AU6" s="1204"/>
      <c r="AV6" s="1204"/>
      <c r="AW6" s="1204"/>
      <c r="AX6" s="1205"/>
      <c r="AY6" s="1226">
        <v>2024</v>
      </c>
      <c r="AZ6" s="1227"/>
      <c r="BA6" s="1227"/>
      <c r="BB6" s="1227"/>
      <c r="BC6" s="1227"/>
      <c r="BD6" s="1227"/>
      <c r="BE6" s="1227"/>
      <c r="BF6" s="1227"/>
      <c r="BG6" s="1227"/>
      <c r="BH6" s="1227"/>
      <c r="BI6" s="1228"/>
      <c r="BJ6" s="1182" t="s">
        <v>702</v>
      </c>
      <c r="BK6" s="1183"/>
      <c r="BL6" s="1183"/>
      <c r="BM6" s="1183"/>
      <c r="BN6" s="1183"/>
      <c r="BO6" s="1183"/>
      <c r="BP6" s="1184"/>
      <c r="BQ6" s="711"/>
      <c r="BR6" s="711"/>
    </row>
    <row r="7" spans="2:72" ht="59.4" customHeight="1">
      <c r="B7" s="1202"/>
      <c r="C7" s="1202"/>
      <c r="D7" s="1248"/>
      <c r="E7" s="1250"/>
      <c r="F7" s="1202"/>
      <c r="G7" s="1250"/>
      <c r="H7" s="1202"/>
      <c r="I7" s="1253"/>
      <c r="J7" s="1202"/>
      <c r="K7" s="1202"/>
      <c r="L7" s="1202"/>
      <c r="M7" s="1008" t="s">
        <v>59</v>
      </c>
      <c r="N7" s="1008" t="s">
        <v>59</v>
      </c>
      <c r="O7" s="1008" t="s">
        <v>59</v>
      </c>
      <c r="P7" s="1008" t="s">
        <v>59</v>
      </c>
      <c r="Q7" s="1234" t="s">
        <v>21</v>
      </c>
      <c r="R7" s="1235"/>
      <c r="S7" s="1234" t="s">
        <v>22</v>
      </c>
      <c r="T7" s="1235"/>
      <c r="U7" s="1234" t="s">
        <v>23</v>
      </c>
      <c r="V7" s="1235"/>
      <c r="W7" s="1234" t="s">
        <v>24</v>
      </c>
      <c r="X7" s="1235"/>
      <c r="Y7" s="1236" t="s">
        <v>705</v>
      </c>
      <c r="Z7" s="1236" t="s">
        <v>700</v>
      </c>
      <c r="AA7" s="1238" t="s">
        <v>927</v>
      </c>
      <c r="AB7" s="1230" t="s">
        <v>21</v>
      </c>
      <c r="AC7" s="1231"/>
      <c r="AD7" s="1230" t="s">
        <v>22</v>
      </c>
      <c r="AE7" s="1231"/>
      <c r="AF7" s="1230" t="s">
        <v>23</v>
      </c>
      <c r="AG7" s="1231"/>
      <c r="AH7" s="1230" t="s">
        <v>24</v>
      </c>
      <c r="AI7" s="1231"/>
      <c r="AJ7" s="1232" t="s">
        <v>705</v>
      </c>
      <c r="AK7" s="1232" t="s">
        <v>700</v>
      </c>
      <c r="AL7" s="1232" t="s">
        <v>1158</v>
      </c>
      <c r="AM7" s="1232" t="s">
        <v>1159</v>
      </c>
      <c r="AN7" s="1234" t="s">
        <v>21</v>
      </c>
      <c r="AO7" s="1235"/>
      <c r="AP7" s="1234" t="s">
        <v>22</v>
      </c>
      <c r="AQ7" s="1235"/>
      <c r="AR7" s="1234" t="s">
        <v>23</v>
      </c>
      <c r="AS7" s="1235"/>
      <c r="AT7" s="1234" t="s">
        <v>24</v>
      </c>
      <c r="AU7" s="1235"/>
      <c r="AV7" s="1236" t="s">
        <v>705</v>
      </c>
      <c r="AW7" s="1236" t="s">
        <v>700</v>
      </c>
      <c r="AX7" s="1236" t="s">
        <v>932</v>
      </c>
      <c r="AY7" s="1230" t="s">
        <v>21</v>
      </c>
      <c r="AZ7" s="1231"/>
      <c r="BA7" s="1230" t="s">
        <v>22</v>
      </c>
      <c r="BB7" s="1231"/>
      <c r="BC7" s="1230" t="s">
        <v>23</v>
      </c>
      <c r="BD7" s="1231"/>
      <c r="BE7" s="1230" t="s">
        <v>24</v>
      </c>
      <c r="BF7" s="1231"/>
      <c r="BG7" s="1232" t="s">
        <v>705</v>
      </c>
      <c r="BH7" s="1232" t="s">
        <v>700</v>
      </c>
      <c r="BI7" s="1232" t="s">
        <v>932</v>
      </c>
      <c r="BJ7" s="1190" t="s">
        <v>973</v>
      </c>
      <c r="BK7" s="1191"/>
      <c r="BL7" s="699">
        <v>44926</v>
      </c>
      <c r="BM7" s="1179" t="s">
        <v>986</v>
      </c>
      <c r="BN7" s="1188" t="s">
        <v>701</v>
      </c>
      <c r="BO7" s="1179" t="s">
        <v>933</v>
      </c>
      <c r="BP7" s="1181" t="s">
        <v>987</v>
      </c>
      <c r="BQ7" s="712"/>
      <c r="BR7" s="712"/>
    </row>
    <row r="8" spans="2:72" ht="38.4" customHeight="1">
      <c r="B8" s="1202"/>
      <c r="C8" s="1202"/>
      <c r="D8" s="1248"/>
      <c r="E8" s="1251"/>
      <c r="F8" s="1202"/>
      <c r="G8" s="1251"/>
      <c r="H8" s="1202"/>
      <c r="I8" s="1254"/>
      <c r="J8" s="1202"/>
      <c r="K8" s="1202"/>
      <c r="L8" s="1202"/>
      <c r="M8" s="1039">
        <v>2021</v>
      </c>
      <c r="N8" s="1039">
        <v>2022</v>
      </c>
      <c r="O8" s="1039">
        <v>2023</v>
      </c>
      <c r="P8" s="1039">
        <v>2024</v>
      </c>
      <c r="Q8" s="1004" t="s">
        <v>697</v>
      </c>
      <c r="R8" s="1004" t="s">
        <v>698</v>
      </c>
      <c r="S8" s="1004" t="s">
        <v>697</v>
      </c>
      <c r="T8" s="1004" t="s">
        <v>698</v>
      </c>
      <c r="U8" s="1004" t="s">
        <v>697</v>
      </c>
      <c r="V8" s="1004" t="s">
        <v>698</v>
      </c>
      <c r="W8" s="1004" t="s">
        <v>697</v>
      </c>
      <c r="X8" s="1004" t="s">
        <v>698</v>
      </c>
      <c r="Y8" s="1237"/>
      <c r="Z8" s="1237"/>
      <c r="AA8" s="1239"/>
      <c r="AB8" s="623" t="s">
        <v>697</v>
      </c>
      <c r="AC8" s="623" t="s">
        <v>698</v>
      </c>
      <c r="AD8" s="623" t="s">
        <v>697</v>
      </c>
      <c r="AE8" s="623" t="s">
        <v>698</v>
      </c>
      <c r="AF8" s="623" t="s">
        <v>697</v>
      </c>
      <c r="AG8" s="623" t="s">
        <v>698</v>
      </c>
      <c r="AH8" s="623" t="s">
        <v>697</v>
      </c>
      <c r="AI8" s="623" t="s">
        <v>698</v>
      </c>
      <c r="AJ8" s="1233"/>
      <c r="AK8" s="1233"/>
      <c r="AL8" s="1233"/>
      <c r="AM8" s="1240"/>
      <c r="AN8" s="1004" t="s">
        <v>697</v>
      </c>
      <c r="AO8" s="1004" t="s">
        <v>698</v>
      </c>
      <c r="AP8" s="1004" t="s">
        <v>697</v>
      </c>
      <c r="AQ8" s="1004" t="s">
        <v>698</v>
      </c>
      <c r="AR8" s="1004" t="s">
        <v>697</v>
      </c>
      <c r="AS8" s="1004" t="s">
        <v>698</v>
      </c>
      <c r="AT8" s="1004" t="s">
        <v>697</v>
      </c>
      <c r="AU8" s="1004" t="s">
        <v>698</v>
      </c>
      <c r="AV8" s="1237"/>
      <c r="AW8" s="1237"/>
      <c r="AX8" s="1237"/>
      <c r="AY8" s="623" t="s">
        <v>697</v>
      </c>
      <c r="AZ8" s="623" t="s">
        <v>698</v>
      </c>
      <c r="BA8" s="623" t="s">
        <v>697</v>
      </c>
      <c r="BB8" s="623" t="s">
        <v>698</v>
      </c>
      <c r="BC8" s="623" t="s">
        <v>697</v>
      </c>
      <c r="BD8" s="623" t="s">
        <v>698</v>
      </c>
      <c r="BE8" s="623" t="s">
        <v>697</v>
      </c>
      <c r="BF8" s="623" t="s">
        <v>698</v>
      </c>
      <c r="BG8" s="1233"/>
      <c r="BH8" s="1233"/>
      <c r="BI8" s="1233"/>
      <c r="BJ8" s="909" t="s">
        <v>17</v>
      </c>
      <c r="BK8" s="724" t="s">
        <v>18</v>
      </c>
      <c r="BL8" s="725" t="s">
        <v>974</v>
      </c>
      <c r="BM8" s="1180"/>
      <c r="BN8" s="1189"/>
      <c r="BO8" s="1180"/>
      <c r="BP8" s="1181"/>
      <c r="BQ8" s="712"/>
      <c r="BR8" s="712"/>
    </row>
    <row r="9" spans="2:72" ht="103.5" customHeight="1">
      <c r="B9" s="1116" t="str">
        <f>+'Matriz PEI 2021-2024'!B10</f>
        <v>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9" s="1206" t="str">
        <f>+'Matriz PEI 2021-2024'!C10</f>
        <v>1.1. Realizar 884.203 acciones que promuevan la defensa, garantía y restablecimiento de los derechos de las personas en el Distrito Capital.</v>
      </c>
      <c r="D9" s="1292">
        <f>+'Matriz PEI 2021-2024'!E10</f>
        <v>884203</v>
      </c>
      <c r="E9" s="1259">
        <f>+'Matriz PEI 2021-2024'!D10</f>
        <v>0.7</v>
      </c>
      <c r="F9" s="1218" t="s">
        <v>982</v>
      </c>
      <c r="G9" s="1218" t="s">
        <v>984</v>
      </c>
      <c r="H9" s="37" t="str">
        <f>+'1.Informe Seguimiento POA 2022'!D13</f>
        <v>1.1.1 Realizar 356.610 intervenciones dentro del ejercicio del Ministerio Público para prevenir la vulneración de derechos y/o lograr el  restablecimiento de los mismos.</v>
      </c>
      <c r="I9" s="678">
        <f>+'1.Informe Seguimiento POA 2022'!E13</f>
        <v>0.38</v>
      </c>
      <c r="J9" s="638">
        <f>+'1.Informe Seguimiento POA 2022'!F13</f>
        <v>356610</v>
      </c>
      <c r="K9" s="683" t="str">
        <f>+'1.Informe Seguimiento POA 2022'!I13</f>
        <v>Promoción y Defensa de Derechos</v>
      </c>
      <c r="L9" s="683" t="str">
        <f>+'1.Informe Seguimiento POA 2022'!J13</f>
        <v>P.D. para Asuntos Penales I, Penales II, Derechos Humanos y Policivos y Civiles
P.D. para los Sectores Planeación y Movilidad y la P.D. para los Sectores Educación y Cultura, Recreación y Deporte</v>
      </c>
      <c r="M9" s="625">
        <f>+'1.Informe Seguimiento POA 2022'!K13</f>
        <v>102450</v>
      </c>
      <c r="N9" s="625">
        <f>+'1.Informe Seguimiento POA 2022'!L13</f>
        <v>106660</v>
      </c>
      <c r="O9" s="625">
        <f>+'1.Informe Seguimiento POA 2022'!M13</f>
        <v>98250</v>
      </c>
      <c r="P9" s="625">
        <f>+'1.Informe Seguimiento POA 2022'!N13</f>
        <v>49250</v>
      </c>
      <c r="Q9" s="626">
        <v>22050</v>
      </c>
      <c r="R9" s="626">
        <v>29988</v>
      </c>
      <c r="S9" s="626">
        <v>27075</v>
      </c>
      <c r="T9" s="626">
        <v>30354</v>
      </c>
      <c r="U9" s="626">
        <v>28635</v>
      </c>
      <c r="V9" s="626">
        <v>36860</v>
      </c>
      <c r="W9" s="626">
        <v>24690</v>
      </c>
      <c r="X9" s="626">
        <v>30952</v>
      </c>
      <c r="Y9" s="626">
        <v>102450</v>
      </c>
      <c r="Z9" s="626">
        <v>128154</v>
      </c>
      <c r="AA9" s="892">
        <v>1.2508931185944363</v>
      </c>
      <c r="AB9" s="626">
        <f>+'1.Informe Seguimiento POA 2022'!O13</f>
        <v>25305</v>
      </c>
      <c r="AC9" s="626">
        <f>+'1.Informe Seguimiento POA 2022'!P13</f>
        <v>29145</v>
      </c>
      <c r="AD9" s="626">
        <f>+'1.Informe Seguimiento POA 2022'!Q13</f>
        <v>28020</v>
      </c>
      <c r="AE9" s="626">
        <f>+'1.Informe Seguimiento POA 2022'!R13</f>
        <v>33363</v>
      </c>
      <c r="AF9" s="626">
        <f>+'1.Informe Seguimiento POA 2022'!S13</f>
        <v>28020</v>
      </c>
      <c r="AG9" s="626">
        <f>+'1.Informe Seguimiento POA 2022'!T13</f>
        <v>36093</v>
      </c>
      <c r="AH9" s="626">
        <f>+'1.Informe Seguimiento POA 2022'!U13</f>
        <v>25315</v>
      </c>
      <c r="AI9" s="626">
        <f>+'1.Informe Seguimiento POA 2022'!V13</f>
        <v>31463</v>
      </c>
      <c r="AJ9" s="626">
        <f>+'1.Informe Seguimiento POA 2022'!X13</f>
        <v>106660</v>
      </c>
      <c r="AK9" s="626">
        <f>+'1.Informe Seguimiento POA 2022'!Y13</f>
        <v>130064</v>
      </c>
      <c r="AL9" s="686">
        <f>+'1.Informe Seguimiento POA 2022'!Z13</f>
        <v>1.2194262141383836</v>
      </c>
      <c r="AM9" s="1303">
        <f>'1.Informe Seguimiento POA 2022'!AC13</f>
        <v>0.37441539277434355</v>
      </c>
      <c r="AN9" s="627"/>
      <c r="AO9" s="627"/>
      <c r="AP9" s="627"/>
      <c r="AQ9" s="627"/>
      <c r="AR9" s="627"/>
      <c r="AS9" s="627"/>
      <c r="AT9" s="627"/>
      <c r="AU9" s="627"/>
      <c r="AV9" s="626">
        <f t="shared" ref="AV9:AV40" si="0">+O9</f>
        <v>98250</v>
      </c>
      <c r="AW9" s="626"/>
      <c r="AX9" s="627"/>
      <c r="AY9" s="627"/>
      <c r="AZ9" s="627"/>
      <c r="BA9" s="627"/>
      <c r="BB9" s="627"/>
      <c r="BC9" s="627"/>
      <c r="BD9" s="627"/>
      <c r="BE9" s="627"/>
      <c r="BF9" s="627"/>
      <c r="BG9" s="626">
        <f t="shared" ref="BG9:BG40" si="1">+P9</f>
        <v>49250</v>
      </c>
      <c r="BH9" s="626"/>
      <c r="BI9" s="627"/>
      <c r="BJ9" s="696">
        <f>+Q9+S9+U9+W9+AB9+AD9+AF9+AH9</f>
        <v>209110</v>
      </c>
      <c r="BK9" s="696">
        <f>+R9+T9+V9+X9+AC9+AE9+AG9+AI9</f>
        <v>258218</v>
      </c>
      <c r="BL9" s="627">
        <f>IF(AND(BJ9&gt;0),BK9/BJ9,"No programado")</f>
        <v>1.2348429056477452</v>
      </c>
      <c r="BM9" s="627">
        <f>IF(AND(BK9&gt;0,$J9&gt;0),BK9/$J9,0)</f>
        <v>0.72409074338913659</v>
      </c>
      <c r="BN9" s="915">
        <f t="shared" ref="BN9:BN38" si="2">IF(AND(BM9&gt;0,I9&gt;0),BM9*I9,0)</f>
        <v>0.27515448248787189</v>
      </c>
      <c r="BO9" s="1306">
        <f>SUM(BN9:BN19)</f>
        <v>0.69146267277259543</v>
      </c>
      <c r="BP9" s="1163">
        <f>(IF(AND(BO9&gt;0,E9&gt;0),BO9*E9))+(IF(AND(BO20&gt;0,E20&gt;0),BO20*E20))+(IF(AND(BO26&gt;0,E26&gt;0),BO26*E26))</f>
        <v>0.68535995631230484</v>
      </c>
      <c r="BQ9" s="713"/>
      <c r="BR9" s="713"/>
    </row>
    <row r="10" spans="2:72" ht="133.19999999999999" customHeight="1">
      <c r="B10" s="1117"/>
      <c r="C10" s="1219"/>
      <c r="D10" s="1297"/>
      <c r="E10" s="1260"/>
      <c r="F10" s="1218"/>
      <c r="G10" s="1218"/>
      <c r="H10" s="37" t="str">
        <f>+'1.Informe Seguimiento POA 2022'!D14</f>
        <v>1.1.2 Orientar 292.755 personas en garantía de derechos.</v>
      </c>
      <c r="I10" s="678">
        <f>+'1.Informe Seguimiento POA 2022'!E14</f>
        <v>0.3</v>
      </c>
      <c r="J10" s="638">
        <f>+'1.Informe Seguimiento POA 2022'!F14</f>
        <v>292755</v>
      </c>
      <c r="K10" s="683" t="str">
        <f>+'1.Informe Seguimiento POA 2022'!I14</f>
        <v>Promoción y Defensa de Derechos</v>
      </c>
      <c r="L10" s="683" t="str">
        <f>+'1.Informe Seguimiento POA 2022'!J14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M10" s="625">
        <f>+'1.Informe Seguimiento POA 2022'!K14</f>
        <v>78750</v>
      </c>
      <c r="N10" s="625">
        <f>+'1.Informe Seguimiento POA 2022'!L14</f>
        <v>97105</v>
      </c>
      <c r="O10" s="625">
        <f>+'1.Informe Seguimiento POA 2022'!M14</f>
        <v>76600</v>
      </c>
      <c r="P10" s="625">
        <f>+'1.Informe Seguimiento POA 2022'!N14</f>
        <v>40300</v>
      </c>
      <c r="Q10" s="626">
        <v>17420</v>
      </c>
      <c r="R10" s="626">
        <v>17308</v>
      </c>
      <c r="S10" s="626">
        <v>19380</v>
      </c>
      <c r="T10" s="626">
        <v>18431</v>
      </c>
      <c r="U10" s="626">
        <v>20444</v>
      </c>
      <c r="V10" s="626">
        <v>28295</v>
      </c>
      <c r="W10" s="626">
        <v>21506</v>
      </c>
      <c r="X10" s="626">
        <v>32130</v>
      </c>
      <c r="Y10" s="626">
        <v>78750</v>
      </c>
      <c r="Z10" s="626">
        <v>96164</v>
      </c>
      <c r="AA10" s="892">
        <v>1.2211301587301586</v>
      </c>
      <c r="AB10" s="626">
        <f>+'1.Informe Seguimiento POA 2022'!O14</f>
        <v>21621</v>
      </c>
      <c r="AC10" s="626">
        <f>+'1.Informe Seguimiento POA 2022'!P14</f>
        <v>26507</v>
      </c>
      <c r="AD10" s="626">
        <f>+'1.Informe Seguimiento POA 2022'!Q14</f>
        <v>25997</v>
      </c>
      <c r="AE10" s="626">
        <f>+'1.Informe Seguimiento POA 2022'!R14</f>
        <v>27698</v>
      </c>
      <c r="AF10" s="626">
        <f>+'1.Informe Seguimiento POA 2022'!S14</f>
        <v>26645</v>
      </c>
      <c r="AG10" s="626">
        <f>+'1.Informe Seguimiento POA 2022'!T14</f>
        <v>30355</v>
      </c>
      <c r="AH10" s="626">
        <f>+'1.Informe Seguimiento POA 2022'!U14</f>
        <v>22842</v>
      </c>
      <c r="AI10" s="626">
        <f>+'1.Informe Seguimiento POA 2022'!V14</f>
        <v>29076</v>
      </c>
      <c r="AJ10" s="626">
        <f>+'1.Informe Seguimiento POA 2022'!X14</f>
        <v>97105</v>
      </c>
      <c r="AK10" s="626">
        <f>+'1.Informe Seguimiento POA 2022'!Y14</f>
        <v>113636</v>
      </c>
      <c r="AL10" s="686">
        <f>+'1.Informe Seguimiento POA 2022'!Z14</f>
        <v>1.170238401730086</v>
      </c>
      <c r="AM10" s="1304"/>
      <c r="AN10" s="627"/>
      <c r="AO10" s="627"/>
      <c r="AP10" s="627"/>
      <c r="AQ10" s="627"/>
      <c r="AR10" s="627"/>
      <c r="AS10" s="627"/>
      <c r="AT10" s="627"/>
      <c r="AU10" s="627"/>
      <c r="AV10" s="626">
        <f t="shared" si="0"/>
        <v>76600</v>
      </c>
      <c r="AW10" s="626"/>
      <c r="AX10" s="627"/>
      <c r="AY10" s="627"/>
      <c r="AZ10" s="627"/>
      <c r="BA10" s="627"/>
      <c r="BB10" s="627"/>
      <c r="BC10" s="627"/>
      <c r="BD10" s="627"/>
      <c r="BE10" s="627"/>
      <c r="BF10" s="627"/>
      <c r="BG10" s="626">
        <f t="shared" si="1"/>
        <v>40300</v>
      </c>
      <c r="BH10" s="626"/>
      <c r="BI10" s="627"/>
      <c r="BJ10" s="696">
        <f t="shared" ref="BJ10:BJ13" si="3">+Q10+S10+U10+W10+AB10+AD10+AF10+AH10</f>
        <v>175855</v>
      </c>
      <c r="BK10" s="696">
        <f t="shared" ref="BK10:BK13" si="4">+R10+T10+V10+X10+AC10+AE10+AG10+AI10</f>
        <v>209800</v>
      </c>
      <c r="BL10" s="627">
        <f t="shared" ref="BL10:BL26" si="5">IF(AND(BJ10&gt;0),BK10/BJ10,"No programado")</f>
        <v>1.1930283472178784</v>
      </c>
      <c r="BM10" s="627">
        <f t="shared" ref="BM10:BM56" si="6">IF(AND(BK10&gt;0,$J10&gt;0),BK10/$J10,0)</f>
        <v>0.71664019401888956</v>
      </c>
      <c r="BN10" s="915">
        <f t="shared" si="2"/>
        <v>0.21499205820566686</v>
      </c>
      <c r="BO10" s="1139"/>
      <c r="BP10" s="1163"/>
      <c r="BQ10" s="713"/>
      <c r="BR10" s="713"/>
    </row>
    <row r="11" spans="2:72" ht="185.25" customHeight="1">
      <c r="B11" s="1117"/>
      <c r="C11" s="1219"/>
      <c r="D11" s="1297"/>
      <c r="E11" s="1260"/>
      <c r="F11" s="1218"/>
      <c r="G11" s="1218"/>
      <c r="H11" s="37" t="str">
        <f>+'1.Informe Seguimiento POA 2022'!D15</f>
        <v>1.1.3 Asistir 117.610 personas en garantía de derechos.</v>
      </c>
      <c r="I11" s="678">
        <f>+'1.Informe Seguimiento POA 2022'!E15</f>
        <v>0.15</v>
      </c>
      <c r="J11" s="638">
        <f>+'1.Informe Seguimiento POA 2022'!F15</f>
        <v>117610</v>
      </c>
      <c r="K11" s="683" t="str">
        <f>+'1.Informe Seguimiento POA 2022'!I15</f>
        <v>Promoción y Defensa de Derechos</v>
      </c>
      <c r="L11" s="683" t="str">
        <f>+'1.Informe Seguimiento POA 2022'!J15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M11" s="625">
        <f>+'1.Informe Seguimiento POA 2022'!K15</f>
        <v>28695</v>
      </c>
      <c r="N11" s="625">
        <f>+'1.Informe Seguimiento POA 2022'!L15</f>
        <v>26115</v>
      </c>
      <c r="O11" s="625">
        <f>+'1.Informe Seguimiento POA 2022'!M15</f>
        <v>39200</v>
      </c>
      <c r="P11" s="625">
        <f>+'1.Informe Seguimiento POA 2022'!N15</f>
        <v>23600</v>
      </c>
      <c r="Q11" s="626">
        <v>8750</v>
      </c>
      <c r="R11" s="626">
        <v>4414</v>
      </c>
      <c r="S11" s="626">
        <v>10350</v>
      </c>
      <c r="T11" s="626">
        <v>6018</v>
      </c>
      <c r="U11" s="626">
        <v>6260</v>
      </c>
      <c r="V11" s="626">
        <v>8637</v>
      </c>
      <c r="W11" s="626">
        <v>3335</v>
      </c>
      <c r="X11" s="626">
        <v>11029</v>
      </c>
      <c r="Y11" s="626">
        <v>28695</v>
      </c>
      <c r="Z11" s="626">
        <v>30098</v>
      </c>
      <c r="AA11" s="892">
        <v>1.0488935354591393</v>
      </c>
      <c r="AB11" s="626">
        <f>+'1.Informe Seguimiento POA 2022'!O15</f>
        <v>6670</v>
      </c>
      <c r="AC11" s="626">
        <f>+'1.Informe Seguimiento POA 2022'!P15</f>
        <v>9518</v>
      </c>
      <c r="AD11" s="626">
        <f>+'1.Informe Seguimiento POA 2022'!Q15</f>
        <v>8165</v>
      </c>
      <c r="AE11" s="626">
        <f>+'1.Informe Seguimiento POA 2022'!R15</f>
        <v>10298</v>
      </c>
      <c r="AF11" s="626">
        <f>+'1.Informe Seguimiento POA 2022'!S15</f>
        <v>6765</v>
      </c>
      <c r="AG11" s="626">
        <f>+'1.Informe Seguimiento POA 2022'!T15</f>
        <v>10102</v>
      </c>
      <c r="AH11" s="626">
        <f>+'1.Informe Seguimiento POA 2022'!U15</f>
        <v>4515</v>
      </c>
      <c r="AI11" s="626">
        <f>+'1.Informe Seguimiento POA 2022'!V15</f>
        <v>10654</v>
      </c>
      <c r="AJ11" s="626">
        <f>+'1.Informe Seguimiento POA 2022'!X15</f>
        <v>26115</v>
      </c>
      <c r="AK11" s="626">
        <f>+'1.Informe Seguimiento POA 2022'!Y15</f>
        <v>40572</v>
      </c>
      <c r="AL11" s="686">
        <f>+'1.Informe Seguimiento POA 2022'!Z15</f>
        <v>1.5535898908673176</v>
      </c>
      <c r="AM11" s="1304"/>
      <c r="AN11" s="627"/>
      <c r="AO11" s="627"/>
      <c r="AP11" s="627"/>
      <c r="AQ11" s="627"/>
      <c r="AR11" s="627"/>
      <c r="AS11" s="627"/>
      <c r="AT11" s="627"/>
      <c r="AU11" s="627"/>
      <c r="AV11" s="626">
        <f t="shared" si="0"/>
        <v>39200</v>
      </c>
      <c r="AW11" s="626"/>
      <c r="AX11" s="627"/>
      <c r="AY11" s="627"/>
      <c r="AZ11" s="627"/>
      <c r="BA11" s="627"/>
      <c r="BB11" s="627"/>
      <c r="BC11" s="627"/>
      <c r="BD11" s="627"/>
      <c r="BE11" s="627"/>
      <c r="BF11" s="627"/>
      <c r="BG11" s="626">
        <f t="shared" si="1"/>
        <v>23600</v>
      </c>
      <c r="BH11" s="626"/>
      <c r="BI11" s="627"/>
      <c r="BJ11" s="696">
        <f t="shared" si="3"/>
        <v>54810</v>
      </c>
      <c r="BK11" s="696">
        <f t="shared" si="4"/>
        <v>70670</v>
      </c>
      <c r="BL11" s="627">
        <f t="shared" si="5"/>
        <v>1.2893632548804963</v>
      </c>
      <c r="BM11" s="627">
        <f t="shared" si="6"/>
        <v>0.60088427854774251</v>
      </c>
      <c r="BN11" s="915">
        <f t="shared" si="2"/>
        <v>9.0132641782161377E-2</v>
      </c>
      <c r="BO11" s="1139"/>
      <c r="BP11" s="1163"/>
      <c r="BQ11" s="713"/>
      <c r="BR11" s="713"/>
    </row>
    <row r="12" spans="2:72" ht="94.95" customHeight="1">
      <c r="B12" s="1117"/>
      <c r="C12" s="1219"/>
      <c r="D12" s="1297"/>
      <c r="E12" s="1260"/>
      <c r="F12" s="1218"/>
      <c r="G12" s="1218"/>
      <c r="H12" s="37" t="str">
        <f>+'1.Informe Seguimiento POA 2022'!D16</f>
        <v>1.1.4 Asistir a 28.586 personas en mecanismos alternativos de solución de conflictos.</v>
      </c>
      <c r="I12" s="678">
        <f>+'1.Informe Seguimiento POA 2022'!E16</f>
        <v>0.04</v>
      </c>
      <c r="J12" s="638">
        <f>+'1.Informe Seguimiento POA 2022'!F16</f>
        <v>28586</v>
      </c>
      <c r="K12" s="683" t="str">
        <f>+'1.Informe Seguimiento POA 2022'!I16</f>
        <v>Promoción y Defensa de Derechos</v>
      </c>
      <c r="L12" s="683" t="str">
        <f>+'1.Informe Seguimiento POA 2022'!J16</f>
        <v>Dirección de Conciliación y M.A.S.C.</v>
      </c>
      <c r="M12" s="625">
        <f>+'1.Informe Seguimiento POA 2022'!K16</f>
        <v>6810</v>
      </c>
      <c r="N12" s="625">
        <f>+'1.Informe Seguimiento POA 2022'!L16</f>
        <v>6900</v>
      </c>
      <c r="O12" s="625">
        <f>+'1.Informe Seguimiento POA 2022'!M16</f>
        <v>10500</v>
      </c>
      <c r="P12" s="625">
        <f>+'1.Informe Seguimiento POA 2022'!N16</f>
        <v>4376</v>
      </c>
      <c r="Q12" s="626">
        <v>2420</v>
      </c>
      <c r="R12" s="626">
        <v>1338</v>
      </c>
      <c r="S12" s="626">
        <v>2730</v>
      </c>
      <c r="T12" s="626">
        <v>1814</v>
      </c>
      <c r="U12" s="626">
        <v>1210</v>
      </c>
      <c r="V12" s="626">
        <v>2484</v>
      </c>
      <c r="W12" s="626">
        <v>450</v>
      </c>
      <c r="X12" s="626">
        <v>3080</v>
      </c>
      <c r="Y12" s="626">
        <v>6810</v>
      </c>
      <c r="Z12" s="626">
        <v>8716</v>
      </c>
      <c r="AA12" s="892">
        <v>1.2798825256975037</v>
      </c>
      <c r="AB12" s="626">
        <f>+'1.Informe Seguimiento POA 2022'!O16</f>
        <v>900</v>
      </c>
      <c r="AC12" s="626">
        <f>+'1.Informe Seguimiento POA 2022'!P16</f>
        <v>3289</v>
      </c>
      <c r="AD12" s="626">
        <f>+'1.Informe Seguimiento POA 2022'!Q16</f>
        <v>1500</v>
      </c>
      <c r="AE12" s="626">
        <f>+'1.Informe Seguimiento POA 2022'!R16</f>
        <v>3199</v>
      </c>
      <c r="AF12" s="626">
        <f>+'1.Informe Seguimiento POA 2022'!S16</f>
        <v>2100</v>
      </c>
      <c r="AG12" s="626">
        <f>+'1.Informe Seguimiento POA 2022'!T16</f>
        <v>3709</v>
      </c>
      <c r="AH12" s="626">
        <f>+'1.Informe Seguimiento POA 2022'!U16</f>
        <v>2400</v>
      </c>
      <c r="AI12" s="626">
        <f>+'1.Informe Seguimiento POA 2022'!V16</f>
        <v>4344</v>
      </c>
      <c r="AJ12" s="626">
        <f>+'1.Informe Seguimiento POA 2022'!X16</f>
        <v>6900</v>
      </c>
      <c r="AK12" s="626">
        <f>+'1.Informe Seguimiento POA 2022'!Y16</f>
        <v>14541</v>
      </c>
      <c r="AL12" s="686">
        <f>+'1.Informe Seguimiento POA 2022'!Z16</f>
        <v>2.1073913043478263</v>
      </c>
      <c r="AM12" s="1304"/>
      <c r="AN12" s="627"/>
      <c r="AO12" s="627"/>
      <c r="AP12" s="627"/>
      <c r="AQ12" s="627"/>
      <c r="AR12" s="627"/>
      <c r="AS12" s="627"/>
      <c r="AT12" s="627"/>
      <c r="AU12" s="627"/>
      <c r="AV12" s="626">
        <f t="shared" si="0"/>
        <v>10500</v>
      </c>
      <c r="AW12" s="626"/>
      <c r="AX12" s="627"/>
      <c r="AY12" s="627"/>
      <c r="AZ12" s="627"/>
      <c r="BA12" s="627"/>
      <c r="BB12" s="627"/>
      <c r="BC12" s="627"/>
      <c r="BD12" s="627"/>
      <c r="BE12" s="627"/>
      <c r="BF12" s="627"/>
      <c r="BG12" s="626">
        <f t="shared" si="1"/>
        <v>4376</v>
      </c>
      <c r="BH12" s="626"/>
      <c r="BI12" s="627"/>
      <c r="BJ12" s="696">
        <f t="shared" si="3"/>
        <v>13710</v>
      </c>
      <c r="BK12" s="696">
        <f t="shared" si="4"/>
        <v>23257</v>
      </c>
      <c r="BL12" s="627">
        <f t="shared" si="5"/>
        <v>1.6963530269876004</v>
      </c>
      <c r="BM12" s="627">
        <f t="shared" si="6"/>
        <v>0.81358007416217726</v>
      </c>
      <c r="BN12" s="915">
        <f t="shared" si="2"/>
        <v>3.2543202966487092E-2</v>
      </c>
      <c r="BO12" s="1139"/>
      <c r="BP12" s="1163"/>
      <c r="BQ12" s="713"/>
      <c r="BR12" s="713"/>
    </row>
    <row r="13" spans="2:72" ht="165" customHeight="1">
      <c r="B13" s="1117"/>
      <c r="C13" s="1219"/>
      <c r="D13" s="1297"/>
      <c r="E13" s="1260"/>
      <c r="F13" s="1218"/>
      <c r="G13" s="1218"/>
      <c r="H13" s="37" t="str">
        <f>+'1.Informe Seguimiento POA 2022'!D17</f>
        <v>1.1.5 Atender y gestionar 55.722 peticiones y/o requerimientos presentados por la comunidad en garantía de derechos.</v>
      </c>
      <c r="I13" s="678">
        <f>+'1.Informe Seguimiento POA 2022'!E17</f>
        <v>0.06</v>
      </c>
      <c r="J13" s="638">
        <f>+'1.Informe Seguimiento POA 2022'!F17</f>
        <v>55722</v>
      </c>
      <c r="K13" s="683" t="str">
        <f>+'1.Informe Seguimiento POA 2022'!I17</f>
        <v>Promoción y Defensa de Derechos</v>
      </c>
      <c r="L13" s="683" t="str">
        <f>+'1.Informe Seguimiento POA 2022'!J17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M13" s="625">
        <f>+'1.Informe Seguimiento POA 2022'!K17</f>
        <v>14307</v>
      </c>
      <c r="N13" s="625">
        <f>+'1.Informe Seguimiento POA 2022'!L17</f>
        <v>16115</v>
      </c>
      <c r="O13" s="625">
        <f>+'1.Informe Seguimiento POA 2022'!M17</f>
        <v>21200</v>
      </c>
      <c r="P13" s="625">
        <f>+'1.Informe Seguimiento POA 2022'!N17</f>
        <v>4100</v>
      </c>
      <c r="Q13" s="626">
        <v>3520</v>
      </c>
      <c r="R13" s="626">
        <v>2602</v>
      </c>
      <c r="S13" s="626">
        <v>4530</v>
      </c>
      <c r="T13" s="626">
        <v>4847</v>
      </c>
      <c r="U13" s="626">
        <v>5182</v>
      </c>
      <c r="V13" s="626">
        <v>3793</v>
      </c>
      <c r="W13" s="626">
        <v>1075</v>
      </c>
      <c r="X13" s="626">
        <v>5899</v>
      </c>
      <c r="Y13" s="626">
        <v>14307</v>
      </c>
      <c r="Z13" s="626">
        <v>17141</v>
      </c>
      <c r="AA13" s="892">
        <v>1.1980848535681834</v>
      </c>
      <c r="AB13" s="626">
        <f>+'1.Informe Seguimiento POA 2022'!O17</f>
        <v>3408</v>
      </c>
      <c r="AC13" s="626">
        <f>+'1.Informe Seguimiento POA 2022'!P17</f>
        <v>5102</v>
      </c>
      <c r="AD13" s="626">
        <f>+'1.Informe Seguimiento POA 2022'!Q17</f>
        <v>4265</v>
      </c>
      <c r="AE13" s="626">
        <f>+'1.Informe Seguimiento POA 2022'!R17</f>
        <v>5964</v>
      </c>
      <c r="AF13" s="626">
        <f>+'1.Informe Seguimiento POA 2022'!S17</f>
        <v>4275</v>
      </c>
      <c r="AG13" s="626">
        <f>+'1.Informe Seguimiento POA 2022'!T17</f>
        <v>6560</v>
      </c>
      <c r="AH13" s="626">
        <f>+'1.Informe Seguimiento POA 2022'!U17</f>
        <v>4167</v>
      </c>
      <c r="AI13" s="626">
        <f>+'1.Informe Seguimiento POA 2022'!V17</f>
        <v>6851</v>
      </c>
      <c r="AJ13" s="626">
        <f>+'1.Informe Seguimiento POA 2022'!X17</f>
        <v>16115</v>
      </c>
      <c r="AK13" s="626">
        <f>+'1.Informe Seguimiento POA 2022'!Y17</f>
        <v>24477</v>
      </c>
      <c r="AL13" s="686">
        <f>+'1.Informe Seguimiento POA 2022'!Z17</f>
        <v>1.5188954390319578</v>
      </c>
      <c r="AM13" s="1304"/>
      <c r="AN13" s="627"/>
      <c r="AO13" s="627"/>
      <c r="AP13" s="627"/>
      <c r="AQ13" s="627"/>
      <c r="AR13" s="627"/>
      <c r="AS13" s="627"/>
      <c r="AT13" s="627"/>
      <c r="AU13" s="627"/>
      <c r="AV13" s="626">
        <f t="shared" si="0"/>
        <v>21200</v>
      </c>
      <c r="AW13" s="626"/>
      <c r="AX13" s="627"/>
      <c r="AY13" s="627"/>
      <c r="AZ13" s="627"/>
      <c r="BA13" s="627"/>
      <c r="BB13" s="627"/>
      <c r="BC13" s="627"/>
      <c r="BD13" s="627"/>
      <c r="BE13" s="627"/>
      <c r="BF13" s="627"/>
      <c r="BG13" s="626">
        <f t="shared" si="1"/>
        <v>4100</v>
      </c>
      <c r="BH13" s="626"/>
      <c r="BI13" s="627"/>
      <c r="BJ13" s="696">
        <f t="shared" si="3"/>
        <v>30422</v>
      </c>
      <c r="BK13" s="696">
        <f t="shared" si="4"/>
        <v>41618</v>
      </c>
      <c r="BL13" s="627">
        <f t="shared" si="5"/>
        <v>1.3680231411478536</v>
      </c>
      <c r="BM13" s="627">
        <f t="shared" si="6"/>
        <v>0.74688632855963533</v>
      </c>
      <c r="BN13" s="915">
        <f t="shared" si="2"/>
        <v>4.4813179713578115E-2</v>
      </c>
      <c r="BO13" s="1139"/>
      <c r="BP13" s="1163"/>
      <c r="BQ13" s="713"/>
      <c r="BR13" s="713"/>
    </row>
    <row r="14" spans="2:72" ht="96" customHeight="1">
      <c r="B14" s="1117"/>
      <c r="C14" s="1219"/>
      <c r="D14" s="1297"/>
      <c r="E14" s="1260"/>
      <c r="F14" s="1218"/>
      <c r="G14" s="1218"/>
      <c r="H14" s="37" t="str">
        <f>+'1.Informe Seguimiento POA 2022'!D18</f>
        <v>1.1.6 Generar 80 espacios de mejora, de transferencia de conocimientos y buenas prácticas que permitan brindar una atención idónea a las personas que acuden a la Personería de Bogotá, D. C</v>
      </c>
      <c r="I14" s="678">
        <f>+'1.Informe Seguimiento POA 2022'!E18</f>
        <v>0.01</v>
      </c>
      <c r="J14" s="638">
        <f>+'1.Informe Seguimiento POA 2022'!F18</f>
        <v>80</v>
      </c>
      <c r="K14" s="683" t="str">
        <f>+'1.Informe Seguimiento POA 2022'!I18</f>
        <v>Promoción y Defensa de Derechos</v>
      </c>
      <c r="L14" s="683" t="str">
        <f>+'1.Informe Seguimiento POA 2022'!J18</f>
        <v>P.D. para la Coordinación del MP y DDHH y sus dependencias adscritas.</v>
      </c>
      <c r="M14" s="625">
        <f>+'1.Informe Seguimiento POA 2022'!K18</f>
        <v>20</v>
      </c>
      <c r="N14" s="625">
        <f>+'1.Informe Seguimiento POA 2022'!L18</f>
        <v>20</v>
      </c>
      <c r="O14" s="625">
        <f>+'1.Informe Seguimiento POA 2022'!M18</f>
        <v>20</v>
      </c>
      <c r="P14" s="625">
        <f>+'1.Informe Seguimiento POA 2022'!N18</f>
        <v>20</v>
      </c>
      <c r="Q14" s="626">
        <v>5</v>
      </c>
      <c r="R14" s="626">
        <v>1</v>
      </c>
      <c r="S14" s="626">
        <v>15</v>
      </c>
      <c r="T14" s="626">
        <v>10</v>
      </c>
      <c r="U14" s="626">
        <v>0</v>
      </c>
      <c r="V14" s="626">
        <v>6</v>
      </c>
      <c r="W14" s="626">
        <v>0</v>
      </c>
      <c r="X14" s="626">
        <v>3</v>
      </c>
      <c r="Y14" s="626">
        <v>20</v>
      </c>
      <c r="Z14" s="626">
        <v>20</v>
      </c>
      <c r="AA14" s="892">
        <v>1</v>
      </c>
      <c r="AB14" s="626">
        <f>+'1.Informe Seguimiento POA 2022'!O18</f>
        <v>2</v>
      </c>
      <c r="AC14" s="626">
        <f>+'1.Informe Seguimiento POA 2022'!P18</f>
        <v>0</v>
      </c>
      <c r="AD14" s="626">
        <f>+'1.Informe Seguimiento POA 2022'!Q18</f>
        <v>11</v>
      </c>
      <c r="AE14" s="626">
        <f>+'1.Informe Seguimiento POA 2022'!R18</f>
        <v>11</v>
      </c>
      <c r="AF14" s="626">
        <f>+'1.Informe Seguimiento POA 2022'!S18</f>
        <v>6</v>
      </c>
      <c r="AG14" s="626">
        <f>+'1.Informe Seguimiento POA 2022'!T18</f>
        <v>4</v>
      </c>
      <c r="AH14" s="626">
        <f>+'1.Informe Seguimiento POA 2022'!U18</f>
        <v>1</v>
      </c>
      <c r="AI14" s="626">
        <f>+'1.Informe Seguimiento POA 2022'!V18</f>
        <v>5</v>
      </c>
      <c r="AJ14" s="626">
        <f>+'1.Informe Seguimiento POA 2022'!X18</f>
        <v>20</v>
      </c>
      <c r="AK14" s="626">
        <f>+'1.Informe Seguimiento POA 2022'!Y18</f>
        <v>20</v>
      </c>
      <c r="AL14" s="686">
        <f>+'1.Informe Seguimiento POA 2022'!Z18</f>
        <v>1</v>
      </c>
      <c r="AM14" s="1304"/>
      <c r="AN14" s="627"/>
      <c r="AO14" s="627"/>
      <c r="AP14" s="627"/>
      <c r="AQ14" s="627"/>
      <c r="AR14" s="627"/>
      <c r="AS14" s="627"/>
      <c r="AT14" s="627"/>
      <c r="AU14" s="627"/>
      <c r="AV14" s="626">
        <f t="shared" si="0"/>
        <v>20</v>
      </c>
      <c r="AW14" s="626"/>
      <c r="AX14" s="627"/>
      <c r="AY14" s="627"/>
      <c r="AZ14" s="627"/>
      <c r="BA14" s="627"/>
      <c r="BB14" s="627"/>
      <c r="BC14" s="627"/>
      <c r="BD14" s="627"/>
      <c r="BE14" s="627"/>
      <c r="BF14" s="627"/>
      <c r="BG14" s="626">
        <f t="shared" si="1"/>
        <v>20</v>
      </c>
      <c r="BH14" s="626"/>
      <c r="BI14" s="627"/>
      <c r="BJ14" s="696">
        <f>+Q14+S14+U14+W14+AB14+AD14+AF14+AH14</f>
        <v>40</v>
      </c>
      <c r="BK14" s="696">
        <f>+R14+T14+V14+X14+AC14+AE14+AG14+AI14</f>
        <v>40</v>
      </c>
      <c r="BL14" s="627">
        <f t="shared" si="5"/>
        <v>1</v>
      </c>
      <c r="BM14" s="627">
        <f t="shared" si="6"/>
        <v>0.5</v>
      </c>
      <c r="BN14" s="915">
        <f t="shared" si="2"/>
        <v>5.0000000000000001E-3</v>
      </c>
      <c r="BO14" s="1139"/>
      <c r="BP14" s="1163"/>
      <c r="BQ14" s="713"/>
      <c r="BR14" s="713"/>
    </row>
    <row r="15" spans="2:72" ht="115.2" customHeight="1">
      <c r="B15" s="1117"/>
      <c r="C15" s="1219"/>
      <c r="D15" s="1297"/>
      <c r="E15" s="1260"/>
      <c r="F15" s="1218"/>
      <c r="G15" s="1218"/>
      <c r="H15" s="37" t="str">
        <f>+'1.Informe Seguimiento POA 2022'!D20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I15" s="678">
        <f>+'1.Informe Seguimiento POA 2022'!E20</f>
        <v>0.02</v>
      </c>
      <c r="J15" s="624">
        <f>+'1.Informe Seguimiento POA 2022'!F20</f>
        <v>19500</v>
      </c>
      <c r="K15" s="683" t="str">
        <f>+'1.Informe Seguimiento POA 2022'!I20</f>
        <v>Promoción y Defensa de Derechos</v>
      </c>
      <c r="L15" s="683" t="str">
        <f>+'1.Informe Seguimiento POA 2022'!J20</f>
        <v>P.D. para la Coordinación de la Gestión de Personerías Locales y sus Personerías Locales adscritas</v>
      </c>
      <c r="M15" s="625">
        <f>+'1.Informe Seguimiento POA 2022'!K20</f>
        <v>5000</v>
      </c>
      <c r="N15" s="625">
        <f>+'1.Informe Seguimiento POA 2022'!L20</f>
        <v>6000</v>
      </c>
      <c r="O15" s="625">
        <f>+'1.Informe Seguimiento POA 2022'!M20</f>
        <v>6500</v>
      </c>
      <c r="P15" s="625">
        <f>+'1.Informe Seguimiento POA 2022'!N20</f>
        <v>2000</v>
      </c>
      <c r="Q15" s="626">
        <v>1020</v>
      </c>
      <c r="R15" s="626">
        <v>977</v>
      </c>
      <c r="S15" s="626">
        <v>1380</v>
      </c>
      <c r="T15" s="626">
        <v>1846</v>
      </c>
      <c r="U15" s="626">
        <v>1380</v>
      </c>
      <c r="V15" s="626">
        <v>1748</v>
      </c>
      <c r="W15" s="626">
        <v>1220</v>
      </c>
      <c r="X15" s="626">
        <v>1608</v>
      </c>
      <c r="Y15" s="626">
        <v>5000</v>
      </c>
      <c r="Z15" s="626">
        <v>6179</v>
      </c>
      <c r="AA15" s="892">
        <v>1.2358</v>
      </c>
      <c r="AB15" s="626">
        <f>+'1.Informe Seguimiento POA 2022'!O20</f>
        <v>1200</v>
      </c>
      <c r="AC15" s="626">
        <f>+'1.Informe Seguimiento POA 2022'!P20</f>
        <v>1452</v>
      </c>
      <c r="AD15" s="626">
        <f>+'1.Informe Seguimiento POA 2022'!Q20</f>
        <v>1800</v>
      </c>
      <c r="AE15" s="626">
        <f>+'1.Informe Seguimiento POA 2022'!R20</f>
        <v>1952</v>
      </c>
      <c r="AF15" s="626">
        <f>+'1.Informe Seguimiento POA 2022'!S20</f>
        <v>1800</v>
      </c>
      <c r="AG15" s="626">
        <f>+'1.Informe Seguimiento POA 2022'!T20</f>
        <v>2402</v>
      </c>
      <c r="AH15" s="626">
        <f>+'1.Informe Seguimiento POA 2022'!U20</f>
        <v>1200</v>
      </c>
      <c r="AI15" s="626">
        <f>+'1.Informe Seguimiento POA 2022'!V20</f>
        <v>1740</v>
      </c>
      <c r="AJ15" s="626">
        <f>+'1.Informe Seguimiento POA 2022'!X20</f>
        <v>6000</v>
      </c>
      <c r="AK15" s="626">
        <f>+'1.Informe Seguimiento POA 2022'!Y20</f>
        <v>7546</v>
      </c>
      <c r="AL15" s="686">
        <f>+'1.Informe Seguimiento POA 2022'!Z20</f>
        <v>1.2576666666666667</v>
      </c>
      <c r="AM15" s="1304"/>
      <c r="AN15" s="627"/>
      <c r="AO15" s="627"/>
      <c r="AP15" s="627"/>
      <c r="AQ15" s="627"/>
      <c r="AR15" s="627"/>
      <c r="AS15" s="627"/>
      <c r="AT15" s="627"/>
      <c r="AU15" s="627"/>
      <c r="AV15" s="626">
        <f t="shared" si="0"/>
        <v>6500</v>
      </c>
      <c r="AW15" s="626"/>
      <c r="AX15" s="627"/>
      <c r="AY15" s="627"/>
      <c r="AZ15" s="627"/>
      <c r="BA15" s="627"/>
      <c r="BB15" s="627"/>
      <c r="BC15" s="627"/>
      <c r="BD15" s="627"/>
      <c r="BE15" s="627"/>
      <c r="BF15" s="627"/>
      <c r="BG15" s="626">
        <f t="shared" si="1"/>
        <v>2000</v>
      </c>
      <c r="BH15" s="626"/>
      <c r="BI15" s="627"/>
      <c r="BJ15" s="696">
        <f t="shared" ref="BJ15:BJ17" si="7">+Q15+S15+U15+W15+AB15+AD15+AF15+AH15</f>
        <v>11000</v>
      </c>
      <c r="BK15" s="696">
        <f t="shared" ref="BK15:BK17" si="8">+R15+T15+V15+X15+AC15+AE15+AG15+AI15</f>
        <v>13725</v>
      </c>
      <c r="BL15" s="627">
        <f>IF(AND(BJ15&gt;0),BK15/BJ15,"No programado")</f>
        <v>1.2477272727272728</v>
      </c>
      <c r="BM15" s="627">
        <f t="shared" si="6"/>
        <v>0.7038461538461539</v>
      </c>
      <c r="BN15" s="915">
        <f t="shared" si="2"/>
        <v>1.4076923076923079E-2</v>
      </c>
      <c r="BO15" s="1139"/>
      <c r="BP15" s="1163"/>
      <c r="BQ15" s="713"/>
      <c r="BR15" s="713"/>
    </row>
    <row r="16" spans="2:72" ht="121.5" customHeight="1">
      <c r="B16" s="1117"/>
      <c r="C16" s="1219"/>
      <c r="D16" s="1297"/>
      <c r="E16" s="1260"/>
      <c r="F16" s="1218"/>
      <c r="G16" s="1218"/>
      <c r="H16" s="37" t="str">
        <f>+'1.Informe Seguimiento POA 2022'!D21</f>
        <v>1.1.9 Realizar 11.000 intervenciones de manera oportuna para evitar situaciones de caducidad y perdida de fuerza ejecutoria en las actuaciones administrativas y policivas</v>
      </c>
      <c r="I16" s="119">
        <f>+'1.Informe Seguimiento POA 2022'!E21</f>
        <v>0.01</v>
      </c>
      <c r="J16" s="624">
        <f>+'1.Informe Seguimiento POA 2022'!F21</f>
        <v>11000</v>
      </c>
      <c r="K16" s="683" t="str">
        <f>+'1.Informe Seguimiento POA 2022'!I21</f>
        <v>Promoción y Defensa de Derechos</v>
      </c>
      <c r="L16" s="683" t="str">
        <f>+'1.Informe Seguimiento POA 2022'!J21</f>
        <v>P.D. para la Coordinación de la Gestión de Personerías Locales y sus Personerías Locales adscritas</v>
      </c>
      <c r="M16" s="625">
        <f>+'1.Informe Seguimiento POA 2022'!K21</f>
        <v>3000</v>
      </c>
      <c r="N16" s="625">
        <f>+'1.Informe Seguimiento POA 2022'!L21</f>
        <v>3000</v>
      </c>
      <c r="O16" s="625">
        <f>+'1.Informe Seguimiento POA 2022'!M21</f>
        <v>4000</v>
      </c>
      <c r="P16" s="625">
        <f>+'1.Informe Seguimiento POA 2022'!N21</f>
        <v>1000</v>
      </c>
      <c r="Q16" s="626">
        <v>640</v>
      </c>
      <c r="R16" s="626">
        <v>488</v>
      </c>
      <c r="S16" s="626">
        <v>810</v>
      </c>
      <c r="T16" s="626">
        <v>1360</v>
      </c>
      <c r="U16" s="626">
        <v>810</v>
      </c>
      <c r="V16" s="626">
        <v>1087</v>
      </c>
      <c r="W16" s="626">
        <v>740</v>
      </c>
      <c r="X16" s="626">
        <v>903</v>
      </c>
      <c r="Y16" s="626">
        <v>3000</v>
      </c>
      <c r="Z16" s="626">
        <v>3838</v>
      </c>
      <c r="AA16" s="892">
        <v>1.2793333333333334</v>
      </c>
      <c r="AB16" s="626">
        <f>+'1.Informe Seguimiento POA 2022'!O21</f>
        <v>600</v>
      </c>
      <c r="AC16" s="626">
        <f>+'1.Informe Seguimiento POA 2022'!P21</f>
        <v>438</v>
      </c>
      <c r="AD16" s="626">
        <f>+'1.Informe Seguimiento POA 2022'!Q21</f>
        <v>900</v>
      </c>
      <c r="AE16" s="626">
        <f>+'1.Informe Seguimiento POA 2022'!R21</f>
        <v>727</v>
      </c>
      <c r="AF16" s="626">
        <f>+'1.Informe Seguimiento POA 2022'!S21</f>
        <v>900</v>
      </c>
      <c r="AG16" s="626">
        <f>+'1.Informe Seguimiento POA 2022'!T21</f>
        <v>817</v>
      </c>
      <c r="AH16" s="626">
        <f>+'1.Informe Seguimiento POA 2022'!U21</f>
        <v>600</v>
      </c>
      <c r="AI16" s="626">
        <f>+'1.Informe Seguimiento POA 2022'!V21</f>
        <v>1208</v>
      </c>
      <c r="AJ16" s="626">
        <f>+'1.Informe Seguimiento POA 2022'!X21</f>
        <v>3000</v>
      </c>
      <c r="AK16" s="626">
        <f>+'1.Informe Seguimiento POA 2022'!Y21</f>
        <v>3190</v>
      </c>
      <c r="AL16" s="686">
        <f>+'1.Informe Seguimiento POA 2022'!Z21</f>
        <v>1.0633333333333332</v>
      </c>
      <c r="AM16" s="1304"/>
      <c r="AN16" s="627"/>
      <c r="AO16" s="627"/>
      <c r="AP16" s="627"/>
      <c r="AQ16" s="627"/>
      <c r="AR16" s="627"/>
      <c r="AS16" s="627"/>
      <c r="AT16" s="627"/>
      <c r="AU16" s="627"/>
      <c r="AV16" s="626">
        <f t="shared" si="0"/>
        <v>4000</v>
      </c>
      <c r="AW16" s="626"/>
      <c r="AX16" s="627"/>
      <c r="AY16" s="627"/>
      <c r="AZ16" s="627"/>
      <c r="BA16" s="627"/>
      <c r="BB16" s="627"/>
      <c r="BC16" s="627"/>
      <c r="BD16" s="627"/>
      <c r="BE16" s="627"/>
      <c r="BF16" s="627"/>
      <c r="BG16" s="626">
        <f t="shared" si="1"/>
        <v>1000</v>
      </c>
      <c r="BH16" s="626"/>
      <c r="BI16" s="627"/>
      <c r="BJ16" s="696">
        <f t="shared" si="7"/>
        <v>6000</v>
      </c>
      <c r="BK16" s="696">
        <f t="shared" si="8"/>
        <v>7028</v>
      </c>
      <c r="BL16" s="627">
        <f t="shared" si="5"/>
        <v>1.1713333333333333</v>
      </c>
      <c r="BM16" s="627">
        <f t="shared" si="6"/>
        <v>0.63890909090909087</v>
      </c>
      <c r="BN16" s="915">
        <f t="shared" si="2"/>
        <v>6.3890909090909085E-3</v>
      </c>
      <c r="BO16" s="1139"/>
      <c r="BP16" s="1163"/>
      <c r="BQ16" s="713"/>
      <c r="BR16" s="713"/>
    </row>
    <row r="17" spans="2:70" ht="84.75" customHeight="1">
      <c r="B17" s="1117"/>
      <c r="C17" s="1219"/>
      <c r="D17" s="1297"/>
      <c r="E17" s="1260"/>
      <c r="F17" s="1218"/>
      <c r="G17" s="1218"/>
      <c r="H17" s="37" t="str">
        <f>+'1.Informe Seguimiento POA 2022'!D22</f>
        <v>1.1.10 Impulsar 2.300 expedientes que contengan orden de policía (MULTA) en firme y ejecutoriada, para que se efectúen cobros persuasivos y/o se de traslado para el cobro coactivo.</v>
      </c>
      <c r="I17" s="119">
        <f>+'1.Informe Seguimiento POA 2022'!E22</f>
        <v>0.01</v>
      </c>
      <c r="J17" s="624">
        <f>+'1.Informe Seguimiento POA 2022'!F22</f>
        <v>2300</v>
      </c>
      <c r="K17" s="683" t="str">
        <f>+'1.Informe Seguimiento POA 2022'!I22</f>
        <v>Promoción y Defensa de Derechos</v>
      </c>
      <c r="L17" s="683" t="str">
        <f>+'1.Informe Seguimiento POA 2022'!J22</f>
        <v>P.D. para la Coordinación de la Gestión de Personerías Locales y sus Personerías Locales adscritas</v>
      </c>
      <c r="M17" s="625">
        <f>+'1.Informe Seguimiento POA 2022'!K22</f>
        <v>700</v>
      </c>
      <c r="N17" s="625">
        <f>+'1.Informe Seguimiento POA 2022'!L22</f>
        <v>500</v>
      </c>
      <c r="O17" s="625">
        <f>+'1.Informe Seguimiento POA 2022'!M22</f>
        <v>800</v>
      </c>
      <c r="P17" s="625">
        <f>+'1.Informe Seguimiento POA 2022'!N22</f>
        <v>300</v>
      </c>
      <c r="Q17" s="626">
        <v>145</v>
      </c>
      <c r="R17" s="626">
        <v>74</v>
      </c>
      <c r="S17" s="626">
        <v>190</v>
      </c>
      <c r="T17" s="626">
        <v>635</v>
      </c>
      <c r="U17" s="626">
        <v>195</v>
      </c>
      <c r="V17" s="626">
        <v>110</v>
      </c>
      <c r="W17" s="626">
        <v>170</v>
      </c>
      <c r="X17" s="626">
        <v>221</v>
      </c>
      <c r="Y17" s="626">
        <v>700</v>
      </c>
      <c r="Z17" s="626">
        <v>1040</v>
      </c>
      <c r="AA17" s="892">
        <v>1.4857142857142858</v>
      </c>
      <c r="AB17" s="626">
        <f>+'1.Informe Seguimiento POA 2022'!O22</f>
        <v>100</v>
      </c>
      <c r="AC17" s="626">
        <f>+'1.Informe Seguimiento POA 2022'!P22</f>
        <v>82</v>
      </c>
      <c r="AD17" s="626">
        <f>+'1.Informe Seguimiento POA 2022'!Q22</f>
        <v>150</v>
      </c>
      <c r="AE17" s="626">
        <f>+'1.Informe Seguimiento POA 2022'!R22</f>
        <v>74</v>
      </c>
      <c r="AF17" s="626">
        <f>+'1.Informe Seguimiento POA 2022'!S22</f>
        <v>150</v>
      </c>
      <c r="AG17" s="626">
        <f>+'1.Informe Seguimiento POA 2022'!T22</f>
        <v>150</v>
      </c>
      <c r="AH17" s="626">
        <f>+'1.Informe Seguimiento POA 2022'!U22</f>
        <v>100</v>
      </c>
      <c r="AI17" s="626">
        <f>+'1.Informe Seguimiento POA 2022'!V22</f>
        <v>275</v>
      </c>
      <c r="AJ17" s="626">
        <f>+'1.Informe Seguimiento POA 2022'!X22</f>
        <v>500</v>
      </c>
      <c r="AK17" s="626">
        <f>+'1.Informe Seguimiento POA 2022'!Y22</f>
        <v>581</v>
      </c>
      <c r="AL17" s="686">
        <f>+'1.Informe Seguimiento POA 2022'!Z22</f>
        <v>1.1619999999999999</v>
      </c>
      <c r="AM17" s="1304"/>
      <c r="AN17" s="627"/>
      <c r="AO17" s="627"/>
      <c r="AP17" s="627"/>
      <c r="AQ17" s="627"/>
      <c r="AR17" s="627"/>
      <c r="AS17" s="627"/>
      <c r="AT17" s="627"/>
      <c r="AU17" s="627"/>
      <c r="AV17" s="626">
        <f t="shared" si="0"/>
        <v>800</v>
      </c>
      <c r="AW17" s="626"/>
      <c r="AX17" s="627"/>
      <c r="AY17" s="627"/>
      <c r="AZ17" s="627"/>
      <c r="BA17" s="627"/>
      <c r="BB17" s="627"/>
      <c r="BC17" s="627"/>
      <c r="BD17" s="627"/>
      <c r="BE17" s="627"/>
      <c r="BF17" s="627"/>
      <c r="BG17" s="626">
        <f t="shared" si="1"/>
        <v>300</v>
      </c>
      <c r="BH17" s="626"/>
      <c r="BI17" s="627"/>
      <c r="BJ17" s="696">
        <f t="shared" si="7"/>
        <v>1200</v>
      </c>
      <c r="BK17" s="696">
        <f t="shared" si="8"/>
        <v>1621</v>
      </c>
      <c r="BL17" s="627">
        <f t="shared" si="5"/>
        <v>1.3508333333333333</v>
      </c>
      <c r="BM17" s="627">
        <f t="shared" si="6"/>
        <v>0.70478260869565212</v>
      </c>
      <c r="BN17" s="915">
        <f t="shared" si="2"/>
        <v>7.0478260869565211E-3</v>
      </c>
      <c r="BO17" s="1139"/>
      <c r="BP17" s="1163"/>
      <c r="BQ17" s="713"/>
      <c r="BR17" s="713"/>
    </row>
    <row r="18" spans="2:70" ht="83.25" customHeight="1">
      <c r="B18" s="1117"/>
      <c r="C18" s="1219"/>
      <c r="D18" s="1297"/>
      <c r="E18" s="1260"/>
      <c r="F18" s="1218"/>
      <c r="G18" s="1218"/>
      <c r="H18" s="37" t="str">
        <f>+'1.Informe Seguimiento POA 2022'!D23</f>
        <v>1.1.11 Establecer de forma periódica, 40 estados de la vulneración de  los derechos humanos en las localidades, dando a conocer a las Entidades correspondientes los hechos observados que requieren su intervención.</v>
      </c>
      <c r="I18" s="119">
        <f>+'1.Informe Seguimiento POA 2022'!E23</f>
        <v>0.01</v>
      </c>
      <c r="J18" s="624">
        <f>+'1.Informe Seguimiento POA 2022'!F23</f>
        <v>40</v>
      </c>
      <c r="K18" s="683" t="str">
        <f>+'1.Informe Seguimiento POA 2022'!I23</f>
        <v>Promoción y Defensa de Derechos</v>
      </c>
      <c r="L18" s="683" t="str">
        <f>+'1.Informe Seguimiento POA 2022'!J23</f>
        <v>P.D. para la Coordinación de la Gestión de Personerías Locales y sus Personerías Locales adscritas</v>
      </c>
      <c r="M18" s="625">
        <f>+'1.Informe Seguimiento POA 2022'!K23</f>
        <v>0</v>
      </c>
      <c r="N18" s="625">
        <f>+'1.Informe Seguimiento POA 2022'!L23</f>
        <v>0</v>
      </c>
      <c r="O18" s="625">
        <f>+'1.Informe Seguimiento POA 2022'!M23</f>
        <v>20</v>
      </c>
      <c r="P18" s="625">
        <f>+'1.Informe Seguimiento POA 2022'!N23</f>
        <v>20</v>
      </c>
      <c r="Q18" s="626">
        <v>0</v>
      </c>
      <c r="R18" s="626">
        <v>0</v>
      </c>
      <c r="S18" s="626">
        <v>0</v>
      </c>
      <c r="T18" s="626">
        <v>0</v>
      </c>
      <c r="U18" s="626">
        <v>0</v>
      </c>
      <c r="V18" s="626">
        <v>0</v>
      </c>
      <c r="W18" s="626">
        <v>0</v>
      </c>
      <c r="X18" s="626">
        <v>0</v>
      </c>
      <c r="Y18" s="626">
        <v>0</v>
      </c>
      <c r="Z18" s="626">
        <v>0</v>
      </c>
      <c r="AA18" s="892" t="s">
        <v>1153</v>
      </c>
      <c r="AB18" s="626">
        <f>+'1.Informe Seguimiento POA 2022'!O23</f>
        <v>0</v>
      </c>
      <c r="AC18" s="626">
        <f>+'1.Informe Seguimiento POA 2022'!P23</f>
        <v>0</v>
      </c>
      <c r="AD18" s="626">
        <f>+'1.Informe Seguimiento POA 2022'!Q23</f>
        <v>0</v>
      </c>
      <c r="AE18" s="626">
        <f>+'1.Informe Seguimiento POA 2022'!R23</f>
        <v>0</v>
      </c>
      <c r="AF18" s="626">
        <f>+'1.Informe Seguimiento POA 2022'!S23</f>
        <v>0</v>
      </c>
      <c r="AG18" s="626">
        <f>+'1.Informe Seguimiento POA 2022'!T23</f>
        <v>0</v>
      </c>
      <c r="AH18" s="626">
        <f>+'1.Informe Seguimiento POA 2022'!U23</f>
        <v>0</v>
      </c>
      <c r="AI18" s="626">
        <f>+'1.Informe Seguimiento POA 2022'!V23</f>
        <v>0</v>
      </c>
      <c r="AJ18" s="626">
        <f>+'1.Informe Seguimiento POA 2022'!X23</f>
        <v>0</v>
      </c>
      <c r="AK18" s="626">
        <f>+'1.Informe Seguimiento POA 2022'!Y23</f>
        <v>0</v>
      </c>
      <c r="AL18" s="686" t="str">
        <f>+'1.Informe Seguimiento POA 2022'!Z23</f>
        <v>No programado</v>
      </c>
      <c r="AM18" s="1304"/>
      <c r="AN18" s="627"/>
      <c r="AO18" s="627"/>
      <c r="AP18" s="627"/>
      <c r="AQ18" s="627"/>
      <c r="AR18" s="627"/>
      <c r="AS18" s="627"/>
      <c r="AT18" s="627"/>
      <c r="AU18" s="627"/>
      <c r="AV18" s="626">
        <f t="shared" si="0"/>
        <v>20</v>
      </c>
      <c r="AW18" s="626"/>
      <c r="AX18" s="627"/>
      <c r="AY18" s="627"/>
      <c r="AZ18" s="627"/>
      <c r="BA18" s="627"/>
      <c r="BB18" s="627"/>
      <c r="BC18" s="627"/>
      <c r="BD18" s="627"/>
      <c r="BE18" s="627"/>
      <c r="BF18" s="627"/>
      <c r="BG18" s="626">
        <f t="shared" si="1"/>
        <v>20</v>
      </c>
      <c r="BH18" s="626"/>
      <c r="BI18" s="628"/>
      <c r="BJ18" s="696">
        <f>+Q18+S18+U18+W18+AB18+AD18+AF18+AH18</f>
        <v>0</v>
      </c>
      <c r="BK18" s="696">
        <f>+R18+T18+V18+X18+AC18+AE18+AG18+AI18</f>
        <v>0</v>
      </c>
      <c r="BL18" s="627" t="str">
        <f t="shared" si="5"/>
        <v>No programado</v>
      </c>
      <c r="BM18" s="627">
        <f t="shared" si="6"/>
        <v>0</v>
      </c>
      <c r="BN18" s="915">
        <f t="shared" si="2"/>
        <v>0</v>
      </c>
      <c r="BO18" s="1139"/>
      <c r="BP18" s="1163"/>
      <c r="BQ18" s="713"/>
      <c r="BR18" s="713"/>
    </row>
    <row r="19" spans="2:70" ht="153.6" customHeight="1">
      <c r="B19" s="1117"/>
      <c r="C19" s="1247"/>
      <c r="D19" s="1298"/>
      <c r="E19" s="1278"/>
      <c r="F19" s="679" t="s">
        <v>1031</v>
      </c>
      <c r="G19" s="679" t="s">
        <v>228</v>
      </c>
      <c r="H19" s="37" t="str">
        <f>+'1.Informe Seguimiento POA 2022'!D19</f>
        <v>1.1.7 Entregar en un termino menor a los cinco (5) días hábiles, mas del 95% de las solicitudes de elaboración de tutelas, desacatos e impugnaciones que realicen las personas en el Distrito Capital.</v>
      </c>
      <c r="I19" s="119">
        <f>+'1.Informe Seguimiento POA 2022'!E19</f>
        <v>0.01</v>
      </c>
      <c r="J19" s="624" t="str">
        <f>+'1.Informe Seguimiento POA 2022'!F19</f>
        <v>&gt;=95%</v>
      </c>
      <c r="K19" s="683" t="str">
        <f>+'1.Informe Seguimiento POA 2022'!I19</f>
        <v>Promoción y Defensa de Derechos</v>
      </c>
      <c r="L19" s="683" t="str">
        <f>+'1.Informe Seguimiento POA 2022'!J19</f>
        <v>P.D. para Asuntos Jurisdiccionales, Víctimas y Penal II.
P.D. para la Coordinación de la Gestión de Personerías Locales y sus Personerías Locales adscritas</v>
      </c>
      <c r="M19" s="625" t="str">
        <f>+'1.Informe Seguimiento POA 2022'!K19</f>
        <v>&gt;=95%</v>
      </c>
      <c r="N19" s="625" t="str">
        <f>+'1.Informe Seguimiento POA 2022'!L19</f>
        <v>&gt;=95%</v>
      </c>
      <c r="O19" s="625" t="str">
        <f>+'1.Informe Seguimiento POA 2022'!M19</f>
        <v>&gt;=95%</v>
      </c>
      <c r="P19" s="625" t="str">
        <f>+'1.Informe Seguimiento POA 2022'!N19</f>
        <v>&gt;=95%</v>
      </c>
      <c r="Q19" s="893">
        <v>0.94999999999999984</v>
      </c>
      <c r="R19" s="893">
        <v>0.99199999999999999</v>
      </c>
      <c r="S19" s="893">
        <v>0.94999999999999984</v>
      </c>
      <c r="T19" s="893">
        <v>0.99633333333333329</v>
      </c>
      <c r="U19" s="893">
        <v>0.94999999999999984</v>
      </c>
      <c r="V19" s="894">
        <v>0.999</v>
      </c>
      <c r="W19" s="893">
        <v>0.94999999999999984</v>
      </c>
      <c r="X19" s="893">
        <v>1</v>
      </c>
      <c r="Y19" s="893">
        <v>0.94999999999999984</v>
      </c>
      <c r="Z19" s="894">
        <v>0.996</v>
      </c>
      <c r="AA19" s="892">
        <v>1.0484210526315791</v>
      </c>
      <c r="AB19" s="678">
        <f>+'1.Informe Seguimiento POA 2022'!O19</f>
        <v>0.94999999999999984</v>
      </c>
      <c r="AC19" s="678">
        <f>+'1.Informe Seguimiento POA 2022'!P19</f>
        <v>1</v>
      </c>
      <c r="AD19" s="678">
        <f>+'1.Informe Seguimiento POA 2022'!Q19</f>
        <v>0.94999999999999984</v>
      </c>
      <c r="AE19" s="678">
        <f>+'1.Informe Seguimiento POA 2022'!R19</f>
        <v>1</v>
      </c>
      <c r="AF19" s="678">
        <f>+'1.Informe Seguimiento POA 2022'!S19</f>
        <v>0.94999999999999984</v>
      </c>
      <c r="AG19" s="685">
        <f>+'1.Informe Seguimiento POA 2022'!T19</f>
        <v>0.99933333333333341</v>
      </c>
      <c r="AH19" s="678">
        <f>+'1.Informe Seguimiento POA 2022'!U19</f>
        <v>0.94999999999999984</v>
      </c>
      <c r="AI19" s="678">
        <f>+'1.Informe Seguimiento POA 2022'!V19</f>
        <v>0.99799999999999989</v>
      </c>
      <c r="AJ19" s="678">
        <f>+'1.Informe Seguimiento POA 2022'!X19</f>
        <v>0.94999999999999984</v>
      </c>
      <c r="AK19" s="685">
        <f>+'1.Informe Seguimiento POA 2022'!Y19</f>
        <v>0.999</v>
      </c>
      <c r="AL19" s="686">
        <f>+'1.Informe Seguimiento POA 2022'!Z19</f>
        <v>1.0515789473684212</v>
      </c>
      <c r="AM19" s="1305"/>
      <c r="AN19" s="627"/>
      <c r="AO19" s="627"/>
      <c r="AP19" s="627"/>
      <c r="AQ19" s="627"/>
      <c r="AR19" s="627"/>
      <c r="AS19" s="627"/>
      <c r="AT19" s="627"/>
      <c r="AU19" s="627"/>
      <c r="AV19" s="626" t="str">
        <f t="shared" si="0"/>
        <v>&gt;=95%</v>
      </c>
      <c r="AW19" s="626"/>
      <c r="AX19" s="627"/>
      <c r="AY19" s="627"/>
      <c r="AZ19" s="627"/>
      <c r="BA19" s="627"/>
      <c r="BB19" s="627"/>
      <c r="BC19" s="627"/>
      <c r="BD19" s="627"/>
      <c r="BE19" s="627"/>
      <c r="BF19" s="627"/>
      <c r="BG19" s="626" t="str">
        <f t="shared" si="1"/>
        <v>&gt;=95%</v>
      </c>
      <c r="BH19" s="626"/>
      <c r="BI19" s="627"/>
      <c r="BJ19" s="627">
        <f>IFERROR(AVERAGE(Q19,S19,U19,W19,AB19,AD19,AF19,AH19),0)</f>
        <v>0.95</v>
      </c>
      <c r="BK19" s="627">
        <f>IFERROR(AVERAGE(R19,T19,V19,X19,AC19,AE19,AG19,AI19),0)</f>
        <v>0.99808333333333343</v>
      </c>
      <c r="BL19" s="627">
        <f>IF(AND(BJ19&gt;0),BK19/BJ19,"No programado")</f>
        <v>1.0506140350877196</v>
      </c>
      <c r="BM19" s="627">
        <f>((IF(AND(BK19&gt;0,95%&gt;0),BK19/95%,0)/4)*0.5)</f>
        <v>0.13132675438596494</v>
      </c>
      <c r="BN19" s="915">
        <f t="shared" si="2"/>
        <v>1.3132675438596495E-3</v>
      </c>
      <c r="BO19" s="1307"/>
      <c r="BP19" s="1163"/>
      <c r="BQ19" s="713"/>
      <c r="BR19" s="713"/>
    </row>
    <row r="20" spans="2:70" ht="135.75" customHeight="1">
      <c r="B20" s="1117"/>
      <c r="C20" s="1206" t="str">
        <f>+'Matriz PEI 2021-2024'!C11</f>
        <v>1.2. Realizar 260.709 acciones que propendan por la efectiva defensa y garantía de los derechos de los sujetos de especial protección constitucional, con énfasis en las personas mayores, mujeres y la población migrante en el Distrito Capital.</v>
      </c>
      <c r="D20" s="1292">
        <f>+'Matriz PEI 2021-2024'!E11</f>
        <v>260709</v>
      </c>
      <c r="E20" s="1259">
        <f>+'Matriz PEI 2021-2024'!D11</f>
        <v>0.2</v>
      </c>
      <c r="F20" s="1206" t="s">
        <v>934</v>
      </c>
      <c r="G20" s="1206" t="s">
        <v>935</v>
      </c>
      <c r="H20" s="37" t="str">
        <f>+'1.Informe Seguimiento POA 2022'!D24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I20" s="682">
        <f>+'1.Informe Seguimiento POA 2022'!E24</f>
        <v>0.75</v>
      </c>
      <c r="J20" s="624">
        <f>+'1.Informe Seguimiento POA 2022'!F24</f>
        <v>205930</v>
      </c>
      <c r="K20" s="683" t="str">
        <f>+'1.Informe Seguimiento POA 2022'!I24</f>
        <v>Promoción y Defensa de Derechos</v>
      </c>
      <c r="L20" s="683" t="str">
        <f>+'1.Informe Seguimiento POA 2022'!J24</f>
        <v>P.D. para la Coordinación del MP y DDHH y sus dependencias adscritas
P.D. para la Coordinación de la Gestión de Personerías Locales y sus Personerías Locales adscritas</v>
      </c>
      <c r="M20" s="625">
        <f>+'1.Informe Seguimiento POA 2022'!K24</f>
        <v>62360</v>
      </c>
      <c r="N20" s="625">
        <f>+'1.Informe Seguimiento POA 2022'!L24</f>
        <v>71570</v>
      </c>
      <c r="O20" s="625">
        <f>+'1.Informe Seguimiento POA 2022'!M24</f>
        <v>53000</v>
      </c>
      <c r="P20" s="625">
        <f>+'1.Informe Seguimiento POA 2022'!N24</f>
        <v>19000</v>
      </c>
      <c r="Q20" s="626">
        <v>5300</v>
      </c>
      <c r="R20" s="626">
        <v>25347</v>
      </c>
      <c r="S20" s="626">
        <v>15930</v>
      </c>
      <c r="T20" s="626">
        <v>25884</v>
      </c>
      <c r="U20" s="626">
        <v>21720</v>
      </c>
      <c r="V20" s="626">
        <v>17775</v>
      </c>
      <c r="W20" s="626">
        <v>19410</v>
      </c>
      <c r="X20" s="626">
        <v>7874</v>
      </c>
      <c r="Y20" s="626">
        <v>62360</v>
      </c>
      <c r="Z20" s="626">
        <v>76880</v>
      </c>
      <c r="AA20" s="892">
        <v>1.2328415651058371</v>
      </c>
      <c r="AB20" s="626">
        <f>+'1.Informe Seguimiento POA 2022'!O24</f>
        <v>10700</v>
      </c>
      <c r="AC20" s="626">
        <f>+'1.Informe Seguimiento POA 2022'!P24</f>
        <v>16789</v>
      </c>
      <c r="AD20" s="626">
        <f>+'1.Informe Seguimiento POA 2022'!Q24</f>
        <v>21400</v>
      </c>
      <c r="AE20" s="626">
        <f>+'1.Informe Seguimiento POA 2022'!R24</f>
        <v>27872</v>
      </c>
      <c r="AF20" s="626">
        <f>+'1.Informe Seguimiento POA 2022'!S24</f>
        <v>23550</v>
      </c>
      <c r="AG20" s="626">
        <f>+'1.Informe Seguimiento POA 2022'!T24</f>
        <v>22710</v>
      </c>
      <c r="AH20" s="626">
        <f>+'1.Informe Seguimiento POA 2022'!U24</f>
        <v>15920</v>
      </c>
      <c r="AI20" s="626">
        <f>+'1.Informe Seguimiento POA 2022'!V24</f>
        <v>12229</v>
      </c>
      <c r="AJ20" s="626">
        <f>+'1.Informe Seguimiento POA 2022'!X24</f>
        <v>71570</v>
      </c>
      <c r="AK20" s="626">
        <f>+'1.Informe Seguimiento POA 2022'!Y24</f>
        <v>79600</v>
      </c>
      <c r="AL20" s="686">
        <f>+'1.Informe Seguimiento POA 2022'!Z24</f>
        <v>1.1121978482604442</v>
      </c>
      <c r="AM20" s="1303">
        <f>'1.Informe Seguimiento POA 2022'!AC24</f>
        <v>0.39195979073585391</v>
      </c>
      <c r="AN20" s="627"/>
      <c r="AO20" s="627"/>
      <c r="AP20" s="627"/>
      <c r="AQ20" s="627"/>
      <c r="AR20" s="627"/>
      <c r="AS20" s="627"/>
      <c r="AT20" s="627"/>
      <c r="AU20" s="627"/>
      <c r="AV20" s="626">
        <f t="shared" si="0"/>
        <v>53000</v>
      </c>
      <c r="AW20" s="626"/>
      <c r="AX20" s="627"/>
      <c r="AY20" s="627"/>
      <c r="AZ20" s="627"/>
      <c r="BA20" s="627"/>
      <c r="BB20" s="627"/>
      <c r="BC20" s="627"/>
      <c r="BD20" s="627"/>
      <c r="BE20" s="627"/>
      <c r="BF20" s="627"/>
      <c r="BG20" s="626">
        <f t="shared" si="1"/>
        <v>19000</v>
      </c>
      <c r="BH20" s="626"/>
      <c r="BI20" s="627"/>
      <c r="BJ20" s="696">
        <f>+Q20+S20+U20+W20+AB20+AD20+AF20+AH20</f>
        <v>133930</v>
      </c>
      <c r="BK20" s="696">
        <f>+R20+T20+V20+X20+AC20+AE20+AG20+AI20</f>
        <v>156480</v>
      </c>
      <c r="BL20" s="627">
        <f t="shared" si="5"/>
        <v>1.1683715373702681</v>
      </c>
      <c r="BM20" s="627">
        <f t="shared" si="6"/>
        <v>0.75986985868984602</v>
      </c>
      <c r="BN20" s="915">
        <f t="shared" si="2"/>
        <v>0.56990239401738452</v>
      </c>
      <c r="BO20" s="1192">
        <f>+BN20+BN21+BN22+BN23+BN24+BN25</f>
        <v>0.75463497231198573</v>
      </c>
      <c r="BP20" s="1163"/>
      <c r="BQ20" s="714"/>
      <c r="BR20" s="714"/>
    </row>
    <row r="21" spans="2:70" ht="106.2" customHeight="1">
      <c r="B21" s="1117"/>
      <c r="C21" s="1219"/>
      <c r="D21" s="1293"/>
      <c r="E21" s="1260"/>
      <c r="F21" s="1219"/>
      <c r="G21" s="1219"/>
      <c r="H21" s="37" t="str">
        <f>+'1.Informe Seguimiento POA 2022'!D25</f>
        <v>1.2.2 Adelantar 23.910 acciones necesarias en favor de la población víctima del conflicto armado interno mediante el apoyo jurídico, la atención psicosocial, la gestión para acceso a derechos, la toma de declaraciones y la elaboración de derechos de petición.</v>
      </c>
      <c r="I21" s="682">
        <f>+'1.Informe Seguimiento POA 2022'!E25</f>
        <v>0.12</v>
      </c>
      <c r="J21" s="624">
        <f>+'1.Informe Seguimiento POA 2022'!F25</f>
        <v>23910</v>
      </c>
      <c r="K21" s="683" t="str">
        <f>+'1.Informe Seguimiento POA 2022'!I25</f>
        <v>Promoción y Defensa de Derechos</v>
      </c>
      <c r="L21" s="683" t="str">
        <f>+'1.Informe Seguimiento POA 2022'!J25</f>
        <v>P.D. para la Protección de las Víctimas del Conflicto Armado Interno
P.D. para la Coordinación de la Gestión de Personerías Locales y sus Personerías Locales adscritas</v>
      </c>
      <c r="M21" s="625">
        <f>+'1.Informe Seguimiento POA 2022'!K25</f>
        <v>5480</v>
      </c>
      <c r="N21" s="625">
        <f>+'1.Informe Seguimiento POA 2022'!L25</f>
        <v>5480</v>
      </c>
      <c r="O21" s="625">
        <f>+'1.Informe Seguimiento POA 2022'!M25</f>
        <v>8650</v>
      </c>
      <c r="P21" s="625">
        <f>+'1.Informe Seguimiento POA 2022'!N25</f>
        <v>4300</v>
      </c>
      <c r="Q21" s="626">
        <v>1404</v>
      </c>
      <c r="R21" s="626">
        <v>1308</v>
      </c>
      <c r="S21" s="626">
        <v>1944</v>
      </c>
      <c r="T21" s="626">
        <v>1590</v>
      </c>
      <c r="U21" s="626">
        <v>684</v>
      </c>
      <c r="V21" s="626">
        <v>2806</v>
      </c>
      <c r="W21" s="626">
        <v>1448</v>
      </c>
      <c r="X21" s="626">
        <v>2904</v>
      </c>
      <c r="Y21" s="626">
        <v>5480</v>
      </c>
      <c r="Z21" s="626">
        <v>8608</v>
      </c>
      <c r="AA21" s="892">
        <v>1.5708029197080291</v>
      </c>
      <c r="AB21" s="626">
        <f>+'1.Informe Seguimiento POA 2022'!O25</f>
        <v>920</v>
      </c>
      <c r="AC21" s="626">
        <f>+'1.Informe Seguimiento POA 2022'!P25</f>
        <v>2701</v>
      </c>
      <c r="AD21" s="626">
        <f>+'1.Informe Seguimiento POA 2022'!Q25</f>
        <v>1760</v>
      </c>
      <c r="AE21" s="626">
        <f>+'1.Informe Seguimiento POA 2022'!R25</f>
        <v>2810</v>
      </c>
      <c r="AF21" s="626">
        <f>+'1.Informe Seguimiento POA 2022'!S25</f>
        <v>1680</v>
      </c>
      <c r="AG21" s="626">
        <f>+'1.Informe Seguimiento POA 2022'!T25</f>
        <v>2279</v>
      </c>
      <c r="AH21" s="626">
        <f>+'1.Informe Seguimiento POA 2022'!U25</f>
        <v>1120</v>
      </c>
      <c r="AI21" s="626">
        <f>+'1.Informe Seguimiento POA 2022'!V25</f>
        <v>2568</v>
      </c>
      <c r="AJ21" s="626">
        <f>+'1.Informe Seguimiento POA 2022'!X25</f>
        <v>5480</v>
      </c>
      <c r="AK21" s="626">
        <f>+'1.Informe Seguimiento POA 2022'!Y25</f>
        <v>10358</v>
      </c>
      <c r="AL21" s="686">
        <f>+'1.Informe Seguimiento POA 2022'!Z25</f>
        <v>1.8901459854014599</v>
      </c>
      <c r="AM21" s="1304"/>
      <c r="AN21" s="627"/>
      <c r="AO21" s="627"/>
      <c r="AP21" s="627"/>
      <c r="AQ21" s="627"/>
      <c r="AR21" s="627"/>
      <c r="AS21" s="627"/>
      <c r="AT21" s="627"/>
      <c r="AU21" s="627"/>
      <c r="AV21" s="626">
        <f t="shared" si="0"/>
        <v>8650</v>
      </c>
      <c r="AW21" s="626"/>
      <c r="AX21" s="627"/>
      <c r="AY21" s="627"/>
      <c r="AZ21" s="627"/>
      <c r="BA21" s="627"/>
      <c r="BB21" s="627"/>
      <c r="BC21" s="627"/>
      <c r="BD21" s="627"/>
      <c r="BE21" s="627"/>
      <c r="BF21" s="627"/>
      <c r="BG21" s="626">
        <f t="shared" si="1"/>
        <v>4300</v>
      </c>
      <c r="BH21" s="626"/>
      <c r="BI21" s="627"/>
      <c r="BJ21" s="696">
        <f t="shared" ref="BJ21:BJ24" si="9">+Q21+S21+U21+W21+AB21+AD21+AF21+AH21</f>
        <v>10960</v>
      </c>
      <c r="BK21" s="696">
        <f t="shared" ref="BK21:BK24" si="10">+R21+T21+V21+X21+AC21+AE21+AG21+AI21</f>
        <v>18966</v>
      </c>
      <c r="BL21" s="627">
        <f t="shared" si="5"/>
        <v>1.7304744525547446</v>
      </c>
      <c r="BM21" s="627">
        <f t="shared" si="6"/>
        <v>0.79322459222082808</v>
      </c>
      <c r="BN21" s="915">
        <f t="shared" si="2"/>
        <v>9.5186951066499367E-2</v>
      </c>
      <c r="BO21" s="1193"/>
      <c r="BP21" s="1163"/>
      <c r="BQ21" s="714"/>
      <c r="BR21" s="714"/>
    </row>
    <row r="22" spans="2:70" ht="75">
      <c r="B22" s="1117"/>
      <c r="C22" s="1219"/>
      <c r="D22" s="1293"/>
      <c r="E22" s="1260"/>
      <c r="F22" s="1219"/>
      <c r="G22" s="1219"/>
      <c r="H22" s="37" t="str">
        <f>+'1.Informe Seguimiento POA 2022'!D26</f>
        <v>1.2.3 Prevenir mediante la elaboración de 18.880 acciones constitucionales, la vulneración de derechos  con énfasis en sujetos de especial protección constitucional.</v>
      </c>
      <c r="I22" s="682">
        <f>+'1.Informe Seguimiento POA 2022'!E26</f>
        <v>0.09</v>
      </c>
      <c r="J22" s="624">
        <f>+'1.Informe Seguimiento POA 2022'!F26</f>
        <v>18880</v>
      </c>
      <c r="K22" s="683" t="str">
        <f>+'1.Informe Seguimiento POA 2022'!I26</f>
        <v>Promoción y Defensa de Derechos</v>
      </c>
      <c r="L22" s="683" t="str">
        <f>+'1.Informe Seguimiento POA 2022'!J26</f>
        <v>P.D. para Asuntos Jurisdiccionales, Víctimas, Penal II y Consumidor.
P.D. para la Coordinación de la Gestión de Personerías Locales y sus Personerías Locales adscritas</v>
      </c>
      <c r="M22" s="625">
        <f>+'1.Informe Seguimiento POA 2022'!K26</f>
        <v>4790</v>
      </c>
      <c r="N22" s="625">
        <f>+'1.Informe Seguimiento POA 2022'!L26</f>
        <v>4790</v>
      </c>
      <c r="O22" s="625">
        <f>+'1.Informe Seguimiento POA 2022'!M26</f>
        <v>6300</v>
      </c>
      <c r="P22" s="625">
        <f>+'1.Informe Seguimiento POA 2022'!N26</f>
        <v>3000</v>
      </c>
      <c r="Q22" s="626">
        <v>1350</v>
      </c>
      <c r="R22" s="626">
        <v>1189</v>
      </c>
      <c r="S22" s="626">
        <v>1650</v>
      </c>
      <c r="T22" s="626">
        <v>1167</v>
      </c>
      <c r="U22" s="626">
        <v>1070</v>
      </c>
      <c r="V22" s="626">
        <v>1356</v>
      </c>
      <c r="W22" s="626">
        <v>720</v>
      </c>
      <c r="X22" s="626">
        <v>1750</v>
      </c>
      <c r="Y22" s="626">
        <v>4790</v>
      </c>
      <c r="Z22" s="626">
        <v>5462</v>
      </c>
      <c r="AA22" s="892">
        <v>1.1402922755741127</v>
      </c>
      <c r="AB22" s="626">
        <f>+'1.Informe Seguimiento POA 2022'!O26</f>
        <v>1311</v>
      </c>
      <c r="AC22" s="626">
        <f>+'1.Informe Seguimiento POA 2022'!P26</f>
        <v>1473</v>
      </c>
      <c r="AD22" s="626">
        <f>+'1.Informe Seguimiento POA 2022'!Q26</f>
        <v>1674</v>
      </c>
      <c r="AE22" s="626">
        <f>+'1.Informe Seguimiento POA 2022'!R26</f>
        <v>1824</v>
      </c>
      <c r="AF22" s="626">
        <f>+'1.Informe Seguimiento POA 2022'!S26</f>
        <v>1107</v>
      </c>
      <c r="AG22" s="626">
        <f>+'1.Informe Seguimiento POA 2022'!T26</f>
        <v>2201</v>
      </c>
      <c r="AH22" s="626">
        <f>+'1.Informe Seguimiento POA 2022'!U26</f>
        <v>698</v>
      </c>
      <c r="AI22" s="626">
        <f>+'1.Informe Seguimiento POA 2022'!V26</f>
        <v>2040</v>
      </c>
      <c r="AJ22" s="626">
        <f>+'1.Informe Seguimiento POA 2022'!X26</f>
        <v>4790</v>
      </c>
      <c r="AK22" s="626">
        <f>+'1.Informe Seguimiento POA 2022'!Y26</f>
        <v>7538</v>
      </c>
      <c r="AL22" s="686">
        <f>+'1.Informe Seguimiento POA 2022'!Z26</f>
        <v>1.5736951983298539</v>
      </c>
      <c r="AM22" s="1304"/>
      <c r="AN22" s="627"/>
      <c r="AO22" s="627"/>
      <c r="AP22" s="627"/>
      <c r="AQ22" s="627"/>
      <c r="AR22" s="627"/>
      <c r="AS22" s="627"/>
      <c r="AT22" s="627"/>
      <c r="AU22" s="627"/>
      <c r="AV22" s="626">
        <f t="shared" si="0"/>
        <v>6300</v>
      </c>
      <c r="AW22" s="626"/>
      <c r="AX22" s="627"/>
      <c r="AY22" s="627"/>
      <c r="AZ22" s="627"/>
      <c r="BA22" s="627"/>
      <c r="BB22" s="627"/>
      <c r="BC22" s="627"/>
      <c r="BD22" s="627"/>
      <c r="BE22" s="627"/>
      <c r="BF22" s="627"/>
      <c r="BG22" s="626">
        <f t="shared" si="1"/>
        <v>3000</v>
      </c>
      <c r="BH22" s="626"/>
      <c r="BI22" s="627"/>
      <c r="BJ22" s="696">
        <f t="shared" si="9"/>
        <v>9580</v>
      </c>
      <c r="BK22" s="696">
        <f t="shared" si="10"/>
        <v>13000</v>
      </c>
      <c r="BL22" s="627">
        <f>IF(AND(BJ22&gt;0),BK22/BJ22,"No programado")</f>
        <v>1.3569937369519833</v>
      </c>
      <c r="BM22" s="627">
        <f t="shared" si="6"/>
        <v>0.68855932203389836</v>
      </c>
      <c r="BN22" s="915">
        <f t="shared" si="2"/>
        <v>6.1970338983050849E-2</v>
      </c>
      <c r="BO22" s="1193"/>
      <c r="BP22" s="1163"/>
      <c r="BQ22" s="714"/>
      <c r="BR22" s="714"/>
    </row>
    <row r="23" spans="2:70" ht="85.2" customHeight="1">
      <c r="B23" s="1117"/>
      <c r="C23" s="1219"/>
      <c r="D23" s="1293"/>
      <c r="E23" s="1260"/>
      <c r="F23" s="1219"/>
      <c r="G23" s="1219"/>
      <c r="H23" s="37" t="str">
        <f>+'1.Informe Seguimiento POA 2022'!D27</f>
        <v>1.2.4 Fortalecer el ejercicio del ministerio público ante las comisarías de familia, verificando el cumplimiento a 3.540 medidas de protección que se imponen.</v>
      </c>
      <c r="I23" s="682">
        <f>+'1.Informe Seguimiento POA 2022'!E27</f>
        <v>0.02</v>
      </c>
      <c r="J23" s="624">
        <f>+'1.Informe Seguimiento POA 2022'!F27</f>
        <v>3540</v>
      </c>
      <c r="K23" s="683" t="str">
        <f>+'1.Informe Seguimiento POA 2022'!I27</f>
        <v>Promoción y Defensa de Derechos</v>
      </c>
      <c r="L23" s="683" t="str">
        <f>+'1.Informe Seguimiento POA 2022'!J27</f>
        <v>P.D. para la Familia y Sujetos de Especial Protección Constitucional</v>
      </c>
      <c r="M23" s="625">
        <f>+'1.Informe Seguimiento POA 2022'!K27</f>
        <v>940</v>
      </c>
      <c r="N23" s="625">
        <f>+'1.Informe Seguimiento POA 2022'!L27</f>
        <v>800</v>
      </c>
      <c r="O23" s="625">
        <f>+'1.Informe Seguimiento POA 2022'!M27</f>
        <v>1200</v>
      </c>
      <c r="P23" s="625">
        <f>+'1.Informe Seguimiento POA 2022'!N27</f>
        <v>600</v>
      </c>
      <c r="Q23" s="626">
        <v>100</v>
      </c>
      <c r="R23" s="626">
        <v>264</v>
      </c>
      <c r="S23" s="626">
        <v>390</v>
      </c>
      <c r="T23" s="626">
        <v>224</v>
      </c>
      <c r="U23" s="626">
        <v>290</v>
      </c>
      <c r="V23" s="626">
        <v>244</v>
      </c>
      <c r="W23" s="626">
        <v>160</v>
      </c>
      <c r="X23" s="626">
        <v>177</v>
      </c>
      <c r="Y23" s="626">
        <v>940</v>
      </c>
      <c r="Z23" s="626">
        <v>909</v>
      </c>
      <c r="AA23" s="892">
        <v>0.96702127659574466</v>
      </c>
      <c r="AB23" s="626">
        <f>+'1.Informe Seguimiento POA 2022'!O27</f>
        <v>140</v>
      </c>
      <c r="AC23" s="626">
        <f>+'1.Informe Seguimiento POA 2022'!P27</f>
        <v>53</v>
      </c>
      <c r="AD23" s="626">
        <f>+'1.Informe Seguimiento POA 2022'!Q27</f>
        <v>270</v>
      </c>
      <c r="AE23" s="626">
        <f>+'1.Informe Seguimiento POA 2022'!R27</f>
        <v>144</v>
      </c>
      <c r="AF23" s="626">
        <f>+'1.Informe Seguimiento POA 2022'!S27</f>
        <v>240</v>
      </c>
      <c r="AG23" s="626">
        <f>+'1.Informe Seguimiento POA 2022'!T27</f>
        <v>485</v>
      </c>
      <c r="AH23" s="626">
        <f>+'1.Informe Seguimiento POA 2022'!U27</f>
        <v>150</v>
      </c>
      <c r="AI23" s="626">
        <f>+'1.Informe Seguimiento POA 2022'!V27</f>
        <v>248</v>
      </c>
      <c r="AJ23" s="626">
        <f>+'1.Informe Seguimiento POA 2022'!X27</f>
        <v>800</v>
      </c>
      <c r="AK23" s="626">
        <f>+'1.Informe Seguimiento POA 2022'!Y27</f>
        <v>930</v>
      </c>
      <c r="AL23" s="686">
        <f>+'1.Informe Seguimiento POA 2022'!Z27</f>
        <v>1.1625000000000001</v>
      </c>
      <c r="AM23" s="1304"/>
      <c r="AN23" s="627"/>
      <c r="AO23" s="627"/>
      <c r="AP23" s="627"/>
      <c r="AQ23" s="627"/>
      <c r="AR23" s="627"/>
      <c r="AS23" s="627"/>
      <c r="AT23" s="627"/>
      <c r="AU23" s="627"/>
      <c r="AV23" s="626">
        <f t="shared" si="0"/>
        <v>1200</v>
      </c>
      <c r="AW23" s="626"/>
      <c r="AX23" s="627"/>
      <c r="AY23" s="627"/>
      <c r="AZ23" s="627"/>
      <c r="BA23" s="627"/>
      <c r="BB23" s="627"/>
      <c r="BC23" s="627"/>
      <c r="BD23" s="627"/>
      <c r="BE23" s="627"/>
      <c r="BF23" s="627"/>
      <c r="BG23" s="626">
        <f t="shared" si="1"/>
        <v>600</v>
      </c>
      <c r="BH23" s="626"/>
      <c r="BI23" s="627"/>
      <c r="BJ23" s="696">
        <f t="shared" si="9"/>
        <v>1740</v>
      </c>
      <c r="BK23" s="696">
        <f t="shared" si="10"/>
        <v>1839</v>
      </c>
      <c r="BL23" s="627">
        <f t="shared" si="5"/>
        <v>1.056896551724138</v>
      </c>
      <c r="BM23" s="627">
        <f t="shared" si="6"/>
        <v>0.51949152542372878</v>
      </c>
      <c r="BN23" s="915">
        <f t="shared" si="2"/>
        <v>1.0389830508474576E-2</v>
      </c>
      <c r="BO23" s="1193"/>
      <c r="BP23" s="1163"/>
      <c r="BQ23" s="714"/>
      <c r="BR23" s="714"/>
    </row>
    <row r="24" spans="2:70" ht="120" customHeight="1">
      <c r="B24" s="1117"/>
      <c r="C24" s="1219"/>
      <c r="D24" s="1293"/>
      <c r="E24" s="1260"/>
      <c r="F24" s="1219"/>
      <c r="G24" s="1219"/>
      <c r="H24" s="37" t="str">
        <f>+'1.Informe Seguimiento POA 2022'!D28</f>
        <v>1.2.5 Participar en 7.711 comités, mesas y consejos interinstitucionales en garantía de derechos, con énfasis en temas relacionados con sujetos de especial protección constitucional, en particular, persona mayor, mujer y población migrante.</v>
      </c>
      <c r="I24" s="682">
        <f>+'1.Informe Seguimiento POA 2022'!E28</f>
        <v>0.01</v>
      </c>
      <c r="J24" s="624">
        <f>+'1.Informe Seguimiento POA 2022'!F28</f>
        <v>7711</v>
      </c>
      <c r="K24" s="683" t="str">
        <f>+'1.Informe Seguimiento POA 2022'!I28</f>
        <v>Promoción y Defensa de Derechos</v>
      </c>
      <c r="L24" s="683" t="str">
        <f>+'1.Informe Seguimiento POA 2022'!J28</f>
        <v>P.D. para la Coordinación del MP y DDHH, P.D. para Asuntos Penales I, Penales II, Derechos Humanos, Familia, Víctimas, Asuntos Jurisdiccionales y Consumidor.
 P.D. para la Coordinación de la Gestión de Personerías Locales y sus Personerías Locales adscritas</v>
      </c>
      <c r="M24" s="625">
        <f>+'1.Informe Seguimiento POA 2022'!K28</f>
        <v>2802</v>
      </c>
      <c r="N24" s="625">
        <f>+'1.Informe Seguimiento POA 2022'!L28</f>
        <v>2771</v>
      </c>
      <c r="O24" s="625">
        <f>+'1.Informe Seguimiento POA 2022'!M28</f>
        <v>1092</v>
      </c>
      <c r="P24" s="625">
        <f>+'1.Informe Seguimiento POA 2022'!N28</f>
        <v>1046</v>
      </c>
      <c r="Q24" s="626">
        <v>196</v>
      </c>
      <c r="R24" s="626">
        <v>642</v>
      </c>
      <c r="S24" s="626">
        <v>327</v>
      </c>
      <c r="T24" s="626">
        <v>722</v>
      </c>
      <c r="U24" s="626">
        <v>451</v>
      </c>
      <c r="V24" s="626">
        <v>856</v>
      </c>
      <c r="W24" s="626">
        <v>1828</v>
      </c>
      <c r="X24" s="626">
        <v>933</v>
      </c>
      <c r="Y24" s="626">
        <v>2802</v>
      </c>
      <c r="Z24" s="626">
        <v>3153</v>
      </c>
      <c r="AA24" s="892">
        <v>1.1252676659528908</v>
      </c>
      <c r="AB24" s="626">
        <f>+'1.Informe Seguimiento POA 2022'!O28</f>
        <v>678</v>
      </c>
      <c r="AC24" s="626">
        <f>+'1.Informe Seguimiento POA 2022'!P28</f>
        <v>602</v>
      </c>
      <c r="AD24" s="626">
        <f>+'1.Informe Seguimiento POA 2022'!Q28</f>
        <v>702</v>
      </c>
      <c r="AE24" s="626">
        <f>+'1.Informe Seguimiento POA 2022'!R28</f>
        <v>847</v>
      </c>
      <c r="AF24" s="626">
        <f>+'1.Informe Seguimiento POA 2022'!S28</f>
        <v>703</v>
      </c>
      <c r="AG24" s="626">
        <f>+'1.Informe Seguimiento POA 2022'!T28</f>
        <v>810</v>
      </c>
      <c r="AH24" s="626">
        <f>+'1.Informe Seguimiento POA 2022'!U28</f>
        <v>688</v>
      </c>
      <c r="AI24" s="626">
        <f>+'1.Informe Seguimiento POA 2022'!V28</f>
        <v>811</v>
      </c>
      <c r="AJ24" s="626">
        <f>+'1.Informe Seguimiento POA 2022'!X28</f>
        <v>2771</v>
      </c>
      <c r="AK24" s="626">
        <f>+'1.Informe Seguimiento POA 2022'!Y28</f>
        <v>3070</v>
      </c>
      <c r="AL24" s="686">
        <f>+'1.Informe Seguimiento POA 2022'!Z28</f>
        <v>1.1079032840129917</v>
      </c>
      <c r="AM24" s="1304"/>
      <c r="AN24" s="627"/>
      <c r="AO24" s="627"/>
      <c r="AP24" s="627"/>
      <c r="AQ24" s="627"/>
      <c r="AR24" s="627"/>
      <c r="AS24" s="627"/>
      <c r="AT24" s="627"/>
      <c r="AU24" s="627"/>
      <c r="AV24" s="626">
        <f t="shared" si="0"/>
        <v>1092</v>
      </c>
      <c r="AW24" s="626"/>
      <c r="AX24" s="627"/>
      <c r="AY24" s="627"/>
      <c r="AZ24" s="627"/>
      <c r="BA24" s="627"/>
      <c r="BB24" s="627"/>
      <c r="BC24" s="627"/>
      <c r="BD24" s="627"/>
      <c r="BE24" s="627"/>
      <c r="BF24" s="627"/>
      <c r="BG24" s="626">
        <f t="shared" si="1"/>
        <v>1046</v>
      </c>
      <c r="BH24" s="626"/>
      <c r="BI24" s="627"/>
      <c r="BJ24" s="696">
        <f t="shared" si="9"/>
        <v>5573</v>
      </c>
      <c r="BK24" s="696">
        <f t="shared" si="10"/>
        <v>6223</v>
      </c>
      <c r="BL24" s="627">
        <f t="shared" si="5"/>
        <v>1.1166337699623183</v>
      </c>
      <c r="BM24" s="627">
        <f t="shared" si="6"/>
        <v>0.80702891972506807</v>
      </c>
      <c r="BN24" s="915">
        <f t="shared" si="2"/>
        <v>8.0702891972506807E-3</v>
      </c>
      <c r="BO24" s="1193"/>
      <c r="BP24" s="1163"/>
      <c r="BQ24" s="714"/>
      <c r="BR24" s="714"/>
    </row>
    <row r="25" spans="2:70" ht="105">
      <c r="B25" s="1117"/>
      <c r="C25" s="1247"/>
      <c r="D25" s="1294"/>
      <c r="E25" s="1278"/>
      <c r="F25" s="1247"/>
      <c r="G25" s="1247"/>
      <c r="H25" s="37" t="str">
        <f>+'1.Informe Seguimiento POA 2022'!D29</f>
        <v>1.2.6 Realizar 738 seguimientos a la amenaza y vulneración de los derechos, con énfasis en sujetos de especial protección constitucional, en particular, persona mayor, mujer y población migrante</v>
      </c>
      <c r="I25" s="682">
        <f>+'1.Informe Seguimiento POA 2022'!E29</f>
        <v>0.01</v>
      </c>
      <c r="J25" s="624">
        <f>+'1.Informe Seguimiento POA 2022'!F29</f>
        <v>712</v>
      </c>
      <c r="K25" s="683" t="str">
        <f>+'1.Informe Seguimiento POA 2022'!I29</f>
        <v>Promoción y Defensa de Derechos</v>
      </c>
      <c r="L25" s="683" t="str">
        <f>+'1.Informe Seguimiento POA 2022'!J29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M25" s="625">
        <f>+'1.Informe Seguimiento POA 2022'!K29</f>
        <v>228</v>
      </c>
      <c r="N25" s="625">
        <f>+'1.Informe Seguimiento POA 2022'!L29</f>
        <v>208</v>
      </c>
      <c r="O25" s="625">
        <f>+'1.Informe Seguimiento POA 2022'!M29</f>
        <v>182</v>
      </c>
      <c r="P25" s="625">
        <f>+'1.Informe Seguimiento POA 2022'!N29</f>
        <v>120</v>
      </c>
      <c r="Q25" s="626">
        <v>41</v>
      </c>
      <c r="R25" s="626">
        <v>64</v>
      </c>
      <c r="S25" s="626">
        <v>51</v>
      </c>
      <c r="T25" s="626">
        <v>88</v>
      </c>
      <c r="U25" s="626">
        <v>72</v>
      </c>
      <c r="V25" s="626">
        <v>87</v>
      </c>
      <c r="W25" s="626">
        <v>64</v>
      </c>
      <c r="X25" s="626">
        <v>61</v>
      </c>
      <c r="Y25" s="626">
        <v>228</v>
      </c>
      <c r="Z25" s="626">
        <v>300</v>
      </c>
      <c r="AA25" s="892">
        <v>1.3157894736842106</v>
      </c>
      <c r="AB25" s="626">
        <f>+'1.Informe Seguimiento POA 2022'!O29</f>
        <v>45</v>
      </c>
      <c r="AC25" s="626">
        <f>+'1.Informe Seguimiento POA 2022'!P29</f>
        <v>88</v>
      </c>
      <c r="AD25" s="626">
        <f>+'1.Informe Seguimiento POA 2022'!Q29</f>
        <v>64</v>
      </c>
      <c r="AE25" s="626">
        <f>+'1.Informe Seguimiento POA 2022'!R29</f>
        <v>94</v>
      </c>
      <c r="AF25" s="626">
        <f>+'1.Informe Seguimiento POA 2022'!S29</f>
        <v>57</v>
      </c>
      <c r="AG25" s="626">
        <f>+'1.Informe Seguimiento POA 2022'!T29</f>
        <v>87</v>
      </c>
      <c r="AH25" s="626">
        <f>+'1.Informe Seguimiento POA 2022'!U29</f>
        <v>42</v>
      </c>
      <c r="AI25" s="626">
        <f>+'1.Informe Seguimiento POA 2022'!V29</f>
        <v>80</v>
      </c>
      <c r="AJ25" s="626">
        <f>+'1.Informe Seguimiento POA 2022'!X29</f>
        <v>208</v>
      </c>
      <c r="AK25" s="626">
        <f>+'1.Informe Seguimiento POA 2022'!Y29</f>
        <v>349</v>
      </c>
      <c r="AL25" s="686">
        <f>+'1.Informe Seguimiento POA 2022'!Z29</f>
        <v>1.6778846153846154</v>
      </c>
      <c r="AM25" s="1305"/>
      <c r="AN25" s="627"/>
      <c r="AO25" s="627"/>
      <c r="AP25" s="627"/>
      <c r="AQ25" s="627"/>
      <c r="AR25" s="627"/>
      <c r="AS25" s="627"/>
      <c r="AT25" s="627"/>
      <c r="AU25" s="627"/>
      <c r="AV25" s="626">
        <f t="shared" si="0"/>
        <v>182</v>
      </c>
      <c r="AW25" s="626"/>
      <c r="AX25" s="627"/>
      <c r="AY25" s="627"/>
      <c r="AZ25" s="627"/>
      <c r="BA25" s="627"/>
      <c r="BB25" s="627"/>
      <c r="BC25" s="627"/>
      <c r="BD25" s="627"/>
      <c r="BE25" s="627"/>
      <c r="BF25" s="627"/>
      <c r="BG25" s="626">
        <f t="shared" si="1"/>
        <v>120</v>
      </c>
      <c r="BH25" s="626"/>
      <c r="BI25" s="627"/>
      <c r="BJ25" s="696">
        <f>+Q25+S25+U25+W25+AB25+AD25+AF25+AH25</f>
        <v>436</v>
      </c>
      <c r="BK25" s="696">
        <f>+R25+T25+V25+X25+AC25+AE25+AG25+AI25</f>
        <v>649</v>
      </c>
      <c r="BL25" s="627">
        <f t="shared" si="5"/>
        <v>1.488532110091743</v>
      </c>
      <c r="BM25" s="627">
        <f t="shared" si="6"/>
        <v>0.9115168539325843</v>
      </c>
      <c r="BN25" s="915">
        <f t="shared" si="2"/>
        <v>9.1151685393258425E-3</v>
      </c>
      <c r="BO25" s="1194"/>
      <c r="BP25" s="1163"/>
      <c r="BQ25" s="714"/>
      <c r="BR25" s="714"/>
    </row>
    <row r="26" spans="2:70" ht="90" customHeight="1">
      <c r="B26" s="1117"/>
      <c r="C26" s="1206" t="str">
        <f>+'Matriz PEI 2021-2024'!C12</f>
        <v>1.3. Construir e Implementar 35 estrategias que permitan incrementar la oferta y cobertura de los servicios prestados por la Entidad.</v>
      </c>
      <c r="D26" s="1295">
        <f>+'Matriz PEI 2021-2024'!E12</f>
        <v>35</v>
      </c>
      <c r="E26" s="1259">
        <f>+'Matriz PEI 2021-2024'!D12</f>
        <v>0.1</v>
      </c>
      <c r="F26" s="1206" t="s">
        <v>936</v>
      </c>
      <c r="G26" s="1206" t="s">
        <v>937</v>
      </c>
      <c r="H26" s="37" t="str">
        <f>+'1.Informe Seguimiento POA 2022'!D30</f>
        <v>1.3.1 Realizar 20 actividades que permitan el acercamiento de la Entidad a la Comunidad.</v>
      </c>
      <c r="I26" s="682">
        <f>+'1.Informe Seguimiento POA 2022'!E30</f>
        <v>0.56000000000000005</v>
      </c>
      <c r="J26" s="624">
        <f>+'1.Informe Seguimiento POA 2022'!F30</f>
        <v>20</v>
      </c>
      <c r="K26" s="683" t="str">
        <f>+'1.Informe Seguimiento POA 2022'!I30</f>
        <v>Promoción y Defensa de Derechos</v>
      </c>
      <c r="L26" s="683" t="str">
        <f>+'1.Informe Seguimiento POA 2022'!J30</f>
        <v>P.D. para la Coordinación del MP y DDHH y sus dependencias adscritas
 P.D. para la Coordinación de la Gestión de Personerías Locales y sus Personerías Locales adscritas</v>
      </c>
      <c r="M26" s="625">
        <f>+'1.Informe Seguimiento POA 2022'!K30</f>
        <v>2</v>
      </c>
      <c r="N26" s="625">
        <f>+'1.Informe Seguimiento POA 2022'!L30</f>
        <v>8</v>
      </c>
      <c r="O26" s="625">
        <f>+'1.Informe Seguimiento POA 2022'!M30</f>
        <v>8</v>
      </c>
      <c r="P26" s="625">
        <f>+'1.Informe Seguimiento POA 2022'!N30</f>
        <v>2</v>
      </c>
      <c r="Q26" s="626">
        <v>0</v>
      </c>
      <c r="R26" s="626">
        <v>0</v>
      </c>
      <c r="S26" s="626">
        <v>0</v>
      </c>
      <c r="T26" s="626">
        <v>0.1</v>
      </c>
      <c r="U26" s="626">
        <v>2</v>
      </c>
      <c r="V26" s="626">
        <v>0.6</v>
      </c>
      <c r="W26" s="626">
        <v>0</v>
      </c>
      <c r="X26" s="626">
        <v>1.3</v>
      </c>
      <c r="Y26" s="626">
        <v>2</v>
      </c>
      <c r="Z26" s="626">
        <v>2</v>
      </c>
      <c r="AA26" s="892">
        <v>1</v>
      </c>
      <c r="AB26" s="626">
        <f>+'1.Informe Seguimiento POA 2022'!O30</f>
        <v>0</v>
      </c>
      <c r="AC26" s="626">
        <f>+'1.Informe Seguimiento POA 2022'!P30</f>
        <v>0.2</v>
      </c>
      <c r="AD26" s="626">
        <f>+'1.Informe Seguimiento POA 2022'!Q30</f>
        <v>2</v>
      </c>
      <c r="AE26" s="626">
        <f>+'1.Informe Seguimiento POA 2022'!R30</f>
        <v>1.8000000000000003</v>
      </c>
      <c r="AF26" s="626">
        <f>+'1.Informe Seguimiento POA 2022'!S30</f>
        <v>5</v>
      </c>
      <c r="AG26" s="626">
        <f>+'1.Informe Seguimiento POA 2022'!T30</f>
        <v>2.6</v>
      </c>
      <c r="AH26" s="626">
        <f>+'1.Informe Seguimiento POA 2022'!U30</f>
        <v>1</v>
      </c>
      <c r="AI26" s="626">
        <f>+'1.Informe Seguimiento POA 2022'!V30</f>
        <v>3.4</v>
      </c>
      <c r="AJ26" s="626">
        <f>+'1.Informe Seguimiento POA 2022'!X30</f>
        <v>8</v>
      </c>
      <c r="AK26" s="626">
        <f>+'1.Informe Seguimiento POA 2022'!Y30</f>
        <v>8</v>
      </c>
      <c r="AL26" s="686">
        <f>+'1.Informe Seguimiento POA 2022'!Z30</f>
        <v>1</v>
      </c>
      <c r="AM26" s="1303">
        <f>'1.Informe Seguimiento POA 2022'!AC30</f>
        <v>0.33604545454545459</v>
      </c>
      <c r="AN26" s="627"/>
      <c r="AO26" s="627"/>
      <c r="AP26" s="627"/>
      <c r="AQ26" s="627"/>
      <c r="AR26" s="627"/>
      <c r="AS26" s="627"/>
      <c r="AT26" s="627"/>
      <c r="AU26" s="627"/>
      <c r="AV26" s="626">
        <f t="shared" si="0"/>
        <v>8</v>
      </c>
      <c r="AW26" s="626"/>
      <c r="AX26" s="627"/>
      <c r="AY26" s="627"/>
      <c r="AZ26" s="627"/>
      <c r="BA26" s="627"/>
      <c r="BB26" s="627"/>
      <c r="BC26" s="627"/>
      <c r="BD26" s="627"/>
      <c r="BE26" s="627"/>
      <c r="BF26" s="627"/>
      <c r="BG26" s="626">
        <f t="shared" si="1"/>
        <v>2</v>
      </c>
      <c r="BH26" s="626"/>
      <c r="BI26" s="627"/>
      <c r="BJ26" s="696">
        <f t="shared" ref="BJ26:BJ28" si="11">+Q26+S26+U26+W26+AB26+AD26+AF26+AH26</f>
        <v>10</v>
      </c>
      <c r="BK26" s="696">
        <f t="shared" ref="BK26:BK28" si="12">+R26+T26+V26+X26+AC26+AE26+AG26+AI26</f>
        <v>10</v>
      </c>
      <c r="BL26" s="627">
        <f t="shared" si="5"/>
        <v>1</v>
      </c>
      <c r="BM26" s="627">
        <f t="shared" si="6"/>
        <v>0.5</v>
      </c>
      <c r="BN26" s="915">
        <f t="shared" si="2"/>
        <v>0.28000000000000003</v>
      </c>
      <c r="BO26" s="1192">
        <f>+BN26+BN27+BN28</f>
        <v>0.50409090909090915</v>
      </c>
      <c r="BP26" s="1163"/>
      <c r="BQ26" s="714"/>
      <c r="BR26" s="714"/>
    </row>
    <row r="27" spans="2:70" ht="92.25" customHeight="1">
      <c r="B27" s="1117"/>
      <c r="C27" s="1219"/>
      <c r="D27" s="1296"/>
      <c r="E27" s="1260"/>
      <c r="F27" s="1219"/>
      <c r="G27" s="1219"/>
      <c r="H27" s="37" t="str">
        <f>+'1.Informe Seguimiento POA 2022'!D31</f>
        <v>1.3.2 Incrementar la cobertura de los servicios que presta el proceso de Promoción y Defensa de Derechos, mediante la implementación de 11 acciones que propendan por el mejoramiento de los mismos.</v>
      </c>
      <c r="I27" s="682">
        <f>+'1.Informe Seguimiento POA 2022'!E31</f>
        <v>0.31</v>
      </c>
      <c r="J27" s="624">
        <f>+'1.Informe Seguimiento POA 2022'!F31</f>
        <v>11</v>
      </c>
      <c r="K27" s="683" t="str">
        <f>+'1.Informe Seguimiento POA 2022'!I31</f>
        <v>Promoción y Defensa de Derechos</v>
      </c>
      <c r="L27" s="683" t="str">
        <f>+'1.Informe Seguimiento POA 2022'!J31</f>
        <v>P.D. para la Coordinación del MP y DDHH y sus dependencias adscritas
 P.D. para la Coordinación de la Gestión de Personerías Locales y sus Personerías Locales adscritas</v>
      </c>
      <c r="M27" s="625">
        <f>+'1.Informe Seguimiento POA 2022'!K31</f>
        <v>3</v>
      </c>
      <c r="N27" s="625">
        <f>+'1.Informe Seguimiento POA 2022'!L31</f>
        <v>3</v>
      </c>
      <c r="O27" s="625">
        <f>+'1.Informe Seguimiento POA 2022'!M31</f>
        <v>3</v>
      </c>
      <c r="P27" s="625">
        <f>+'1.Informe Seguimiento POA 2022'!N31</f>
        <v>2</v>
      </c>
      <c r="Q27" s="626">
        <v>0</v>
      </c>
      <c r="R27" s="626">
        <v>0</v>
      </c>
      <c r="S27" s="626">
        <v>1</v>
      </c>
      <c r="T27" s="626">
        <v>0</v>
      </c>
      <c r="U27" s="626">
        <v>2</v>
      </c>
      <c r="V27" s="626">
        <v>1</v>
      </c>
      <c r="W27" s="626">
        <v>0</v>
      </c>
      <c r="X27" s="626">
        <v>2</v>
      </c>
      <c r="Y27" s="626">
        <v>3</v>
      </c>
      <c r="Z27" s="626">
        <v>3</v>
      </c>
      <c r="AA27" s="892">
        <v>1</v>
      </c>
      <c r="AB27" s="626">
        <f>+'1.Informe Seguimiento POA 2022'!O31</f>
        <v>0</v>
      </c>
      <c r="AC27" s="626">
        <f>+'1.Informe Seguimiento POA 2022'!P31</f>
        <v>0</v>
      </c>
      <c r="AD27" s="626">
        <f>+'1.Informe Seguimiento POA 2022'!Q31</f>
        <v>0</v>
      </c>
      <c r="AE27" s="626">
        <f>+'1.Informe Seguimiento POA 2022'!R31</f>
        <v>0</v>
      </c>
      <c r="AF27" s="626">
        <f>+'1.Informe Seguimiento POA 2022'!S31</f>
        <v>3</v>
      </c>
      <c r="AG27" s="626">
        <f>+'1.Informe Seguimiento POA 2022'!T31</f>
        <v>1</v>
      </c>
      <c r="AH27" s="626">
        <f>+'1.Informe Seguimiento POA 2022'!U31</f>
        <v>0</v>
      </c>
      <c r="AI27" s="626">
        <f>+'1.Informe Seguimiento POA 2022'!V31</f>
        <v>2</v>
      </c>
      <c r="AJ27" s="626">
        <f>+'1.Informe Seguimiento POA 2022'!X31</f>
        <v>3</v>
      </c>
      <c r="AK27" s="626">
        <f>+'1.Informe Seguimiento POA 2022'!Y31</f>
        <v>3</v>
      </c>
      <c r="AL27" s="686">
        <f>+'1.Informe Seguimiento POA 2022'!Z31</f>
        <v>1</v>
      </c>
      <c r="AM27" s="1304"/>
      <c r="AN27" s="627"/>
      <c r="AO27" s="627"/>
      <c r="AP27" s="627"/>
      <c r="AQ27" s="627"/>
      <c r="AR27" s="627"/>
      <c r="AS27" s="627"/>
      <c r="AT27" s="627"/>
      <c r="AU27" s="627"/>
      <c r="AV27" s="626">
        <f t="shared" si="0"/>
        <v>3</v>
      </c>
      <c r="AW27" s="626"/>
      <c r="AX27" s="627"/>
      <c r="AY27" s="627"/>
      <c r="AZ27" s="627"/>
      <c r="BA27" s="627"/>
      <c r="BB27" s="627"/>
      <c r="BC27" s="627"/>
      <c r="BD27" s="627"/>
      <c r="BE27" s="627"/>
      <c r="BF27" s="627"/>
      <c r="BG27" s="626">
        <f t="shared" si="1"/>
        <v>2</v>
      </c>
      <c r="BH27" s="626"/>
      <c r="BI27" s="627"/>
      <c r="BJ27" s="696">
        <f t="shared" si="11"/>
        <v>6</v>
      </c>
      <c r="BK27" s="696">
        <f t="shared" si="12"/>
        <v>6</v>
      </c>
      <c r="BL27" s="627">
        <f>IF(AND(BJ27&gt;0),BK27/BJ27,"No programado")</f>
        <v>1</v>
      </c>
      <c r="BM27" s="627">
        <f t="shared" si="6"/>
        <v>0.54545454545454541</v>
      </c>
      <c r="BN27" s="915">
        <f t="shared" si="2"/>
        <v>0.16909090909090907</v>
      </c>
      <c r="BO27" s="1193"/>
      <c r="BP27" s="1163"/>
      <c r="BQ27" s="714"/>
      <c r="BR27" s="714"/>
    </row>
    <row r="28" spans="2:70" ht="83.25" customHeight="1">
      <c r="B28" s="1117"/>
      <c r="C28" s="1219"/>
      <c r="D28" s="1296"/>
      <c r="E28" s="1260"/>
      <c r="F28" s="1219"/>
      <c r="G28" s="1219"/>
      <c r="H28" s="37" t="str">
        <f>+'1.Informe Seguimiento POA 2022'!D32</f>
        <v>1.3.3 Implementar 4 herramientas para la promoción y prevención a infracciones del Derecho Internacional Humanitario en el Distrito Capital</v>
      </c>
      <c r="I28" s="682">
        <f>+'1.Informe Seguimiento POA 2022'!E32</f>
        <v>0.11</v>
      </c>
      <c r="J28" s="624">
        <f>+'1.Informe Seguimiento POA 2022'!F32</f>
        <v>4</v>
      </c>
      <c r="K28" s="683" t="str">
        <f>+'1.Informe Seguimiento POA 2022'!I32</f>
        <v>Promoción y Defensa de Derechos</v>
      </c>
      <c r="L28" s="683" t="str">
        <f>+'1.Informe Seguimiento POA 2022'!J32</f>
        <v>P.D. para la Coordinación del MP y DDHH y sus dependencias adscritas
 P.D. para la Coordinación de la Gestión de Personerías Locales y sus Personerías Locales adscritas</v>
      </c>
      <c r="M28" s="625">
        <f>+'1.Informe Seguimiento POA 2022'!K32</f>
        <v>1</v>
      </c>
      <c r="N28" s="625">
        <f>+'1.Informe Seguimiento POA 2022'!L32</f>
        <v>1</v>
      </c>
      <c r="O28" s="625">
        <f>+'1.Informe Seguimiento POA 2022'!M32</f>
        <v>1</v>
      </c>
      <c r="P28" s="625">
        <f>+'1.Informe Seguimiento POA 2022'!N32</f>
        <v>1</v>
      </c>
      <c r="Q28" s="626">
        <v>0</v>
      </c>
      <c r="R28" s="626">
        <v>0</v>
      </c>
      <c r="S28" s="626">
        <v>0</v>
      </c>
      <c r="T28" s="626">
        <v>0</v>
      </c>
      <c r="U28" s="626">
        <v>1</v>
      </c>
      <c r="V28" s="626">
        <v>0</v>
      </c>
      <c r="W28" s="626">
        <v>0</v>
      </c>
      <c r="X28" s="626">
        <v>1</v>
      </c>
      <c r="Y28" s="626">
        <v>1</v>
      </c>
      <c r="Z28" s="626">
        <v>1</v>
      </c>
      <c r="AA28" s="892">
        <v>1</v>
      </c>
      <c r="AB28" s="626">
        <f>+'1.Informe Seguimiento POA 2022'!O32</f>
        <v>0</v>
      </c>
      <c r="AC28" s="626">
        <f>+'1.Informe Seguimiento POA 2022'!P32</f>
        <v>0</v>
      </c>
      <c r="AD28" s="626">
        <f>+'1.Informe Seguimiento POA 2022'!Q32</f>
        <v>0</v>
      </c>
      <c r="AE28" s="626">
        <f>+'1.Informe Seguimiento POA 2022'!R32</f>
        <v>0</v>
      </c>
      <c r="AF28" s="626">
        <f>+'1.Informe Seguimiento POA 2022'!S32</f>
        <v>0</v>
      </c>
      <c r="AG28" s="626">
        <f>+'1.Informe Seguimiento POA 2022'!T32</f>
        <v>0</v>
      </c>
      <c r="AH28" s="626">
        <f>+'1.Informe Seguimiento POA 2022'!U32</f>
        <v>1</v>
      </c>
      <c r="AI28" s="626">
        <f>+'1.Informe Seguimiento POA 2022'!V32</f>
        <v>1</v>
      </c>
      <c r="AJ28" s="626">
        <f>+'1.Informe Seguimiento POA 2022'!X32</f>
        <v>1</v>
      </c>
      <c r="AK28" s="626">
        <f>+'1.Informe Seguimiento POA 2022'!Y32</f>
        <v>1</v>
      </c>
      <c r="AL28" s="686">
        <f>+'1.Informe Seguimiento POA 2022'!Z32</f>
        <v>1</v>
      </c>
      <c r="AM28" s="1305"/>
      <c r="AN28" s="627"/>
      <c r="AO28" s="627"/>
      <c r="AP28" s="627"/>
      <c r="AQ28" s="627"/>
      <c r="AR28" s="627"/>
      <c r="AS28" s="627"/>
      <c r="AT28" s="627"/>
      <c r="AU28" s="627"/>
      <c r="AV28" s="626">
        <f t="shared" si="0"/>
        <v>1</v>
      </c>
      <c r="AW28" s="626"/>
      <c r="AX28" s="627"/>
      <c r="AY28" s="627"/>
      <c r="AZ28" s="627"/>
      <c r="BA28" s="627"/>
      <c r="BB28" s="627"/>
      <c r="BC28" s="627"/>
      <c r="BD28" s="627"/>
      <c r="BE28" s="627"/>
      <c r="BF28" s="627"/>
      <c r="BG28" s="626">
        <f t="shared" si="1"/>
        <v>1</v>
      </c>
      <c r="BH28" s="626"/>
      <c r="BI28" s="627"/>
      <c r="BJ28" s="696">
        <f t="shared" si="11"/>
        <v>2</v>
      </c>
      <c r="BK28" s="696">
        <f t="shared" si="12"/>
        <v>2</v>
      </c>
      <c r="BL28" s="627">
        <f>IF(AND(BJ28&gt;0),BK28/BJ28,"No programado")</f>
        <v>1</v>
      </c>
      <c r="BM28" s="627">
        <f t="shared" si="6"/>
        <v>0.5</v>
      </c>
      <c r="BN28" s="915">
        <f t="shared" si="2"/>
        <v>5.5E-2</v>
      </c>
      <c r="BO28" s="1193"/>
      <c r="BP28" s="1163"/>
      <c r="BQ28" s="714"/>
      <c r="BR28" s="714"/>
    </row>
    <row r="29" spans="2:70" ht="102" customHeight="1">
      <c r="B29" s="1144" t="str">
        <f>+'Matriz PEI 2021-2024'!B13</f>
        <v>2. Realizar acciones de prevención y control a la Función Pública, en el marco del cumplimiento del Plan de Desarrollo, con énfasis en los Derechos e intereses colectivos.</v>
      </c>
      <c r="C29" s="1211" t="str">
        <f>+'Matriz PEI 2021-2024'!C13</f>
        <v>2.1. Realizar 22 acciones de prevención y control a la función pública en medio ambiente, agua, protección y bienestar animal y desarrollo urbano.</v>
      </c>
      <c r="D29" s="1243">
        <f>+'Matriz PEI 2021-2024'!E13</f>
        <v>22</v>
      </c>
      <c r="E29" s="1241">
        <f>+'Matriz PEI 2021-2024'!D13</f>
        <v>0.3</v>
      </c>
      <c r="F29" s="1211" t="s">
        <v>938</v>
      </c>
      <c r="G29" s="1211" t="s">
        <v>939</v>
      </c>
      <c r="H29" s="630" t="str">
        <f>+'1.Informe Seguimiento POA 2022'!D33</f>
        <v>2.1.1 Realizar 16 informes en los cuales se evalúen las políticas ambientales, el manejo de recursos hídricos, protección y bienestar animal y desarrollo urbano en el Distrito Capital.</v>
      </c>
      <c r="I29" s="124">
        <f>+'1.Informe Seguimiento POA 2022'!E33</f>
        <v>0.72727272727272696</v>
      </c>
      <c r="J29" s="631">
        <f>+'1.Informe Seguimiento POA 2022'!F33</f>
        <v>16</v>
      </c>
      <c r="K29" s="632" t="str">
        <f>+'1.Informe Seguimiento POA 2022'!I33</f>
        <v>Prevención y Control a la Función Pública</v>
      </c>
      <c r="L29" s="633" t="str">
        <f>+'1.Informe Seguimiento POA 2022'!J33</f>
        <v xml:space="preserve">Personería Delegada para la Coordinación de Prevención y Control a la Función Pública y sus Personerías Delegadas.
Personería Delegada para la Coordinación de Gestión de las Personerías Locales y sus Personerías Locales. </v>
      </c>
      <c r="M29" s="634">
        <f>+'1.Informe Seguimiento POA 2022'!K33</f>
        <v>2</v>
      </c>
      <c r="N29" s="634">
        <f>+'1.Informe Seguimiento POA 2022'!L33</f>
        <v>7</v>
      </c>
      <c r="O29" s="634">
        <f>+'1.Informe Seguimiento POA 2022'!M33</f>
        <v>6</v>
      </c>
      <c r="P29" s="634">
        <f>+'1.Informe Seguimiento POA 2022'!N33</f>
        <v>1</v>
      </c>
      <c r="Q29" s="635">
        <v>0</v>
      </c>
      <c r="R29" s="635">
        <v>0</v>
      </c>
      <c r="S29" s="635">
        <v>0</v>
      </c>
      <c r="T29" s="687">
        <v>0</v>
      </c>
      <c r="U29" s="635">
        <v>2</v>
      </c>
      <c r="V29" s="687">
        <v>0</v>
      </c>
      <c r="W29" s="635">
        <v>0</v>
      </c>
      <c r="X29" s="687">
        <v>2</v>
      </c>
      <c r="Y29" s="635">
        <v>2</v>
      </c>
      <c r="Z29" s="635">
        <v>2</v>
      </c>
      <c r="AA29" s="636">
        <v>1</v>
      </c>
      <c r="AB29" s="635">
        <f>+'1.Informe Seguimiento POA 2022'!O33</f>
        <v>0</v>
      </c>
      <c r="AC29" s="635">
        <f>+'1.Informe Seguimiento POA 2022'!P33</f>
        <v>0</v>
      </c>
      <c r="AD29" s="635">
        <f>+'1.Informe Seguimiento POA 2022'!Q33</f>
        <v>2</v>
      </c>
      <c r="AE29" s="687">
        <f>+'1.Informe Seguimiento POA 2022'!R33</f>
        <v>0</v>
      </c>
      <c r="AF29" s="635">
        <f>+'1.Informe Seguimiento POA 2022'!S33</f>
        <v>0</v>
      </c>
      <c r="AG29" s="687">
        <f>+'1.Informe Seguimiento POA 2022'!T33</f>
        <v>2</v>
      </c>
      <c r="AH29" s="635">
        <f>+'1.Informe Seguimiento POA 2022'!U33</f>
        <v>5</v>
      </c>
      <c r="AI29" s="687">
        <f>+'1.Informe Seguimiento POA 2022'!V33</f>
        <v>5</v>
      </c>
      <c r="AJ29" s="635">
        <f>+'1.Informe Seguimiento POA 2022'!X33</f>
        <v>7</v>
      </c>
      <c r="AK29" s="635">
        <f>+'1.Informe Seguimiento POA 2022'!Y33</f>
        <v>7</v>
      </c>
      <c r="AL29" s="636">
        <f>+'1.Informe Seguimiento POA 2022'!Z33</f>
        <v>1</v>
      </c>
      <c r="AM29" s="1220">
        <f>'1.Informe Seguimiento POA 2022'!AC33</f>
        <v>0.36363636363636354</v>
      </c>
      <c r="AN29" s="636"/>
      <c r="AO29" s="636"/>
      <c r="AP29" s="636"/>
      <c r="AQ29" s="636"/>
      <c r="AR29" s="636"/>
      <c r="AS29" s="636"/>
      <c r="AT29" s="636"/>
      <c r="AU29" s="636"/>
      <c r="AV29" s="635">
        <f t="shared" si="0"/>
        <v>6</v>
      </c>
      <c r="AW29" s="635"/>
      <c r="AX29" s="636"/>
      <c r="AY29" s="636"/>
      <c r="AZ29" s="636"/>
      <c r="BA29" s="636"/>
      <c r="BB29" s="636"/>
      <c r="BC29" s="636"/>
      <c r="BD29" s="636"/>
      <c r="BE29" s="636"/>
      <c r="BF29" s="636"/>
      <c r="BG29" s="635">
        <f t="shared" si="1"/>
        <v>1</v>
      </c>
      <c r="BH29" s="635"/>
      <c r="BI29" s="636"/>
      <c r="BJ29" s="635">
        <f t="shared" ref="BJ29" si="13">+Q29+S29+U29+W29+AB29+AD29+AF29+AH29</f>
        <v>9</v>
      </c>
      <c r="BK29" s="635">
        <f t="shared" ref="BK29" si="14">+R29+T29+V29+X29+AC29+AE29+AG29+AI29</f>
        <v>9</v>
      </c>
      <c r="BL29" s="698">
        <f t="shared" ref="BL29:BL93" si="15">IF(AND(BJ29&gt;0),BK29/BJ29,"No programado")</f>
        <v>1</v>
      </c>
      <c r="BM29" s="636">
        <f t="shared" si="6"/>
        <v>0.5625</v>
      </c>
      <c r="BN29" s="916">
        <f t="shared" si="2"/>
        <v>0.40909090909090889</v>
      </c>
      <c r="BO29" s="1185">
        <f>+BN29+BN30</f>
        <v>0.49999999999999989</v>
      </c>
      <c r="BP29" s="1141">
        <f>(IF(AND(BO29&gt;0,E29&gt;0),BO29*E29))+(IF(AND(BO31&gt;0,E31&gt;0),BO31*E31))+(IF(AND(BO33&gt;0,E33&gt;0),BO33*E33))</f>
        <v>0.73000770416024652</v>
      </c>
      <c r="BQ29" s="714"/>
      <c r="BR29" s="714"/>
    </row>
    <row r="30" spans="2:70" ht="120" customHeight="1">
      <c r="B30" s="1136"/>
      <c r="C30" s="1213"/>
      <c r="D30" s="1244"/>
      <c r="E30" s="1242"/>
      <c r="F30" s="1213"/>
      <c r="G30" s="1213"/>
      <c r="H30" s="630" t="str">
        <f>+'1.Informe Seguimiento POA 2022'!D34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I30" s="124">
        <f>+'1.Informe Seguimiento POA 2022'!E34</f>
        <v>0.27272727272727298</v>
      </c>
      <c r="J30" s="631">
        <f>+'1.Informe Seguimiento POA 2022'!F34</f>
        <v>6</v>
      </c>
      <c r="K30" s="632" t="str">
        <f>+'1.Informe Seguimiento POA 2022'!I34</f>
        <v>Prevención y Control a la Función Pública</v>
      </c>
      <c r="L30" s="633" t="str">
        <f>+'1.Informe Seguimiento POA 2022'!J34</f>
        <v xml:space="preserve">Personería Delegada para la Coordinación de Prevención y Control a la Función Pública y sus Personerías Delegadas.
Personería Delegada para la Coordinación de Gestión de las Personerías Locales y sus Personerías Locales. </v>
      </c>
      <c r="M30" s="634">
        <f>+'1.Informe Seguimiento POA 2022'!K34</f>
        <v>1</v>
      </c>
      <c r="N30" s="634">
        <f>+'1.Informe Seguimiento POA 2022'!L34</f>
        <v>1</v>
      </c>
      <c r="O30" s="634">
        <f>+'1.Informe Seguimiento POA 2022'!M34</f>
        <v>3</v>
      </c>
      <c r="P30" s="634">
        <f>+'1.Informe Seguimiento POA 2022'!N34</f>
        <v>1</v>
      </c>
      <c r="Q30" s="635">
        <v>1</v>
      </c>
      <c r="R30" s="635">
        <v>1</v>
      </c>
      <c r="S30" s="635">
        <v>0</v>
      </c>
      <c r="T30" s="687">
        <v>0</v>
      </c>
      <c r="U30" s="635">
        <v>0</v>
      </c>
      <c r="V30" s="687">
        <v>0</v>
      </c>
      <c r="W30" s="635">
        <v>0</v>
      </c>
      <c r="X30" s="687">
        <v>0</v>
      </c>
      <c r="Y30" s="635">
        <v>1</v>
      </c>
      <c r="Z30" s="635">
        <v>1</v>
      </c>
      <c r="AA30" s="636">
        <v>1</v>
      </c>
      <c r="AB30" s="635">
        <f>+'1.Informe Seguimiento POA 2022'!O34</f>
        <v>0</v>
      </c>
      <c r="AC30" s="635">
        <f>+'1.Informe Seguimiento POA 2022'!P34</f>
        <v>0</v>
      </c>
      <c r="AD30" s="635">
        <f>+'1.Informe Seguimiento POA 2022'!Q34</f>
        <v>0</v>
      </c>
      <c r="AE30" s="687">
        <f>+'1.Informe Seguimiento POA 2022'!R34</f>
        <v>0</v>
      </c>
      <c r="AF30" s="635">
        <f>+'1.Informe Seguimiento POA 2022'!S34</f>
        <v>0</v>
      </c>
      <c r="AG30" s="687">
        <f>+'1.Informe Seguimiento POA 2022'!T34</f>
        <v>0</v>
      </c>
      <c r="AH30" s="635">
        <f>+'1.Informe Seguimiento POA 2022'!U34</f>
        <v>1</v>
      </c>
      <c r="AI30" s="687">
        <f>+'1.Informe Seguimiento POA 2022'!V34</f>
        <v>1</v>
      </c>
      <c r="AJ30" s="635">
        <f>+'1.Informe Seguimiento POA 2022'!X34</f>
        <v>1</v>
      </c>
      <c r="AK30" s="635">
        <f>+'1.Informe Seguimiento POA 2022'!Y34</f>
        <v>1</v>
      </c>
      <c r="AL30" s="636">
        <f>+'1.Informe Seguimiento POA 2022'!Z34</f>
        <v>1</v>
      </c>
      <c r="AM30" s="1222"/>
      <c r="AN30" s="636"/>
      <c r="AO30" s="636"/>
      <c r="AP30" s="636"/>
      <c r="AQ30" s="636"/>
      <c r="AR30" s="636"/>
      <c r="AS30" s="636"/>
      <c r="AT30" s="636"/>
      <c r="AU30" s="636"/>
      <c r="AV30" s="635">
        <f t="shared" si="0"/>
        <v>3</v>
      </c>
      <c r="AW30" s="635"/>
      <c r="AX30" s="636"/>
      <c r="AY30" s="636"/>
      <c r="AZ30" s="636"/>
      <c r="BA30" s="636"/>
      <c r="BB30" s="636"/>
      <c r="BC30" s="636"/>
      <c r="BD30" s="636"/>
      <c r="BE30" s="636"/>
      <c r="BF30" s="636"/>
      <c r="BG30" s="635">
        <f t="shared" si="1"/>
        <v>1</v>
      </c>
      <c r="BH30" s="635"/>
      <c r="BI30" s="636"/>
      <c r="BJ30" s="635">
        <f t="shared" ref="BJ30:BJ36" si="16">+Q30+S30+U30+W30+AB30+AD30+AF30+AH30</f>
        <v>2</v>
      </c>
      <c r="BK30" s="635">
        <f t="shared" ref="BK30:BK36" si="17">+R30+T30+V30+X30+AC30+AE30+AG30+AI30</f>
        <v>2</v>
      </c>
      <c r="BL30" s="698">
        <f t="shared" si="15"/>
        <v>1</v>
      </c>
      <c r="BM30" s="636">
        <f t="shared" si="6"/>
        <v>0.33333333333333331</v>
      </c>
      <c r="BN30" s="916">
        <f t="shared" si="2"/>
        <v>9.0909090909090995E-2</v>
      </c>
      <c r="BO30" s="1185"/>
      <c r="BP30" s="1142"/>
      <c r="BQ30" s="714"/>
      <c r="BR30" s="714"/>
    </row>
    <row r="31" spans="2:70" ht="100.5" customHeight="1">
      <c r="B31" s="1136"/>
      <c r="C31" s="1211" t="str">
        <f>+'Matriz PEI 2021-2024'!C14</f>
        <v>2.2. Fortalecer la moralidad publica realizando  952 acciones de prevención y control a la función pública.</v>
      </c>
      <c r="D31" s="1243">
        <f>+'Matriz PEI 2021-2024'!E14</f>
        <v>952</v>
      </c>
      <c r="E31" s="1241">
        <f>+'Matriz PEI 2021-2024'!D14</f>
        <v>0.6</v>
      </c>
      <c r="F31" s="1211" t="s">
        <v>940</v>
      </c>
      <c r="G31" s="1211" t="s">
        <v>941</v>
      </c>
      <c r="H31" s="630" t="str">
        <f>+'1.Informe Seguimiento POA 2022'!D35</f>
        <v>2.2.1 Realizar 817 acciones de prevención y control a la función pública para fortalecer la moralidad pública.</v>
      </c>
      <c r="I31" s="124">
        <f>+'1.Informe Seguimiento POA 2022'!E35</f>
        <v>0.92840909090909096</v>
      </c>
      <c r="J31" s="631">
        <f>+'1.Informe Seguimiento POA 2022'!F35</f>
        <v>817</v>
      </c>
      <c r="K31" s="632" t="str">
        <f>+'1.Informe Seguimiento POA 2022'!I35</f>
        <v>Prevención y Control a la Función Pública</v>
      </c>
      <c r="L31" s="633" t="str">
        <f>+'1.Informe Seguimiento POA 2022'!J35</f>
        <v xml:space="preserve">Personería Delegada para la Coordinación de Prevención y Control a la Función Pública y sus Personerías Delegadas.
Personería Delegada para la Coordinación de Gestión de las Personerías Locales y sus Personerías Locales. </v>
      </c>
      <c r="M31" s="634">
        <f>+'1.Informe Seguimiento POA 2022'!K35</f>
        <v>200</v>
      </c>
      <c r="N31" s="634">
        <f>+'1.Informe Seguimiento POA 2022'!L35</f>
        <v>286</v>
      </c>
      <c r="O31" s="634">
        <f>+'1.Informe Seguimiento POA 2022'!M35</f>
        <v>259</v>
      </c>
      <c r="P31" s="634">
        <f>+'1.Informe Seguimiento POA 2022'!N35</f>
        <v>72</v>
      </c>
      <c r="Q31" s="635">
        <v>13</v>
      </c>
      <c r="R31" s="635">
        <v>37</v>
      </c>
      <c r="S31" s="635">
        <v>70</v>
      </c>
      <c r="T31" s="687">
        <v>74</v>
      </c>
      <c r="U31" s="635">
        <v>72</v>
      </c>
      <c r="V31" s="687">
        <v>40</v>
      </c>
      <c r="W31" s="635">
        <v>45</v>
      </c>
      <c r="X31" s="687">
        <v>129</v>
      </c>
      <c r="Y31" s="635">
        <v>200</v>
      </c>
      <c r="Z31" s="635">
        <v>280</v>
      </c>
      <c r="AA31" s="636">
        <v>1.4</v>
      </c>
      <c r="AB31" s="635">
        <f>+'1.Informe Seguimiento POA 2022'!O35</f>
        <v>41</v>
      </c>
      <c r="AC31" s="635">
        <f>+'1.Informe Seguimiento POA 2022'!P35</f>
        <v>16</v>
      </c>
      <c r="AD31" s="635">
        <f>+'1.Informe Seguimiento POA 2022'!Q35</f>
        <v>77</v>
      </c>
      <c r="AE31" s="687">
        <f>+'1.Informe Seguimiento POA 2022'!R35</f>
        <v>97</v>
      </c>
      <c r="AF31" s="635">
        <f>+'1.Informe Seguimiento POA 2022'!S35</f>
        <v>114</v>
      </c>
      <c r="AG31" s="687">
        <f>+'1.Informe Seguimiento POA 2022'!T35</f>
        <v>74</v>
      </c>
      <c r="AH31" s="635">
        <f>+'1.Informe Seguimiento POA 2022'!U35</f>
        <v>54</v>
      </c>
      <c r="AI31" s="687">
        <f>+'1.Informe Seguimiento POA 2022'!V35</f>
        <v>106</v>
      </c>
      <c r="AJ31" s="635">
        <f>+'1.Informe Seguimiento POA 2022'!X35</f>
        <v>286</v>
      </c>
      <c r="AK31" s="635">
        <f>+'1.Informe Seguimiento POA 2022'!Y35</f>
        <v>293</v>
      </c>
      <c r="AL31" s="636">
        <f>+'1.Informe Seguimiento POA 2022'!Z35</f>
        <v>1.0244755244755244</v>
      </c>
      <c r="AM31" s="1220">
        <f>'1.Informe Seguimiento POA 2022'!AC35</f>
        <v>0.40909090909090906</v>
      </c>
      <c r="AN31" s="636"/>
      <c r="AO31" s="636"/>
      <c r="AP31" s="636"/>
      <c r="AQ31" s="636"/>
      <c r="AR31" s="636"/>
      <c r="AS31" s="636"/>
      <c r="AT31" s="636"/>
      <c r="AU31" s="636"/>
      <c r="AV31" s="635">
        <f t="shared" si="0"/>
        <v>259</v>
      </c>
      <c r="AW31" s="635"/>
      <c r="AX31" s="636"/>
      <c r="AY31" s="636"/>
      <c r="AZ31" s="636"/>
      <c r="BA31" s="636"/>
      <c r="BB31" s="636"/>
      <c r="BC31" s="636"/>
      <c r="BD31" s="636"/>
      <c r="BE31" s="636"/>
      <c r="BF31" s="636"/>
      <c r="BG31" s="635">
        <f t="shared" si="1"/>
        <v>72</v>
      </c>
      <c r="BH31" s="635"/>
      <c r="BI31" s="636"/>
      <c r="BJ31" s="635">
        <f t="shared" si="16"/>
        <v>486</v>
      </c>
      <c r="BK31" s="635">
        <f t="shared" si="17"/>
        <v>573</v>
      </c>
      <c r="BL31" s="698">
        <f t="shared" si="15"/>
        <v>1.1790123456790123</v>
      </c>
      <c r="BM31" s="636">
        <f t="shared" si="6"/>
        <v>0.70134638922888615</v>
      </c>
      <c r="BN31" s="916">
        <f t="shared" si="2"/>
        <v>0.65113636363636362</v>
      </c>
      <c r="BO31" s="1185">
        <f>+BN31+BN32</f>
        <v>0.80227272727272725</v>
      </c>
      <c r="BP31" s="1142"/>
      <c r="BQ31" s="714"/>
      <c r="BR31" s="714"/>
    </row>
    <row r="32" spans="2:70" ht="100.5" customHeight="1">
      <c r="B32" s="1136"/>
      <c r="C32" s="1213"/>
      <c r="D32" s="1244"/>
      <c r="E32" s="1242"/>
      <c r="F32" s="1213"/>
      <c r="G32" s="1213"/>
      <c r="H32" s="630" t="str">
        <f>+'1.Informe Seguimiento POA 2022'!D36</f>
        <v>2.2.2 Realizar 135 acciones de prevención y control a la función pública - seguimientos, para fortalecer la moralidad pública en el Distrito Capital.</v>
      </c>
      <c r="I32" s="124">
        <f>+'1.Informe Seguimiento POA 2022'!E36</f>
        <v>0.15340909090909091</v>
      </c>
      <c r="J32" s="631">
        <f>+'1.Informe Seguimiento POA 2022'!F36</f>
        <v>135</v>
      </c>
      <c r="K32" s="632" t="str">
        <f>+'1.Informe Seguimiento POA 2022'!I36</f>
        <v>Prevención y Control a la Función Pública</v>
      </c>
      <c r="L32" s="633" t="str">
        <f>+'1.Informe Seguimiento POA 2022'!J36</f>
        <v xml:space="preserve">Personería Delegada para la Coordinación de Prevención y Control a la Función Pública y sus Personerías Delegadas.
Personería Delegada para la Coordinación de Gestión de las Personerías Locales y sus Personerías Locales. </v>
      </c>
      <c r="M32" s="634">
        <f>+'1.Informe Seguimiento POA 2022'!K36</f>
        <v>28</v>
      </c>
      <c r="N32" s="634">
        <f>+'1.Informe Seguimiento POA 2022'!L36</f>
        <v>67</v>
      </c>
      <c r="O32" s="634">
        <f>+'1.Informe Seguimiento POA 2022'!M36</f>
        <v>30</v>
      </c>
      <c r="P32" s="634">
        <f>+'1.Informe Seguimiento POA 2022'!N36</f>
        <v>10</v>
      </c>
      <c r="Q32" s="635">
        <v>0</v>
      </c>
      <c r="R32" s="635">
        <v>0</v>
      </c>
      <c r="S32" s="635">
        <v>4</v>
      </c>
      <c r="T32" s="687">
        <v>23</v>
      </c>
      <c r="U32" s="635">
        <v>8</v>
      </c>
      <c r="V32" s="687">
        <v>0</v>
      </c>
      <c r="W32" s="635">
        <v>16</v>
      </c>
      <c r="X32" s="687">
        <v>43</v>
      </c>
      <c r="Y32" s="635">
        <v>28</v>
      </c>
      <c r="Z32" s="635">
        <v>66</v>
      </c>
      <c r="AA32" s="636">
        <v>2.3571428571428572</v>
      </c>
      <c r="AB32" s="635">
        <f>+'1.Informe Seguimiento POA 2022'!O36</f>
        <v>1</v>
      </c>
      <c r="AC32" s="635">
        <f>+'1.Informe Seguimiento POA 2022'!P36</f>
        <v>2</v>
      </c>
      <c r="AD32" s="635">
        <f>+'1.Informe Seguimiento POA 2022'!Q36</f>
        <v>20</v>
      </c>
      <c r="AE32" s="687">
        <f>+'1.Informe Seguimiento POA 2022'!R36</f>
        <v>9</v>
      </c>
      <c r="AF32" s="635">
        <f>+'1.Informe Seguimiento POA 2022'!S36</f>
        <v>43</v>
      </c>
      <c r="AG32" s="687">
        <f>+'1.Informe Seguimiento POA 2022'!T36</f>
        <v>18</v>
      </c>
      <c r="AH32" s="635">
        <f>+'1.Informe Seguimiento POA 2022'!U36</f>
        <v>3</v>
      </c>
      <c r="AI32" s="687">
        <f>+'1.Informe Seguimiento POA 2022'!V36</f>
        <v>38</v>
      </c>
      <c r="AJ32" s="635">
        <f>+'1.Informe Seguimiento POA 2022'!X36</f>
        <v>67</v>
      </c>
      <c r="AK32" s="635">
        <f>+'1.Informe Seguimiento POA 2022'!Y36</f>
        <v>67</v>
      </c>
      <c r="AL32" s="636">
        <f>+'1.Informe Seguimiento POA 2022'!Z36</f>
        <v>1</v>
      </c>
      <c r="AM32" s="1222"/>
      <c r="AN32" s="636"/>
      <c r="AO32" s="636"/>
      <c r="AP32" s="636"/>
      <c r="AQ32" s="636"/>
      <c r="AR32" s="636"/>
      <c r="AS32" s="636"/>
      <c r="AT32" s="636"/>
      <c r="AU32" s="636"/>
      <c r="AV32" s="635">
        <f t="shared" si="0"/>
        <v>30</v>
      </c>
      <c r="AW32" s="635"/>
      <c r="AX32" s="636"/>
      <c r="AY32" s="636"/>
      <c r="AZ32" s="636"/>
      <c r="BA32" s="636"/>
      <c r="BB32" s="636"/>
      <c r="BC32" s="636"/>
      <c r="BD32" s="636"/>
      <c r="BE32" s="636"/>
      <c r="BF32" s="636"/>
      <c r="BG32" s="635">
        <f t="shared" si="1"/>
        <v>10</v>
      </c>
      <c r="BH32" s="635"/>
      <c r="BI32" s="636"/>
      <c r="BJ32" s="635">
        <f t="shared" si="16"/>
        <v>95</v>
      </c>
      <c r="BK32" s="635">
        <f t="shared" si="17"/>
        <v>133</v>
      </c>
      <c r="BL32" s="698">
        <f t="shared" si="15"/>
        <v>1.4</v>
      </c>
      <c r="BM32" s="636">
        <f t="shared" si="6"/>
        <v>0.98518518518518516</v>
      </c>
      <c r="BN32" s="916">
        <f t="shared" si="2"/>
        <v>0.15113636363636362</v>
      </c>
      <c r="BO32" s="1185"/>
      <c r="BP32" s="1142"/>
      <c r="BQ32" s="714"/>
      <c r="BR32" s="714"/>
    </row>
    <row r="33" spans="2:70" ht="65.25" customHeight="1">
      <c r="B33" s="1136"/>
      <c r="C33" s="1211" t="str">
        <f>+'Matriz PEI 2021-2024'!C15</f>
        <v>2.3. Fortalecer 320 espacios de participación ciudadana en la Personería de Bogotá</v>
      </c>
      <c r="D33" s="1243">
        <f>+'Matriz PEI 2021-2024'!E15</f>
        <v>320</v>
      </c>
      <c r="E33" s="1241">
        <f>+'Matriz PEI 2021-2024'!D15</f>
        <v>0.1</v>
      </c>
      <c r="F33" s="1211" t="s">
        <v>942</v>
      </c>
      <c r="G33" s="1211" t="s">
        <v>943</v>
      </c>
      <c r="H33" s="630" t="str">
        <f>+'1.Informe Seguimiento POA 2022'!D37</f>
        <v>2.3.1 Realizar 60 audiencias públicas y/o mesas de trabajo, las cuales permitan la participación ciudadana, con énfasis en los Derechos e intereses colectivos.</v>
      </c>
      <c r="I33" s="124">
        <f>+'1.Informe Seguimiento POA 2022'!E37</f>
        <v>0.20338983050847459</v>
      </c>
      <c r="J33" s="631">
        <f>+'1.Informe Seguimiento POA 2022'!F37</f>
        <v>60</v>
      </c>
      <c r="K33" s="632" t="str">
        <f>+'1.Informe Seguimiento POA 2022'!I37</f>
        <v>Prevención y Control a la Función Pública</v>
      </c>
      <c r="L33" s="633" t="str">
        <f>+'1.Informe Seguimiento POA 2022'!J37</f>
        <v>Personería Delegada para la Coordinación de Prevención y Control a la Función Pública y sus Personerías Delegadas.</v>
      </c>
      <c r="M33" s="634">
        <f>+'1.Informe Seguimiento POA 2022'!K37</f>
        <v>12</v>
      </c>
      <c r="N33" s="634">
        <f>+'1.Informe Seguimiento POA 2022'!L37</f>
        <v>21</v>
      </c>
      <c r="O33" s="634">
        <f>+'1.Informe Seguimiento POA 2022'!M37</f>
        <v>23</v>
      </c>
      <c r="P33" s="634">
        <f>+'1.Informe Seguimiento POA 2022'!N37</f>
        <v>4</v>
      </c>
      <c r="Q33" s="635">
        <v>1</v>
      </c>
      <c r="R33" s="635">
        <v>2</v>
      </c>
      <c r="S33" s="635">
        <v>3</v>
      </c>
      <c r="T33" s="687">
        <v>3</v>
      </c>
      <c r="U33" s="635">
        <v>3</v>
      </c>
      <c r="V33" s="687">
        <v>3</v>
      </c>
      <c r="W33" s="635">
        <v>5</v>
      </c>
      <c r="X33" s="687">
        <v>4</v>
      </c>
      <c r="Y33" s="635">
        <v>12</v>
      </c>
      <c r="Z33" s="635">
        <v>12</v>
      </c>
      <c r="AA33" s="636">
        <v>1</v>
      </c>
      <c r="AB33" s="635">
        <f>+'1.Informe Seguimiento POA 2022'!O37</f>
        <v>2</v>
      </c>
      <c r="AC33" s="635">
        <f>+'1.Informe Seguimiento POA 2022'!P37</f>
        <v>0</v>
      </c>
      <c r="AD33" s="635">
        <f>+'1.Informe Seguimiento POA 2022'!Q37</f>
        <v>6</v>
      </c>
      <c r="AE33" s="687">
        <f>+'1.Informe Seguimiento POA 2022'!R37</f>
        <v>3</v>
      </c>
      <c r="AF33" s="635">
        <f>+'1.Informe Seguimiento POA 2022'!S37</f>
        <v>5</v>
      </c>
      <c r="AG33" s="687">
        <f>+'1.Informe Seguimiento POA 2022'!T37</f>
        <v>9</v>
      </c>
      <c r="AH33" s="635">
        <f>+'1.Informe Seguimiento POA 2022'!U37</f>
        <v>8</v>
      </c>
      <c r="AI33" s="687">
        <f>+'1.Informe Seguimiento POA 2022'!V37</f>
        <v>11</v>
      </c>
      <c r="AJ33" s="635">
        <f>+'1.Informe Seguimiento POA 2022'!X37</f>
        <v>21</v>
      </c>
      <c r="AK33" s="635">
        <f>+'1.Informe Seguimiento POA 2022'!Y37</f>
        <v>23</v>
      </c>
      <c r="AL33" s="636">
        <f>+'1.Informe Seguimiento POA 2022'!Z37</f>
        <v>1.0952380952380953</v>
      </c>
      <c r="AM33" s="1220">
        <f>'1.Informe Seguimiento POA 2022'!AC37</f>
        <v>0.49830508474576274</v>
      </c>
      <c r="AN33" s="636"/>
      <c r="AO33" s="636"/>
      <c r="AP33" s="636"/>
      <c r="AQ33" s="636"/>
      <c r="AR33" s="636"/>
      <c r="AS33" s="636"/>
      <c r="AT33" s="636"/>
      <c r="AU33" s="636"/>
      <c r="AV33" s="635">
        <f t="shared" si="0"/>
        <v>23</v>
      </c>
      <c r="AW33" s="635"/>
      <c r="AX33" s="636"/>
      <c r="AY33" s="636"/>
      <c r="AZ33" s="636"/>
      <c r="BA33" s="636"/>
      <c r="BB33" s="636"/>
      <c r="BC33" s="636"/>
      <c r="BD33" s="636"/>
      <c r="BE33" s="636"/>
      <c r="BF33" s="636"/>
      <c r="BG33" s="635">
        <f t="shared" si="1"/>
        <v>4</v>
      </c>
      <c r="BH33" s="635"/>
      <c r="BI33" s="636"/>
      <c r="BJ33" s="635">
        <f t="shared" si="16"/>
        <v>33</v>
      </c>
      <c r="BK33" s="635">
        <f t="shared" si="17"/>
        <v>35</v>
      </c>
      <c r="BL33" s="698">
        <f t="shared" si="15"/>
        <v>1.0606060606060606</v>
      </c>
      <c r="BM33" s="636">
        <f t="shared" si="6"/>
        <v>0.58333333333333337</v>
      </c>
      <c r="BN33" s="916">
        <f t="shared" si="2"/>
        <v>0.11864406779661019</v>
      </c>
      <c r="BO33" s="1186">
        <f>+BN33+BN34+BN35</f>
        <v>0.98644067796610169</v>
      </c>
      <c r="BP33" s="1142"/>
      <c r="BQ33" s="714"/>
      <c r="BR33" s="714"/>
    </row>
    <row r="34" spans="2:70" ht="63.75" customHeight="1">
      <c r="B34" s="1136"/>
      <c r="C34" s="1212"/>
      <c r="D34" s="1245"/>
      <c r="E34" s="1246"/>
      <c r="F34" s="1212"/>
      <c r="G34" s="1212"/>
      <c r="H34" s="630" t="str">
        <f>+'1.Informe Seguimiento POA 2022'!D38</f>
        <v>2.3.2 Realizar 160 acompañamientos a los ciudadanos que intervienen en los diferentes espacios de participación ciudadana.</v>
      </c>
      <c r="I34" s="124">
        <f>+'1.Informe Seguimiento POA 2022'!E38</f>
        <v>0.5423728813559322</v>
      </c>
      <c r="J34" s="631">
        <f>+'1.Informe Seguimiento POA 2022'!F38</f>
        <v>160</v>
      </c>
      <c r="K34" s="632" t="str">
        <f>+'1.Informe Seguimiento POA 2022'!I38</f>
        <v>Prevención y Control a la Función Pública</v>
      </c>
      <c r="L34" s="633" t="str">
        <f>+'1.Informe Seguimiento POA 2022'!J38</f>
        <v xml:space="preserve">Personería Delegada para la Coordinación de Gestión de las Personerías Locales y sus Personerías Locales. </v>
      </c>
      <c r="M34" s="634">
        <f>+'1.Informe Seguimiento POA 2022'!K38</f>
        <v>40</v>
      </c>
      <c r="N34" s="634">
        <f>+'1.Informe Seguimiento POA 2022'!L38</f>
        <v>60</v>
      </c>
      <c r="O34" s="634">
        <f>+'1.Informe Seguimiento POA 2022'!M38</f>
        <v>40</v>
      </c>
      <c r="P34" s="634">
        <f>+'1.Informe Seguimiento POA 2022'!N38</f>
        <v>20</v>
      </c>
      <c r="Q34" s="635">
        <v>8</v>
      </c>
      <c r="R34" s="635">
        <v>23</v>
      </c>
      <c r="S34" s="635">
        <v>12</v>
      </c>
      <c r="T34" s="687">
        <v>21</v>
      </c>
      <c r="U34" s="635">
        <v>12</v>
      </c>
      <c r="V34" s="687">
        <v>26</v>
      </c>
      <c r="W34" s="635">
        <v>8</v>
      </c>
      <c r="X34" s="687">
        <v>19</v>
      </c>
      <c r="Y34" s="635">
        <v>40</v>
      </c>
      <c r="Z34" s="635">
        <v>89</v>
      </c>
      <c r="AA34" s="636">
        <v>2.2250000000000001</v>
      </c>
      <c r="AB34" s="635">
        <f>+'1.Informe Seguimiento POA 2022'!O38</f>
        <v>12</v>
      </c>
      <c r="AC34" s="635">
        <f>+'1.Informe Seguimiento POA 2022'!P38</f>
        <v>18</v>
      </c>
      <c r="AD34" s="635">
        <f>+'1.Informe Seguimiento POA 2022'!Q38</f>
        <v>18</v>
      </c>
      <c r="AE34" s="687">
        <f>+'1.Informe Seguimiento POA 2022'!R38</f>
        <v>13</v>
      </c>
      <c r="AF34" s="635">
        <f>+'1.Informe Seguimiento POA 2022'!S38</f>
        <v>18</v>
      </c>
      <c r="AG34" s="687">
        <f>+'1.Informe Seguimiento POA 2022'!T38</f>
        <v>7</v>
      </c>
      <c r="AH34" s="635">
        <f>+'1.Informe Seguimiento POA 2022'!U38</f>
        <v>12</v>
      </c>
      <c r="AI34" s="687">
        <f>+'1.Informe Seguimiento POA 2022'!V38</f>
        <v>29</v>
      </c>
      <c r="AJ34" s="635">
        <f>+'1.Informe Seguimiento POA 2022'!X38</f>
        <v>60</v>
      </c>
      <c r="AK34" s="635">
        <f>+'1.Informe Seguimiento POA 2022'!Y38</f>
        <v>67</v>
      </c>
      <c r="AL34" s="636">
        <f>+'1.Informe Seguimiento POA 2022'!Z38</f>
        <v>1.1166666666666667</v>
      </c>
      <c r="AM34" s="1221"/>
      <c r="AN34" s="636"/>
      <c r="AO34" s="636"/>
      <c r="AP34" s="636"/>
      <c r="AQ34" s="636"/>
      <c r="AR34" s="636"/>
      <c r="AS34" s="636"/>
      <c r="AT34" s="636"/>
      <c r="AU34" s="636"/>
      <c r="AV34" s="635">
        <f t="shared" si="0"/>
        <v>40</v>
      </c>
      <c r="AW34" s="635"/>
      <c r="AX34" s="636"/>
      <c r="AY34" s="636"/>
      <c r="AZ34" s="636"/>
      <c r="BA34" s="636"/>
      <c r="BB34" s="636"/>
      <c r="BC34" s="636"/>
      <c r="BD34" s="636"/>
      <c r="BE34" s="636"/>
      <c r="BF34" s="636"/>
      <c r="BG34" s="635">
        <f t="shared" si="1"/>
        <v>20</v>
      </c>
      <c r="BH34" s="635"/>
      <c r="BI34" s="636"/>
      <c r="BJ34" s="635">
        <f t="shared" si="16"/>
        <v>100</v>
      </c>
      <c r="BK34" s="635">
        <f t="shared" si="17"/>
        <v>156</v>
      </c>
      <c r="BL34" s="698">
        <f t="shared" si="15"/>
        <v>1.56</v>
      </c>
      <c r="BM34" s="636">
        <f t="shared" si="6"/>
        <v>0.97499999999999998</v>
      </c>
      <c r="BN34" s="916">
        <f t="shared" si="2"/>
        <v>0.52881355932203389</v>
      </c>
      <c r="BO34" s="1186"/>
      <c r="BP34" s="1142"/>
      <c r="BQ34" s="714"/>
      <c r="BR34" s="714"/>
    </row>
    <row r="35" spans="2:70" ht="102" customHeight="1">
      <c r="B35" s="1137"/>
      <c r="C35" s="1213"/>
      <c r="D35" s="1244"/>
      <c r="E35" s="1242"/>
      <c r="F35" s="1213"/>
      <c r="G35" s="1213"/>
      <c r="H35" s="630" t="str">
        <f>+'1.Informe Seguimiento POA 2022'!D39</f>
        <v>2.3.3 Realizar 100 espacios de diálogo con las personas para retroalimentar las actividades de participación ciudadana</v>
      </c>
      <c r="I35" s="124">
        <f>+'1.Informe Seguimiento POA 2022'!E39</f>
        <v>0.33898305084745761</v>
      </c>
      <c r="J35" s="631">
        <f>+'1.Informe Seguimiento POA 2022'!F39</f>
        <v>100</v>
      </c>
      <c r="K35" s="632" t="str">
        <f>+'1.Informe Seguimiento POA 2022'!I39</f>
        <v>Prevención y Control a la Función Pública</v>
      </c>
      <c r="L35" s="633" t="str">
        <f>+'1.Informe Seguimiento POA 2022'!J39</f>
        <v>Personería Delegada para la Coordinación de Gestión de las Personerías Locales y sus Personerías Locales. 
Personería Delegada para la Coordinación de Prevención y Control a la Función Pública y sus Personerías Delegadas.</v>
      </c>
      <c r="M35" s="634">
        <f>+'1.Informe Seguimiento POA 2022'!K39</f>
        <v>20</v>
      </c>
      <c r="N35" s="634">
        <f>+'1.Informe Seguimiento POA 2022'!L39</f>
        <v>30</v>
      </c>
      <c r="O35" s="634">
        <f>+'1.Informe Seguimiento POA 2022'!M39</f>
        <v>30</v>
      </c>
      <c r="P35" s="634">
        <f>+'1.Informe Seguimiento POA 2022'!N39</f>
        <v>20</v>
      </c>
      <c r="Q35" s="635">
        <v>4</v>
      </c>
      <c r="R35" s="635">
        <v>0</v>
      </c>
      <c r="S35" s="635">
        <v>6</v>
      </c>
      <c r="T35" s="687">
        <v>7</v>
      </c>
      <c r="U35" s="635">
        <v>6</v>
      </c>
      <c r="V35" s="687">
        <v>16</v>
      </c>
      <c r="W35" s="635">
        <v>4</v>
      </c>
      <c r="X35" s="687">
        <v>20</v>
      </c>
      <c r="Y35" s="635">
        <v>20</v>
      </c>
      <c r="Z35" s="635">
        <v>43</v>
      </c>
      <c r="AA35" s="636">
        <v>2.15</v>
      </c>
      <c r="AB35" s="635">
        <f>+'1.Informe Seguimiento POA 2022'!O39</f>
        <v>6</v>
      </c>
      <c r="AC35" s="635">
        <f>+'1.Informe Seguimiento POA 2022'!P39</f>
        <v>13</v>
      </c>
      <c r="AD35" s="635">
        <f>+'1.Informe Seguimiento POA 2022'!Q39</f>
        <v>9</v>
      </c>
      <c r="AE35" s="687">
        <f>+'1.Informe Seguimiento POA 2022'!R39</f>
        <v>4</v>
      </c>
      <c r="AF35" s="635">
        <f>+'1.Informe Seguimiento POA 2022'!S39</f>
        <v>9</v>
      </c>
      <c r="AG35" s="687">
        <f>+'1.Informe Seguimiento POA 2022'!T39</f>
        <v>18</v>
      </c>
      <c r="AH35" s="635">
        <f>+'1.Informe Seguimiento POA 2022'!U39</f>
        <v>6</v>
      </c>
      <c r="AI35" s="687">
        <f>+'1.Informe Seguimiento POA 2022'!V39</f>
        <v>22</v>
      </c>
      <c r="AJ35" s="635">
        <f>+'1.Informe Seguimiento POA 2022'!X39</f>
        <v>30</v>
      </c>
      <c r="AK35" s="635">
        <f>+'1.Informe Seguimiento POA 2022'!Y39</f>
        <v>57</v>
      </c>
      <c r="AL35" s="636">
        <f>+'1.Informe Seguimiento POA 2022'!Z39</f>
        <v>1.9</v>
      </c>
      <c r="AM35" s="1222"/>
      <c r="AN35" s="636"/>
      <c r="AO35" s="636"/>
      <c r="AP35" s="636"/>
      <c r="AQ35" s="636"/>
      <c r="AR35" s="636"/>
      <c r="AS35" s="636"/>
      <c r="AT35" s="636"/>
      <c r="AU35" s="636"/>
      <c r="AV35" s="635">
        <f t="shared" si="0"/>
        <v>30</v>
      </c>
      <c r="AW35" s="635"/>
      <c r="AX35" s="636"/>
      <c r="AY35" s="636"/>
      <c r="AZ35" s="636"/>
      <c r="BA35" s="636"/>
      <c r="BB35" s="636"/>
      <c r="BC35" s="636"/>
      <c r="BD35" s="636"/>
      <c r="BE35" s="636"/>
      <c r="BF35" s="636"/>
      <c r="BG35" s="635">
        <f t="shared" si="1"/>
        <v>20</v>
      </c>
      <c r="BH35" s="635"/>
      <c r="BI35" s="636"/>
      <c r="BJ35" s="635">
        <f t="shared" si="16"/>
        <v>50</v>
      </c>
      <c r="BK35" s="635">
        <f t="shared" si="17"/>
        <v>100</v>
      </c>
      <c r="BL35" s="698">
        <f t="shared" si="15"/>
        <v>2</v>
      </c>
      <c r="BM35" s="636">
        <f t="shared" si="6"/>
        <v>1</v>
      </c>
      <c r="BN35" s="916">
        <f t="shared" si="2"/>
        <v>0.33898305084745761</v>
      </c>
      <c r="BO35" s="1187"/>
      <c r="BP35" s="1143"/>
      <c r="BQ35" s="714"/>
      <c r="BR35" s="714"/>
    </row>
    <row r="36" spans="2:70" ht="93.75" customHeight="1">
      <c r="B36" s="1116" t="str">
        <f>+'Matriz PEI 2021-2024'!B16</f>
        <v>3. Vigilar la conducta oficial de los(as) servidores(as) públicos(as) del Distrito Capital, mediante acciones preventivas y correctivas, que permitan un adecuado cumplimiento de los principios de la Función Pública</v>
      </c>
      <c r="C36" s="1206" t="str">
        <f>+'Matriz PEI 2021-2024'!C16</f>
        <v>3.1. Descongestionar 6.700 procesos disciplinarios con criterios de calidad, efectividad y garantía del debido proceso.</v>
      </c>
      <c r="D36" s="1255">
        <f>+'Matriz PEI 2021-2024'!E16</f>
        <v>6700</v>
      </c>
      <c r="E36" s="1257">
        <f>+'Matriz PEI 2021-2024'!D16</f>
        <v>0.4</v>
      </c>
      <c r="F36" s="679" t="s">
        <v>944</v>
      </c>
      <c r="G36" s="680" t="s">
        <v>945</v>
      </c>
      <c r="H36" s="37" t="str">
        <f>+'1.Informe Seguimiento POA 2022'!D40</f>
        <v xml:space="preserve">3.1.1 Identificar y decidir de fondo 6,700  procesos, priorizando aquellos que se encuentren con riesgo de prescripción y/o vencidos en su etapa procesal (indagación, investigación y juzgamiento). </v>
      </c>
      <c r="I36" s="682">
        <f>+'1.Informe Seguimiento POA 2022'!E40</f>
        <v>0.8</v>
      </c>
      <c r="J36" s="624">
        <f>+'1.Informe Seguimiento POA 2022'!F40</f>
        <v>6700</v>
      </c>
      <c r="K36" s="683" t="str">
        <f>+'1.Informe Seguimiento POA 2022'!I40</f>
        <v>Potestad Disciplinaria</v>
      </c>
      <c r="L36" s="683" t="str">
        <f>+'1.Informe Seguimiento POA 2022'!J40</f>
        <v>Personería Delegada para la Coordinación de Potestad Disciplinaria</v>
      </c>
      <c r="M36" s="625">
        <f>+'1.Informe Seguimiento POA 2022'!K40</f>
        <v>1600</v>
      </c>
      <c r="N36" s="625">
        <f>+'1.Informe Seguimiento POA 2022'!L40</f>
        <v>1800</v>
      </c>
      <c r="O36" s="625">
        <f>+'1.Informe Seguimiento POA 2022'!M40</f>
        <v>1800</v>
      </c>
      <c r="P36" s="625">
        <f>+'1.Informe Seguimiento POA 2022'!N40</f>
        <v>1500</v>
      </c>
      <c r="Q36" s="626">
        <v>250</v>
      </c>
      <c r="R36" s="626">
        <v>319</v>
      </c>
      <c r="S36" s="626">
        <v>450</v>
      </c>
      <c r="T36" s="626">
        <v>528</v>
      </c>
      <c r="U36" s="626">
        <v>140</v>
      </c>
      <c r="V36" s="626">
        <v>329</v>
      </c>
      <c r="W36" s="626">
        <v>760</v>
      </c>
      <c r="X36" s="626">
        <v>393</v>
      </c>
      <c r="Y36" s="626">
        <v>1600</v>
      </c>
      <c r="Z36" s="626">
        <v>1569</v>
      </c>
      <c r="AA36" s="892">
        <v>0.98062499999999997</v>
      </c>
      <c r="AB36" s="626">
        <f>+'1.Informe Seguimiento POA 2022'!O40</f>
        <v>300</v>
      </c>
      <c r="AC36" s="626">
        <f>+'1.Informe Seguimiento POA 2022'!P40</f>
        <v>318</v>
      </c>
      <c r="AD36" s="626">
        <f>+'1.Informe Seguimiento POA 2022'!Q40</f>
        <v>490</v>
      </c>
      <c r="AE36" s="626">
        <f>+'1.Informe Seguimiento POA 2022'!R40</f>
        <v>366</v>
      </c>
      <c r="AF36" s="626">
        <f>+'1.Informe Seguimiento POA 2022'!S40</f>
        <v>630</v>
      </c>
      <c r="AG36" s="626">
        <f>+'1.Informe Seguimiento POA 2022'!T40</f>
        <v>450</v>
      </c>
      <c r="AH36" s="626">
        <f>+'1.Informe Seguimiento POA 2022'!U40</f>
        <v>380</v>
      </c>
      <c r="AI36" s="626">
        <f>+'1.Informe Seguimiento POA 2022'!V40</f>
        <v>605</v>
      </c>
      <c r="AJ36" s="626">
        <f>+'1.Informe Seguimiento POA 2022'!X40</f>
        <v>1800</v>
      </c>
      <c r="AK36" s="626">
        <f>+'1.Informe Seguimiento POA 2022'!Y40</f>
        <v>1739</v>
      </c>
      <c r="AL36" s="686">
        <f>+'1.Informe Seguimiento POA 2022'!Z40</f>
        <v>0.96611111111111114</v>
      </c>
      <c r="AM36" s="1303">
        <f>'1.Informe Seguimiento POA 2022'!AC40</f>
        <v>0.30454179104477613</v>
      </c>
      <c r="AN36" s="627"/>
      <c r="AO36" s="627"/>
      <c r="AP36" s="627"/>
      <c r="AQ36" s="627"/>
      <c r="AR36" s="627"/>
      <c r="AS36" s="627"/>
      <c r="AT36" s="627"/>
      <c r="AU36" s="627"/>
      <c r="AV36" s="626">
        <f t="shared" si="0"/>
        <v>1800</v>
      </c>
      <c r="AW36" s="626"/>
      <c r="AX36" s="627"/>
      <c r="AY36" s="627"/>
      <c r="AZ36" s="627"/>
      <c r="BA36" s="627"/>
      <c r="BB36" s="627"/>
      <c r="BC36" s="627"/>
      <c r="BD36" s="627"/>
      <c r="BE36" s="627"/>
      <c r="BF36" s="627"/>
      <c r="BG36" s="626">
        <f t="shared" si="1"/>
        <v>1500</v>
      </c>
      <c r="BH36" s="626"/>
      <c r="BI36" s="627"/>
      <c r="BJ36" s="696">
        <f t="shared" si="16"/>
        <v>3400</v>
      </c>
      <c r="BK36" s="696">
        <f t="shared" si="17"/>
        <v>3308</v>
      </c>
      <c r="BL36" s="627">
        <f t="shared" si="15"/>
        <v>0.9729411764705882</v>
      </c>
      <c r="BM36" s="627">
        <f t="shared" si="6"/>
        <v>0.49373134328358209</v>
      </c>
      <c r="BN36" s="915">
        <f t="shared" si="2"/>
        <v>0.39498507462686572</v>
      </c>
      <c r="BO36" s="1198">
        <f>SUM(BN36:BN37)</f>
        <v>0.49349757462686572</v>
      </c>
      <c r="BP36" s="1138">
        <f>(IF(AND(BO36&gt;0,E36&gt;0),BO36*E36))+(IF(AND(BO38&gt;0,E38&gt;0),BO38*E38))+(IF(AND(BO40&gt;0,E40&gt;0),BO40*E40))+(IF(AND(BO41&gt;0,E41&gt;0),BO41*E41))</f>
        <v>0.55319902985074632</v>
      </c>
      <c r="BQ36" s="713"/>
      <c r="BR36" s="713"/>
    </row>
    <row r="37" spans="2:70" ht="67.5" customHeight="1">
      <c r="B37" s="1117"/>
      <c r="C37" s="1247"/>
      <c r="D37" s="1256"/>
      <c r="E37" s="1258"/>
      <c r="F37" s="679" t="s">
        <v>285</v>
      </c>
      <c r="G37" s="680" t="s">
        <v>946</v>
      </c>
      <c r="H37" s="37" t="str">
        <f>+'1.Informe Seguimiento POA 2022'!D41</f>
        <v>3.1.2 Evaluar y dar impulso procesal al 100% las noticias disciplinarias (quejas) puestas en conocimiento de la Entidad.</v>
      </c>
      <c r="I37" s="682">
        <f>+'1.Informe Seguimiento POA 2022'!E41</f>
        <v>0.2</v>
      </c>
      <c r="J37" s="678">
        <f>+'1.Informe Seguimiento POA 2022'!F41</f>
        <v>1</v>
      </c>
      <c r="K37" s="683" t="str">
        <f>+'1.Informe Seguimiento POA 2022'!I41</f>
        <v>Potestad Disciplinaria</v>
      </c>
      <c r="L37" s="683" t="str">
        <f>+'1.Informe Seguimiento POA 2022'!J41</f>
        <v>Personería Delegada para la Coordinación de Potestad Disciplinaria</v>
      </c>
      <c r="M37" s="675">
        <f>+'1.Informe Seguimiento POA 2022'!K41</f>
        <v>1</v>
      </c>
      <c r="N37" s="675">
        <f>+'1.Informe Seguimiento POA 2022'!L41</f>
        <v>1</v>
      </c>
      <c r="O37" s="675">
        <f>+'1.Informe Seguimiento POA 2022'!M41</f>
        <v>1</v>
      </c>
      <c r="P37" s="675">
        <f>+'1.Informe Seguimiento POA 2022'!N41</f>
        <v>1</v>
      </c>
      <c r="Q37" s="894">
        <v>1</v>
      </c>
      <c r="R37" s="894">
        <v>0.72299999999999998</v>
      </c>
      <c r="S37" s="894">
        <v>1</v>
      </c>
      <c r="T37" s="894">
        <v>0.69200000000000006</v>
      </c>
      <c r="U37" s="894">
        <v>1</v>
      </c>
      <c r="V37" s="894">
        <v>1.0813333333333333</v>
      </c>
      <c r="W37" s="894">
        <v>1</v>
      </c>
      <c r="X37" s="894">
        <v>1.5069999999999999</v>
      </c>
      <c r="Y37" s="629">
        <v>1</v>
      </c>
      <c r="Z37" s="629">
        <v>1</v>
      </c>
      <c r="AA37" s="629">
        <v>1</v>
      </c>
      <c r="AB37" s="685">
        <f>+'1.Informe Seguimiento POA 2022'!O41</f>
        <v>1</v>
      </c>
      <c r="AC37" s="685">
        <f>+'1.Informe Seguimiento POA 2022'!P41</f>
        <v>0.79066666666666663</v>
      </c>
      <c r="AD37" s="685">
        <f>+'1.Informe Seguimiento POA 2022'!Q41</f>
        <v>1</v>
      </c>
      <c r="AE37" s="685">
        <f>+'1.Informe Seguimiento POA 2022'!R41</f>
        <v>0.91633333333333322</v>
      </c>
      <c r="AF37" s="685">
        <f>+'1.Informe Seguimiento POA 2022'!S41</f>
        <v>1</v>
      </c>
      <c r="AG37" s="685">
        <f>+'1.Informe Seguimiento POA 2022'!T41</f>
        <v>0.91733333333333322</v>
      </c>
      <c r="AH37" s="685">
        <f>+'1.Informe Seguimiento POA 2022'!U41</f>
        <v>1</v>
      </c>
      <c r="AI37" s="685">
        <f>+'1.Informe Seguimiento POA 2022'!V41</f>
        <v>1.2533333333333332</v>
      </c>
      <c r="AJ37" s="629">
        <f>+'1.Informe Seguimiento POA 2022'!X41</f>
        <v>1</v>
      </c>
      <c r="AK37" s="629">
        <f>+'1.Informe Seguimiento POA 2022'!Y41</f>
        <v>0.96899999999999997</v>
      </c>
      <c r="AL37" s="629">
        <f>+'1.Informe Seguimiento POA 2022'!Z41</f>
        <v>0.96899999999999997</v>
      </c>
      <c r="AM37" s="1305"/>
      <c r="AN37" s="693"/>
      <c r="AO37" s="693"/>
      <c r="AP37" s="693"/>
      <c r="AQ37" s="693"/>
      <c r="AR37" s="693"/>
      <c r="AS37" s="693"/>
      <c r="AT37" s="693"/>
      <c r="AU37" s="693"/>
      <c r="AV37" s="678">
        <f t="shared" si="0"/>
        <v>1</v>
      </c>
      <c r="AW37" s="678"/>
      <c r="AX37" s="693"/>
      <c r="AY37" s="693"/>
      <c r="AZ37" s="693"/>
      <c r="BA37" s="693"/>
      <c r="BB37" s="693"/>
      <c r="BC37" s="693"/>
      <c r="BD37" s="693"/>
      <c r="BE37" s="693"/>
      <c r="BF37" s="693"/>
      <c r="BG37" s="678">
        <f t="shared" si="1"/>
        <v>1</v>
      </c>
      <c r="BH37" s="678"/>
      <c r="BI37" s="693"/>
      <c r="BJ37" s="627">
        <f>IFERROR(AVERAGE(Q37,S37,U37,W37,AB37,AD37,AF37,AH37),0)</f>
        <v>1</v>
      </c>
      <c r="BK37" s="627">
        <f>IFERROR(AVERAGE(R37,T37,V37,X37,AC37,AE37,AG37,AI37),0)</f>
        <v>0.98512499999999992</v>
      </c>
      <c r="BL37" s="627">
        <f t="shared" si="15"/>
        <v>0.98512499999999992</v>
      </c>
      <c r="BM37" s="627">
        <f>(IF(AND(BK37&gt;0,$J37&gt;0),BK37/$J37,0)/4)*2</f>
        <v>0.49256249999999996</v>
      </c>
      <c r="BN37" s="915">
        <f t="shared" si="2"/>
        <v>9.8512500000000003E-2</v>
      </c>
      <c r="BO37" s="1199"/>
      <c r="BP37" s="1139"/>
      <c r="BQ37" s="713"/>
      <c r="BR37" s="713"/>
    </row>
    <row r="38" spans="2:70" ht="95.25" customHeight="1">
      <c r="B38" s="1117"/>
      <c r="C38" s="1206" t="str">
        <f>+'Matriz PEI 2021-2024'!C17</f>
        <v xml:space="preserve">3.2. Identificar el 100% de los hechos constitutivos de faltas disciplinarias para ejercer el poder preferente en las Oficinas de Control Interno Disciplinario, en temas de interés e impacto para el Distrito Capital. </v>
      </c>
      <c r="D38" s="1257">
        <f>+'Matriz PEI 2021-2024'!E17</f>
        <v>1</v>
      </c>
      <c r="E38" s="1257">
        <f>+'Matriz PEI 2021-2024'!D17</f>
        <v>0.15</v>
      </c>
      <c r="F38" s="681" t="s">
        <v>302</v>
      </c>
      <c r="G38" s="680" t="s">
        <v>947</v>
      </c>
      <c r="H38" s="37" t="str">
        <f>+'1.Informe Seguimiento POA 2022'!D42</f>
        <v>3.2.1 Realizar una visita de seguimiento a las 51 Oficinas de Control Interno Disciplinario del Distrito e identificar hechos constitutivos de faltas relevantes en temas de interés e impacto en cada anualidad.</v>
      </c>
      <c r="I38" s="682">
        <f>+'1.Informe Seguimiento POA 2022'!E42</f>
        <v>0.5</v>
      </c>
      <c r="J38" s="624">
        <f>+'1.Informe Seguimiento POA 2022'!F42</f>
        <v>204</v>
      </c>
      <c r="K38" s="683" t="str">
        <f>+'1.Informe Seguimiento POA 2022'!I42</f>
        <v>Potestad Disciplinaria</v>
      </c>
      <c r="L38" s="683" t="str">
        <f>+'1.Informe Seguimiento POA 2022'!J42</f>
        <v>Personería Delegada para la Coordinación de Potestad Disciplinaria</v>
      </c>
      <c r="M38" s="625">
        <f>+'1.Informe Seguimiento POA 2022'!K42</f>
        <v>51</v>
      </c>
      <c r="N38" s="625">
        <f>+'1.Informe Seguimiento POA 2022'!L42</f>
        <v>51</v>
      </c>
      <c r="O38" s="625">
        <f>+'1.Informe Seguimiento POA 2022'!M42</f>
        <v>51</v>
      </c>
      <c r="P38" s="625">
        <f>+'1.Informe Seguimiento POA 2022'!N42</f>
        <v>51</v>
      </c>
      <c r="Q38" s="637">
        <v>0</v>
      </c>
      <c r="R38" s="637">
        <v>12</v>
      </c>
      <c r="S38" s="637">
        <v>15</v>
      </c>
      <c r="T38" s="637">
        <v>39</v>
      </c>
      <c r="U38" s="637">
        <v>15</v>
      </c>
      <c r="V38" s="637">
        <v>0</v>
      </c>
      <c r="W38" s="637">
        <v>21</v>
      </c>
      <c r="X38" s="637">
        <v>0</v>
      </c>
      <c r="Y38" s="626">
        <v>51</v>
      </c>
      <c r="Z38" s="626">
        <v>51</v>
      </c>
      <c r="AA38" s="892">
        <v>1</v>
      </c>
      <c r="AB38" s="637">
        <f>+'1.Informe Seguimiento POA 2022'!O42</f>
        <v>0</v>
      </c>
      <c r="AC38" s="637">
        <f>+'1.Informe Seguimiento POA 2022'!P42</f>
        <v>0</v>
      </c>
      <c r="AD38" s="637">
        <f>+'1.Informe Seguimiento POA 2022'!Q42</f>
        <v>30</v>
      </c>
      <c r="AE38" s="637">
        <f>+'1.Informe Seguimiento POA 2022'!R42</f>
        <v>0</v>
      </c>
      <c r="AF38" s="637">
        <f>+'1.Informe Seguimiento POA 2022'!S42</f>
        <v>21</v>
      </c>
      <c r="AG38" s="637">
        <f>+'1.Informe Seguimiento POA 2022'!T42</f>
        <v>9</v>
      </c>
      <c r="AH38" s="637">
        <f>+'1.Informe Seguimiento POA 2022'!U42</f>
        <v>0</v>
      </c>
      <c r="AI38" s="637">
        <f>+'1.Informe Seguimiento POA 2022'!V42</f>
        <v>42</v>
      </c>
      <c r="AJ38" s="626">
        <f>+'1.Informe Seguimiento POA 2022'!X42</f>
        <v>51</v>
      </c>
      <c r="AK38" s="626">
        <f>+'1.Informe Seguimiento POA 2022'!Y42</f>
        <v>51</v>
      </c>
      <c r="AL38" s="686">
        <f>+'1.Informe Seguimiento POA 2022'!Z42</f>
        <v>1</v>
      </c>
      <c r="AM38" s="1303">
        <f>'1.Informe Seguimiento POA 2022'!AC42</f>
        <v>0.37224999999999997</v>
      </c>
      <c r="AN38" s="627"/>
      <c r="AO38" s="627"/>
      <c r="AP38" s="627"/>
      <c r="AQ38" s="627"/>
      <c r="AR38" s="627"/>
      <c r="AS38" s="627"/>
      <c r="AT38" s="627"/>
      <c r="AU38" s="627"/>
      <c r="AV38" s="626">
        <f t="shared" si="0"/>
        <v>51</v>
      </c>
      <c r="AW38" s="626"/>
      <c r="AX38" s="627"/>
      <c r="AY38" s="627"/>
      <c r="AZ38" s="627"/>
      <c r="BA38" s="627"/>
      <c r="BB38" s="627"/>
      <c r="BC38" s="627"/>
      <c r="BD38" s="627"/>
      <c r="BE38" s="627"/>
      <c r="BF38" s="627"/>
      <c r="BG38" s="626">
        <f t="shared" si="1"/>
        <v>51</v>
      </c>
      <c r="BH38" s="626"/>
      <c r="BI38" s="627"/>
      <c r="BJ38" s="696">
        <f t="shared" ref="BJ38" si="18">+Q38+S38+U38+W38+AB38+AD38+AF38+AH38</f>
        <v>102</v>
      </c>
      <c r="BK38" s="696">
        <f t="shared" ref="BK38" si="19">+R38+T38+V38+X38+AC38+AE38+AG38+AI38</f>
        <v>102</v>
      </c>
      <c r="BL38" s="627">
        <f t="shared" si="15"/>
        <v>1</v>
      </c>
      <c r="BM38" s="627">
        <f t="shared" si="6"/>
        <v>0.5</v>
      </c>
      <c r="BN38" s="915">
        <f t="shared" si="2"/>
        <v>0.25</v>
      </c>
      <c r="BO38" s="1198">
        <f>SUM(BN38:BN39)</f>
        <v>0.4986666666666667</v>
      </c>
      <c r="BP38" s="1139"/>
      <c r="BQ38" s="713"/>
      <c r="BR38" s="713"/>
    </row>
    <row r="39" spans="2:70" ht="95.25" customHeight="1">
      <c r="B39" s="1117"/>
      <c r="C39" s="1247"/>
      <c r="D39" s="1258"/>
      <c r="E39" s="1289"/>
      <c r="F39" s="989" t="s">
        <v>286</v>
      </c>
      <c r="G39" s="989" t="s">
        <v>659</v>
      </c>
      <c r="H39" s="37" t="str">
        <f>+'1.Informe Seguimiento POA 2022'!D43</f>
        <v>3.2.2 Asumir por competencia preferente el 100% de los procesos cuyos temas sean considerados de interés e impacto el Distrito Capital.</v>
      </c>
      <c r="I39" s="682">
        <f>+'1.Informe Seguimiento POA 2022'!E43</f>
        <v>0.5</v>
      </c>
      <c r="J39" s="678">
        <f>+'1.Informe Seguimiento POA 2022'!F43</f>
        <v>1</v>
      </c>
      <c r="K39" s="683" t="str">
        <f>+'1.Informe Seguimiento POA 2022'!I43</f>
        <v>Potestad Disciplinaria</v>
      </c>
      <c r="L39" s="683" t="str">
        <f>+'1.Informe Seguimiento POA 2022'!J43</f>
        <v>Personería Delegada para la Coordinación de Potestad Disciplinaria</v>
      </c>
      <c r="M39" s="675">
        <f>+'1.Informe Seguimiento POA 2022'!K43</f>
        <v>1</v>
      </c>
      <c r="N39" s="675">
        <f>+'1.Informe Seguimiento POA 2022'!L43</f>
        <v>1</v>
      </c>
      <c r="O39" s="675">
        <f>+'1.Informe Seguimiento POA 2022'!M43</f>
        <v>1</v>
      </c>
      <c r="P39" s="675">
        <f>+'1.Informe Seguimiento POA 2022'!N43</f>
        <v>1</v>
      </c>
      <c r="Q39" s="894">
        <v>0</v>
      </c>
      <c r="R39" s="894">
        <v>1</v>
      </c>
      <c r="S39" s="894">
        <v>1</v>
      </c>
      <c r="T39" s="894">
        <v>1</v>
      </c>
      <c r="U39" s="894">
        <v>1</v>
      </c>
      <c r="V39" s="894">
        <v>1</v>
      </c>
      <c r="W39" s="894">
        <v>1</v>
      </c>
      <c r="X39" s="894">
        <v>1</v>
      </c>
      <c r="Y39" s="629">
        <v>1</v>
      </c>
      <c r="Z39" s="629">
        <v>1</v>
      </c>
      <c r="AA39" s="629">
        <v>1</v>
      </c>
      <c r="AB39" s="685">
        <f>+'1.Informe Seguimiento POA 2022'!O43</f>
        <v>1</v>
      </c>
      <c r="AC39" s="685">
        <f>+'1.Informe Seguimiento POA 2022'!P43</f>
        <v>1</v>
      </c>
      <c r="AD39" s="685">
        <f>+'1.Informe Seguimiento POA 2022'!Q43</f>
        <v>1</v>
      </c>
      <c r="AE39" s="685">
        <f>+'1.Informe Seguimiento POA 2022'!R43</f>
        <v>1</v>
      </c>
      <c r="AF39" s="685">
        <f>+'1.Informe Seguimiento POA 2022'!S43</f>
        <v>1</v>
      </c>
      <c r="AG39" s="685">
        <f>+'1.Informe Seguimiento POA 2022'!T43</f>
        <v>0.92966666666666675</v>
      </c>
      <c r="AH39" s="685">
        <f>+'1.Informe Seguimiento POA 2022'!U43</f>
        <v>1</v>
      </c>
      <c r="AI39" s="685">
        <f>+'1.Informe Seguimiento POA 2022'!V43</f>
        <v>1.0276666666666667</v>
      </c>
      <c r="AJ39" s="629">
        <f>+'1.Informe Seguimiento POA 2022'!X43</f>
        <v>1</v>
      </c>
      <c r="AK39" s="629">
        <f>+'1.Informe Seguimiento POA 2022'!Y43</f>
        <v>0.98899999999999999</v>
      </c>
      <c r="AL39" s="629">
        <f>+'1.Informe Seguimiento POA 2022'!Z43</f>
        <v>0.98899999999999999</v>
      </c>
      <c r="AM39" s="1305"/>
      <c r="AN39" s="693"/>
      <c r="AO39" s="693"/>
      <c r="AP39" s="693"/>
      <c r="AQ39" s="693"/>
      <c r="AR39" s="693"/>
      <c r="AS39" s="693"/>
      <c r="AT39" s="693"/>
      <c r="AU39" s="693"/>
      <c r="AV39" s="678">
        <f t="shared" si="0"/>
        <v>1</v>
      </c>
      <c r="AW39" s="678"/>
      <c r="AX39" s="693"/>
      <c r="AY39" s="693"/>
      <c r="AZ39" s="693"/>
      <c r="BA39" s="693"/>
      <c r="BB39" s="693"/>
      <c r="BC39" s="693"/>
      <c r="BD39" s="693"/>
      <c r="BE39" s="693"/>
      <c r="BF39" s="693"/>
      <c r="BG39" s="678">
        <f t="shared" si="1"/>
        <v>1</v>
      </c>
      <c r="BH39" s="678"/>
      <c r="BI39" s="693"/>
      <c r="BJ39" s="627">
        <f>IFERROR(AVERAGE(S39,U39,W39,AB39,AD39,AF39,AH39),0)</f>
        <v>1</v>
      </c>
      <c r="BK39" s="627">
        <f>IFERROR(AVERAGE(R39,T39,V39,X39,AC39,AE39,AG39,AI39),0)</f>
        <v>0.9946666666666667</v>
      </c>
      <c r="BL39" s="627">
        <f t="shared" si="15"/>
        <v>0.9946666666666667</v>
      </c>
      <c r="BM39" s="627">
        <f>(IF(AND(BK39&gt;0,$J39&gt;0),BK39/$J39,0)/4)*2</f>
        <v>0.49733333333333335</v>
      </c>
      <c r="BN39" s="915">
        <f>IF(AND(BM39&gt;0,I39&gt;0),BM39*I39,0)</f>
        <v>0.24866666666666667</v>
      </c>
      <c r="BO39" s="1200"/>
      <c r="BP39" s="1139"/>
      <c r="BQ39" s="713"/>
      <c r="BR39" s="713"/>
    </row>
    <row r="40" spans="2:70" ht="126.75" customHeight="1">
      <c r="B40" s="1117"/>
      <c r="C40" s="992" t="str">
        <f>+'Matriz PEI 2021-2024'!C18</f>
        <v>3.3. Generar 8 escenarios que fortalezcan el conocimiento y las competencias del operador disciplinario, que apoya el cumplimiento de la labor misional, extendiendo el alcance a los jueces naturales en el Distrito Capital.</v>
      </c>
      <c r="D40" s="639">
        <f>+'Matriz PEI 2021-2024'!E18</f>
        <v>8</v>
      </c>
      <c r="E40" s="640">
        <f>+'Matriz PEI 2021-2024'!D18</f>
        <v>0.1</v>
      </c>
      <c r="F40" s="992" t="s">
        <v>948</v>
      </c>
      <c r="G40" s="992" t="s">
        <v>949</v>
      </c>
      <c r="H40" s="37" t="str">
        <f>+'1.Informe Seguimiento POA 2022'!D44</f>
        <v>3.3.1 Generar 8 escenarios de intercambio de conocimiento con los(as) servidores(as) públicos(as) para fortalecer el conocimiento en la sustanciación de procesos disciplinarios en el Distrito Capital.</v>
      </c>
      <c r="I40" s="682">
        <f>+'1.Informe Seguimiento POA 2022'!E44</f>
        <v>1</v>
      </c>
      <c r="J40" s="624">
        <f>+'1.Informe Seguimiento POA 2022'!F44</f>
        <v>8</v>
      </c>
      <c r="K40" s="683" t="str">
        <f>+'1.Informe Seguimiento POA 2022'!I44</f>
        <v>Potestad Disciplinaria</v>
      </c>
      <c r="L40" s="683" t="str">
        <f>+'1.Informe Seguimiento POA 2022'!J44</f>
        <v>Personería Delegada para la Coordinación de Potestad Disciplinaria</v>
      </c>
      <c r="M40" s="625">
        <f>+'1.Informe Seguimiento POA 2022'!K44</f>
        <v>2</v>
      </c>
      <c r="N40" s="625">
        <f>+'1.Informe Seguimiento POA 2022'!L44</f>
        <v>2</v>
      </c>
      <c r="O40" s="625">
        <f>+'1.Informe Seguimiento POA 2022'!M44</f>
        <v>2</v>
      </c>
      <c r="P40" s="625">
        <f>+'1.Informe Seguimiento POA 2022'!N44</f>
        <v>2</v>
      </c>
      <c r="Q40" s="626">
        <v>0</v>
      </c>
      <c r="R40" s="626">
        <v>0</v>
      </c>
      <c r="S40" s="626">
        <v>0</v>
      </c>
      <c r="T40" s="626">
        <v>1</v>
      </c>
      <c r="U40" s="626">
        <v>1</v>
      </c>
      <c r="V40" s="626">
        <v>0</v>
      </c>
      <c r="W40" s="626">
        <v>1</v>
      </c>
      <c r="X40" s="626">
        <v>1</v>
      </c>
      <c r="Y40" s="626">
        <v>2</v>
      </c>
      <c r="Z40" s="626">
        <v>2</v>
      </c>
      <c r="AA40" s="892">
        <v>1</v>
      </c>
      <c r="AB40" s="626">
        <f>+'1.Informe Seguimiento POA 2022'!O44</f>
        <v>0</v>
      </c>
      <c r="AC40" s="626">
        <f>+'1.Informe Seguimiento POA 2022'!P44</f>
        <v>0</v>
      </c>
      <c r="AD40" s="626">
        <f>+'1.Informe Seguimiento POA 2022'!Q44</f>
        <v>0</v>
      </c>
      <c r="AE40" s="626">
        <f>+'1.Informe Seguimiento POA 2022'!R44</f>
        <v>1</v>
      </c>
      <c r="AF40" s="626">
        <f>+'1.Informe Seguimiento POA 2022'!S44</f>
        <v>1</v>
      </c>
      <c r="AG40" s="626">
        <f>+'1.Informe Seguimiento POA 2022'!T44</f>
        <v>0</v>
      </c>
      <c r="AH40" s="626">
        <f>+'1.Informe Seguimiento POA 2022'!U44</f>
        <v>1</v>
      </c>
      <c r="AI40" s="626">
        <f>+'1.Informe Seguimiento POA 2022'!V44</f>
        <v>1</v>
      </c>
      <c r="AJ40" s="626">
        <f>+'1.Informe Seguimiento POA 2022'!X44</f>
        <v>2</v>
      </c>
      <c r="AK40" s="626">
        <f>+'1.Informe Seguimiento POA 2022'!Y44</f>
        <v>2</v>
      </c>
      <c r="AL40" s="686">
        <f>+'1.Informe Seguimiento POA 2022'!Z44</f>
        <v>1</v>
      </c>
      <c r="AM40" s="938">
        <f>'1.Informe Seguimiento POA 2022'!AC44</f>
        <v>0.25</v>
      </c>
      <c r="AN40" s="627"/>
      <c r="AO40" s="627"/>
      <c r="AP40" s="627"/>
      <c r="AQ40" s="627"/>
      <c r="AR40" s="627"/>
      <c r="AS40" s="627"/>
      <c r="AT40" s="627"/>
      <c r="AU40" s="627"/>
      <c r="AV40" s="626">
        <f t="shared" si="0"/>
        <v>2</v>
      </c>
      <c r="AW40" s="626"/>
      <c r="AX40" s="627"/>
      <c r="AY40" s="627"/>
      <c r="AZ40" s="627"/>
      <c r="BA40" s="627"/>
      <c r="BB40" s="627"/>
      <c r="BC40" s="627"/>
      <c r="BD40" s="627"/>
      <c r="BE40" s="627"/>
      <c r="BF40" s="627"/>
      <c r="BG40" s="626">
        <f t="shared" si="1"/>
        <v>2</v>
      </c>
      <c r="BH40" s="626"/>
      <c r="BI40" s="627"/>
      <c r="BJ40" s="696">
        <f t="shared" ref="BJ40" si="20">+Q40+S40+U40+W40+AB40+AD40+AF40+AH40</f>
        <v>4</v>
      </c>
      <c r="BK40" s="696">
        <f t="shared" ref="BK40" si="21">+R40+T40+V40+X40+AC40+AE40+AG40+AI40</f>
        <v>4</v>
      </c>
      <c r="BL40" s="627">
        <f t="shared" si="15"/>
        <v>1</v>
      </c>
      <c r="BM40" s="627">
        <f t="shared" si="6"/>
        <v>0.5</v>
      </c>
      <c r="BN40" s="915">
        <f t="shared" ref="BN40:BN77" si="22">IF(AND(BM40&gt;0,I40&gt;0),BM40*I40,0)</f>
        <v>0.5</v>
      </c>
      <c r="BO40" s="1011">
        <f>SUM(BN40)</f>
        <v>0.5</v>
      </c>
      <c r="BP40" s="1139"/>
      <c r="BQ40" s="713"/>
      <c r="BR40" s="713"/>
    </row>
    <row r="41" spans="2:70" ht="61.5" customHeight="1">
      <c r="B41" s="1117"/>
      <c r="C41" s="1206" t="str">
        <f>+'Matriz PEI 2021-2024'!C19</f>
        <v>3.4. Implementar al 100% tres soluciones informáticas propias para la ejecución y gestión de la Potestad Disciplinaria.</v>
      </c>
      <c r="D41" s="1257">
        <f>+'Matriz PEI 2021-2024'!E19</f>
        <v>1</v>
      </c>
      <c r="E41" s="1257">
        <f>+'Matriz PEI 2021-2024'!D19</f>
        <v>0.35</v>
      </c>
      <c r="F41" s="1206" t="s">
        <v>1034</v>
      </c>
      <c r="G41" s="988" t="s">
        <v>950</v>
      </c>
      <c r="H41" s="37" t="str">
        <f>+'1.Informe Seguimiento POA 2022'!D45</f>
        <v>3.4.1 Implementar un sistema de comunicación efectiva y eficiente con las Oficinas de Control Interno del Distrito Capital.</v>
      </c>
      <c r="I41" s="682">
        <f>+'1.Informe Seguimiento POA 2022'!E45</f>
        <v>0.2</v>
      </c>
      <c r="J41" s="624">
        <f>+'1.Informe Seguimiento POA 2022'!F45</f>
        <v>1</v>
      </c>
      <c r="K41" s="683" t="str">
        <f>+'1.Informe Seguimiento POA 2022'!I45</f>
        <v>Potestad Disciplinaria</v>
      </c>
      <c r="L41" s="683" t="str">
        <f>+'1.Informe Seguimiento POA 2022'!J45</f>
        <v>Personería Delegada para la Coordinación de Potestad Disciplinaria</v>
      </c>
      <c r="M41" s="676">
        <f>+'1.Informe Seguimiento POA 2022'!K45</f>
        <v>0.5</v>
      </c>
      <c r="N41" s="676">
        <f>+'1.Informe Seguimiento POA 2022'!L45</f>
        <v>0.5</v>
      </c>
      <c r="O41" s="676">
        <f>+'1.Informe Seguimiento POA 2022'!M45</f>
        <v>0</v>
      </c>
      <c r="P41" s="676">
        <f>+'1.Informe Seguimiento POA 2022'!N45</f>
        <v>0</v>
      </c>
      <c r="Q41" s="641">
        <v>0.05</v>
      </c>
      <c r="R41" s="641">
        <v>0.05</v>
      </c>
      <c r="S41" s="641">
        <v>0.2</v>
      </c>
      <c r="T41" s="641">
        <v>0</v>
      </c>
      <c r="U41" s="641">
        <v>0.15000000000000002</v>
      </c>
      <c r="V41" s="641">
        <v>0.35</v>
      </c>
      <c r="W41" s="641">
        <v>0.1</v>
      </c>
      <c r="X41" s="641">
        <v>0.1</v>
      </c>
      <c r="Y41" s="641">
        <v>0.5</v>
      </c>
      <c r="Z41" s="641">
        <v>0.5</v>
      </c>
      <c r="AA41" s="893">
        <v>1</v>
      </c>
      <c r="AB41" s="641">
        <f>+'1.Informe Seguimiento POA 2022'!O45</f>
        <v>0.15000000000000002</v>
      </c>
      <c r="AC41" s="641">
        <f>+'1.Informe Seguimiento POA 2022'!P45</f>
        <v>0.15000000000000002</v>
      </c>
      <c r="AD41" s="641">
        <f>+'1.Informe Seguimiento POA 2022'!Q45</f>
        <v>0.15000000000000002</v>
      </c>
      <c r="AE41" s="641">
        <f>+'1.Informe Seguimiento POA 2022'!R45</f>
        <v>0.15000000000000002</v>
      </c>
      <c r="AF41" s="641">
        <f>+'1.Informe Seguimiento POA 2022'!S45</f>
        <v>0.15000000000000002</v>
      </c>
      <c r="AG41" s="641">
        <f>+'1.Informe Seguimiento POA 2022'!T45</f>
        <v>0.15000000000000002</v>
      </c>
      <c r="AH41" s="641">
        <f>+'1.Informe Seguimiento POA 2022'!U45</f>
        <v>0.05</v>
      </c>
      <c r="AI41" s="641">
        <f>+'1.Informe Seguimiento POA 2022'!V45</f>
        <v>0.05</v>
      </c>
      <c r="AJ41" s="641">
        <f>+'1.Informe Seguimiento POA 2022'!X45</f>
        <v>0.50000000000000011</v>
      </c>
      <c r="AK41" s="641">
        <f>+'1.Informe Seguimiento POA 2022'!Y45</f>
        <v>0.50000000000000011</v>
      </c>
      <c r="AL41" s="678">
        <f>+'1.Informe Seguimiento POA 2022'!Z45</f>
        <v>1</v>
      </c>
      <c r="AM41" s="1303">
        <f>'1.Informe Seguimiento POA 2022'!AC45</f>
        <v>0.41000000000000003</v>
      </c>
      <c r="AN41" s="694"/>
      <c r="AO41" s="694"/>
      <c r="AP41" s="694"/>
      <c r="AQ41" s="694"/>
      <c r="AR41" s="694"/>
      <c r="AS41" s="694"/>
      <c r="AT41" s="694"/>
      <c r="AU41" s="694"/>
      <c r="AV41" s="641">
        <f t="shared" ref="AV41:AV72" si="23">+O41</f>
        <v>0</v>
      </c>
      <c r="AW41" s="641"/>
      <c r="AX41" s="694"/>
      <c r="AY41" s="694"/>
      <c r="AZ41" s="694"/>
      <c r="BA41" s="694"/>
      <c r="BB41" s="694"/>
      <c r="BC41" s="694"/>
      <c r="BD41" s="694"/>
      <c r="BE41" s="694"/>
      <c r="BF41" s="694"/>
      <c r="BG41" s="641">
        <f t="shared" ref="BG41:BG72" si="24">+P41</f>
        <v>0</v>
      </c>
      <c r="BH41" s="641"/>
      <c r="BI41" s="694"/>
      <c r="BJ41" s="700">
        <f t="shared" ref="BJ41:BK44" si="25">Q41+S41+U41+W41+AB41+AD41+AF41+AH41</f>
        <v>1</v>
      </c>
      <c r="BK41" s="700">
        <f t="shared" si="25"/>
        <v>1</v>
      </c>
      <c r="BL41" s="627">
        <f t="shared" si="15"/>
        <v>1</v>
      </c>
      <c r="BM41" s="627">
        <f t="shared" si="6"/>
        <v>1</v>
      </c>
      <c r="BN41" s="915">
        <f t="shared" si="22"/>
        <v>0.2</v>
      </c>
      <c r="BO41" s="1201">
        <f>SUM(BN41:BN43)</f>
        <v>0.66</v>
      </c>
      <c r="BP41" s="1139"/>
      <c r="BQ41" s="713"/>
      <c r="BR41" s="713"/>
    </row>
    <row r="42" spans="2:70" ht="61.5" customHeight="1">
      <c r="B42" s="1117"/>
      <c r="C42" s="1219"/>
      <c r="D42" s="1290"/>
      <c r="E42" s="1291"/>
      <c r="F42" s="1219"/>
      <c r="G42" s="991"/>
      <c r="H42" s="37" t="str">
        <f>+'1.Informe Seguimiento POA 2022'!D46</f>
        <v xml:space="preserve">3.4.2 Diseñar e implementar un sistema de información misional que generé el expediente electrónico  </v>
      </c>
      <c r="I42" s="682">
        <f>+'1.Informe Seguimiento POA 2022'!E46</f>
        <v>0.7</v>
      </c>
      <c r="J42" s="624">
        <f>+'1.Informe Seguimiento POA 2022'!F46</f>
        <v>1</v>
      </c>
      <c r="K42" s="683" t="str">
        <f>+'1.Informe Seguimiento POA 2022'!I46</f>
        <v>Potestad Disciplinaria</v>
      </c>
      <c r="L42" s="683" t="str">
        <f>+'1.Informe Seguimiento POA 2022'!J46</f>
        <v>Personería Delegada para la Coordinación de Potestad Disciplinaria</v>
      </c>
      <c r="M42" s="676">
        <f>+'1.Informe Seguimiento POA 2022'!K46</f>
        <v>0.2</v>
      </c>
      <c r="N42" s="676">
        <f>+'1.Informe Seguimiento POA 2022'!L46</f>
        <v>0.4</v>
      </c>
      <c r="O42" s="676">
        <f>+'1.Informe Seguimiento POA 2022'!M46</f>
        <v>0.3</v>
      </c>
      <c r="P42" s="676">
        <f>+'1.Informe Seguimiento POA 2022'!N46</f>
        <v>0.1</v>
      </c>
      <c r="Q42" s="641">
        <v>0.02</v>
      </c>
      <c r="R42" s="641">
        <v>0.02</v>
      </c>
      <c r="S42" s="641">
        <v>0.06</v>
      </c>
      <c r="T42" s="641">
        <v>0.06</v>
      </c>
      <c r="U42" s="641">
        <v>0.06</v>
      </c>
      <c r="V42" s="641">
        <v>0.06</v>
      </c>
      <c r="W42" s="641">
        <v>0.06</v>
      </c>
      <c r="X42" s="641">
        <v>0.06</v>
      </c>
      <c r="Y42" s="641">
        <v>0.2</v>
      </c>
      <c r="Z42" s="641">
        <v>0.2</v>
      </c>
      <c r="AA42" s="893">
        <v>1</v>
      </c>
      <c r="AB42" s="641">
        <f>+'1.Informe Seguimiento POA 2022'!O46</f>
        <v>0.05</v>
      </c>
      <c r="AC42" s="641">
        <f>+'1.Informe Seguimiento POA 2022'!P46</f>
        <v>0</v>
      </c>
      <c r="AD42" s="641">
        <f>+'1.Informe Seguimiento POA 2022'!Q46</f>
        <v>0.11</v>
      </c>
      <c r="AE42" s="641">
        <f>+'1.Informe Seguimiento POA 2022'!R46</f>
        <v>0.11</v>
      </c>
      <c r="AF42" s="641">
        <f>+'1.Informe Seguimiento POA 2022'!S46</f>
        <v>0.15000000000000002</v>
      </c>
      <c r="AG42" s="641">
        <f>+'1.Informe Seguimiento POA 2022'!T46</f>
        <v>0.2</v>
      </c>
      <c r="AH42" s="641">
        <f>+'1.Informe Seguimiento POA 2022'!U46</f>
        <v>0.09</v>
      </c>
      <c r="AI42" s="641">
        <f>+'1.Informe Seguimiento POA 2022'!V46</f>
        <v>0.09</v>
      </c>
      <c r="AJ42" s="641">
        <f>+'1.Informe Seguimiento POA 2022'!X46</f>
        <v>0.4</v>
      </c>
      <c r="AK42" s="641">
        <f>+'1.Informe Seguimiento POA 2022'!Y46</f>
        <v>0.4</v>
      </c>
      <c r="AL42" s="678">
        <f>+'1.Informe Seguimiento POA 2022'!Z46</f>
        <v>1</v>
      </c>
      <c r="AM42" s="1304"/>
      <c r="AN42" s="694"/>
      <c r="AO42" s="694"/>
      <c r="AP42" s="694"/>
      <c r="AQ42" s="694"/>
      <c r="AR42" s="694"/>
      <c r="AS42" s="694"/>
      <c r="AT42" s="694"/>
      <c r="AU42" s="694"/>
      <c r="AV42" s="641">
        <f t="shared" si="23"/>
        <v>0.3</v>
      </c>
      <c r="AW42" s="641"/>
      <c r="AX42" s="694"/>
      <c r="AY42" s="694"/>
      <c r="AZ42" s="694"/>
      <c r="BA42" s="694"/>
      <c r="BB42" s="694"/>
      <c r="BC42" s="694"/>
      <c r="BD42" s="694"/>
      <c r="BE42" s="694"/>
      <c r="BF42" s="694"/>
      <c r="BG42" s="641">
        <f t="shared" si="24"/>
        <v>0.1</v>
      </c>
      <c r="BH42" s="641"/>
      <c r="BI42" s="694"/>
      <c r="BJ42" s="700">
        <f t="shared" si="25"/>
        <v>0.6</v>
      </c>
      <c r="BK42" s="700">
        <f t="shared" si="25"/>
        <v>0.6</v>
      </c>
      <c r="BL42" s="627">
        <f t="shared" si="15"/>
        <v>1</v>
      </c>
      <c r="BM42" s="627">
        <f t="shared" si="6"/>
        <v>0.6</v>
      </c>
      <c r="BN42" s="915">
        <f t="shared" si="22"/>
        <v>0.42</v>
      </c>
      <c r="BO42" s="1201"/>
      <c r="BP42" s="1139"/>
      <c r="BQ42" s="713"/>
      <c r="BR42" s="713"/>
    </row>
    <row r="43" spans="2:70" ht="61.5" customHeight="1">
      <c r="B43" s="1118"/>
      <c r="C43" s="1247"/>
      <c r="D43" s="1258"/>
      <c r="E43" s="1289"/>
      <c r="F43" s="1247"/>
      <c r="G43" s="989"/>
      <c r="H43" s="37" t="str">
        <f>+'1.Informe Seguimiento POA 2022'!D47</f>
        <v xml:space="preserve">3.4.3 Diseñar e implementar una relatoría de las decisiones de fondo adoptadas en ejercicio de la potestad disciplinaria  </v>
      </c>
      <c r="I43" s="682">
        <f>+'1.Informe Seguimiento POA 2022'!E47</f>
        <v>0.1</v>
      </c>
      <c r="J43" s="624">
        <f>+'1.Informe Seguimiento POA 2022'!F47</f>
        <v>1</v>
      </c>
      <c r="K43" s="683" t="str">
        <f>+'1.Informe Seguimiento POA 2022'!I47</f>
        <v>Potestad Disciplinaria</v>
      </c>
      <c r="L43" s="683" t="str">
        <f>+'1.Informe Seguimiento POA 2022'!J47</f>
        <v>Personería Delegada para la Coordinación de Potestad Disciplinaria</v>
      </c>
      <c r="M43" s="676">
        <f>+'1.Informe Seguimiento POA 2022'!K47</f>
        <v>0.1</v>
      </c>
      <c r="N43" s="676">
        <f>+'1.Informe Seguimiento POA 2022'!L47</f>
        <v>0.3</v>
      </c>
      <c r="O43" s="676">
        <f>+'1.Informe Seguimiento POA 2022'!M47</f>
        <v>0.4</v>
      </c>
      <c r="P43" s="676">
        <f>+'1.Informe Seguimiento POA 2022'!N47</f>
        <v>0.2</v>
      </c>
      <c r="Q43" s="641">
        <v>0</v>
      </c>
      <c r="R43" s="641">
        <v>0</v>
      </c>
      <c r="S43" s="641">
        <v>0.02</v>
      </c>
      <c r="T43" s="641">
        <v>0.02</v>
      </c>
      <c r="U43" s="641">
        <v>0.05</v>
      </c>
      <c r="V43" s="641">
        <v>0.05</v>
      </c>
      <c r="W43" s="641">
        <v>0.03</v>
      </c>
      <c r="X43" s="641">
        <v>0.03</v>
      </c>
      <c r="Y43" s="641">
        <v>0.1</v>
      </c>
      <c r="Z43" s="641">
        <v>0.1</v>
      </c>
      <c r="AA43" s="893">
        <v>1</v>
      </c>
      <c r="AB43" s="641">
        <f>+'1.Informe Seguimiento POA 2022'!O47</f>
        <v>0.06</v>
      </c>
      <c r="AC43" s="641">
        <f>+'1.Informe Seguimiento POA 2022'!P47</f>
        <v>0.06</v>
      </c>
      <c r="AD43" s="641">
        <f>+'1.Informe Seguimiento POA 2022'!Q47</f>
        <v>0.09</v>
      </c>
      <c r="AE43" s="641">
        <f>+'1.Informe Seguimiento POA 2022'!R47</f>
        <v>0.09</v>
      </c>
      <c r="AF43" s="641">
        <f>+'1.Informe Seguimiento POA 2022'!S47</f>
        <v>0.09</v>
      </c>
      <c r="AG43" s="641">
        <f>+'1.Informe Seguimiento POA 2022'!T47</f>
        <v>0.09</v>
      </c>
      <c r="AH43" s="641">
        <f>+'1.Informe Seguimiento POA 2022'!U47</f>
        <v>0.06</v>
      </c>
      <c r="AI43" s="641">
        <f>+'1.Informe Seguimiento POA 2022'!V47</f>
        <v>6.0000000000000005E-2</v>
      </c>
      <c r="AJ43" s="641">
        <f>+'1.Informe Seguimiento POA 2022'!X47</f>
        <v>0.3</v>
      </c>
      <c r="AK43" s="641">
        <f>+'1.Informe Seguimiento POA 2022'!Y47</f>
        <v>0.3</v>
      </c>
      <c r="AL43" s="678">
        <f>+'1.Informe Seguimiento POA 2022'!Z47</f>
        <v>1</v>
      </c>
      <c r="AM43" s="1305"/>
      <c r="AN43" s="694"/>
      <c r="AO43" s="694"/>
      <c r="AP43" s="694"/>
      <c r="AQ43" s="694"/>
      <c r="AR43" s="694"/>
      <c r="AS43" s="694"/>
      <c r="AT43" s="694"/>
      <c r="AU43" s="694"/>
      <c r="AV43" s="641">
        <f t="shared" si="23"/>
        <v>0.4</v>
      </c>
      <c r="AW43" s="641"/>
      <c r="AX43" s="694"/>
      <c r="AY43" s="694"/>
      <c r="AZ43" s="694"/>
      <c r="BA43" s="694"/>
      <c r="BB43" s="694"/>
      <c r="BC43" s="694"/>
      <c r="BD43" s="694"/>
      <c r="BE43" s="694"/>
      <c r="BF43" s="694"/>
      <c r="BG43" s="641">
        <f t="shared" si="24"/>
        <v>0.2</v>
      </c>
      <c r="BH43" s="641"/>
      <c r="BI43" s="694"/>
      <c r="BJ43" s="700">
        <f t="shared" si="25"/>
        <v>0.39999999999999997</v>
      </c>
      <c r="BK43" s="700">
        <f t="shared" si="25"/>
        <v>0.39999999999999997</v>
      </c>
      <c r="BL43" s="627">
        <f t="shared" si="15"/>
        <v>1</v>
      </c>
      <c r="BM43" s="627">
        <f t="shared" si="6"/>
        <v>0.39999999999999997</v>
      </c>
      <c r="BN43" s="915">
        <f t="shared" si="22"/>
        <v>0.04</v>
      </c>
      <c r="BO43" s="1201"/>
      <c r="BP43" s="1140"/>
      <c r="BQ43" s="713"/>
      <c r="BR43" s="713"/>
    </row>
    <row r="44" spans="2:70" ht="75" customHeight="1">
      <c r="B44" s="1136" t="str">
        <f>+'Matriz PEI 2021-2024'!B20</f>
        <v xml:space="preserve">4. Fortalecer la gestión institucional a través del uso y apropiación de tecnologías de la información y las comunicaciones, la aplicación de buenas prácticas, un Talento Humano y una infraestructura adecuados para la prestación del servicio. </v>
      </c>
      <c r="C44" s="1211" t="str">
        <f>+'Matriz PEI 2021-2024'!C20</f>
        <v>4.1. Implementar el 100% de las acciones que impulsen el crecimiento del Modelo de Madurez de Transformación Digital de la Entidad, aplicando los principios , lineamientos y normas que lo enmarcan.</v>
      </c>
      <c r="D44" s="1262">
        <f>+'Matriz PEI 2021-2024'!E20</f>
        <v>1</v>
      </c>
      <c r="E44" s="1262">
        <f>+'Matriz PEI 2021-2024'!D20</f>
        <v>0.15</v>
      </c>
      <c r="F44" s="1211" t="s">
        <v>951</v>
      </c>
      <c r="G44" s="1211" t="s">
        <v>952</v>
      </c>
      <c r="H44" s="630" t="str">
        <f>+'1.Informe Seguimiento POA 2022'!D48</f>
        <v>4.1.1 Implementar el 100 % de los proyectos de hoja de ruta del Plan Estratégico de Tecnología de la Información de tal forma que se optimicen los procesos de la Entidad</v>
      </c>
      <c r="I44" s="124">
        <f>+'1.Informe Seguimiento POA 2022'!E48</f>
        <v>0.14000000000000001</v>
      </c>
      <c r="J44" s="684">
        <f>+'1.Informe Seguimiento POA 2022'!F48</f>
        <v>1</v>
      </c>
      <c r="K44" s="632" t="str">
        <f>+'1.Informe Seguimiento POA 2022'!I48</f>
        <v>Direccionamiento TIC</v>
      </c>
      <c r="L44" s="633" t="str">
        <f>+'1.Informe Seguimiento POA 2022'!J48</f>
        <v>Dirección de Tecnologías de la  Información y las Comunicaciones</v>
      </c>
      <c r="M44" s="140">
        <f>+'1.Informe Seguimiento POA 2022'!K48</f>
        <v>0.3</v>
      </c>
      <c r="N44" s="140">
        <f>+'1.Informe Seguimiento POA 2022'!L48</f>
        <v>0.4</v>
      </c>
      <c r="O44" s="140">
        <f>+'1.Informe Seguimiento POA 2022'!M48</f>
        <v>0.25</v>
      </c>
      <c r="P44" s="140">
        <f>+'1.Informe Seguimiento POA 2022'!N48</f>
        <v>0.05</v>
      </c>
      <c r="Q44" s="642">
        <v>0.06</v>
      </c>
      <c r="R44" s="642">
        <v>0.06</v>
      </c>
      <c r="S44" s="642">
        <v>0.09</v>
      </c>
      <c r="T44" s="642">
        <v>0.09</v>
      </c>
      <c r="U44" s="642">
        <v>0.09</v>
      </c>
      <c r="V44" s="688">
        <v>0.09</v>
      </c>
      <c r="W44" s="642">
        <v>6.0000000000000005E-2</v>
      </c>
      <c r="X44" s="688">
        <v>6.0000000000000005E-2</v>
      </c>
      <c r="Y44" s="642">
        <v>0.3</v>
      </c>
      <c r="Z44" s="643">
        <v>0.3</v>
      </c>
      <c r="AA44" s="642">
        <v>1</v>
      </c>
      <c r="AB44" s="642">
        <f>+'1.Informe Seguimiento POA 2022'!O48</f>
        <v>7.0000000000000007E-2</v>
      </c>
      <c r="AC44" s="642">
        <f>+'1.Informe Seguimiento POA 2022'!P48</f>
        <v>7.0000000000000007E-2</v>
      </c>
      <c r="AD44" s="642">
        <f>+'1.Informe Seguimiento POA 2022'!Q48</f>
        <v>0.13</v>
      </c>
      <c r="AE44" s="642">
        <f>+'1.Informe Seguimiento POA 2022'!R48</f>
        <v>0.13</v>
      </c>
      <c r="AF44" s="642">
        <f>+'1.Informe Seguimiento POA 2022'!S48</f>
        <v>0.13</v>
      </c>
      <c r="AG44" s="688">
        <f>+'1.Informe Seguimiento POA 2022'!T48</f>
        <v>0.13</v>
      </c>
      <c r="AH44" s="642">
        <f>+'1.Informe Seguimiento POA 2022'!U48</f>
        <v>7.0000000000000007E-2</v>
      </c>
      <c r="AI44" s="688">
        <f>+'1.Informe Seguimiento POA 2022'!V48</f>
        <v>7.0000000000000007E-2</v>
      </c>
      <c r="AJ44" s="642">
        <f>+'1.Informe Seguimiento POA 2022'!X48</f>
        <v>0.4</v>
      </c>
      <c r="AK44" s="643">
        <f>+'1.Informe Seguimiento POA 2022'!Y48</f>
        <v>0.4</v>
      </c>
      <c r="AL44" s="642">
        <f>+'1.Informe Seguimiento POA 2022'!Z48</f>
        <v>1</v>
      </c>
      <c r="AM44" s="1220">
        <f>'1.Informe Seguimiento POA 2022'!AC48</f>
        <v>0.4</v>
      </c>
      <c r="AN44" s="642"/>
      <c r="AO44" s="642"/>
      <c r="AP44" s="642"/>
      <c r="AQ44" s="642"/>
      <c r="AR44" s="642"/>
      <c r="AS44" s="642"/>
      <c r="AT44" s="642"/>
      <c r="AU44" s="642"/>
      <c r="AV44" s="642">
        <f t="shared" si="23"/>
        <v>0.25</v>
      </c>
      <c r="AW44" s="642"/>
      <c r="AX44" s="642"/>
      <c r="AY44" s="642"/>
      <c r="AZ44" s="642"/>
      <c r="BA44" s="642"/>
      <c r="BB44" s="642"/>
      <c r="BC44" s="642"/>
      <c r="BD44" s="642"/>
      <c r="BE44" s="642"/>
      <c r="BF44" s="642"/>
      <c r="BG44" s="642">
        <f t="shared" si="24"/>
        <v>0.05</v>
      </c>
      <c r="BH44" s="642"/>
      <c r="BI44" s="642"/>
      <c r="BJ44" s="684">
        <f t="shared" si="25"/>
        <v>0.7</v>
      </c>
      <c r="BK44" s="684">
        <f t="shared" si="25"/>
        <v>0.7</v>
      </c>
      <c r="BL44" s="698">
        <f t="shared" si="15"/>
        <v>1</v>
      </c>
      <c r="BM44" s="636">
        <f t="shared" si="6"/>
        <v>0.7</v>
      </c>
      <c r="BN44" s="917">
        <f t="shared" si="22"/>
        <v>9.8000000000000004E-2</v>
      </c>
      <c r="BO44" s="1214">
        <f>SUM(BN44:BN50)</f>
        <v>0.7</v>
      </c>
      <c r="BP44" s="1133">
        <f>((IF(AND(BO44&gt;0,E44&gt;0),BO44*E44))+(IF(AND(BO51&gt;0,E51&gt;0),BO51*E51))+(IF(AND(BO57&gt;0,E57&gt;0),BO57*E57))+(IF(AND(BO65&gt;0,E65&gt;0),BO65*E65))+(IF(AND(BO83&gt;0,E83&gt;0),BO83*E83))+(IF(AND(BO89&gt;0,E89&gt;0),BO89*E89))+(IF(AND(BO91&gt;0,E91&gt;0),BO91*E91)))</f>
        <v>0.6796724398821552</v>
      </c>
      <c r="BQ44" s="715"/>
      <c r="BR44" s="715"/>
    </row>
    <row r="45" spans="2:70" ht="80.25" customHeight="1">
      <c r="B45" s="1136"/>
      <c r="C45" s="1212"/>
      <c r="D45" s="1263"/>
      <c r="E45" s="1273"/>
      <c r="F45" s="1212"/>
      <c r="G45" s="1212"/>
      <c r="H45" s="630" t="str">
        <f>+'1.Informe Seguimiento POA 2022'!D49</f>
        <v>4.1.2 Ejecutar en un 100 % las actividades programadas en el plan de Seguridad de la Información, garantizando la disponibilidad, confiabilidad e integridad de los activos de información</v>
      </c>
      <c r="I45" s="124">
        <f>+'1.Informe Seguimiento POA 2022'!E49</f>
        <v>0.14000000000000001</v>
      </c>
      <c r="J45" s="684">
        <f>+'1.Informe Seguimiento POA 2022'!F49</f>
        <v>1</v>
      </c>
      <c r="K45" s="632" t="str">
        <f>+'1.Informe Seguimiento POA 2022'!I49</f>
        <v>Direccionamiento TIC</v>
      </c>
      <c r="L45" s="633" t="str">
        <f>+'1.Informe Seguimiento POA 2022'!J49</f>
        <v>Dirección de Tecnologías de la  Información y las Comunicaciones</v>
      </c>
      <c r="M45" s="140">
        <f>+'1.Informe Seguimiento POA 2022'!K49</f>
        <v>0.3</v>
      </c>
      <c r="N45" s="140">
        <f>+'1.Informe Seguimiento POA 2022'!L49</f>
        <v>0.4</v>
      </c>
      <c r="O45" s="140">
        <f>+'1.Informe Seguimiento POA 2022'!M49</f>
        <v>0.25</v>
      </c>
      <c r="P45" s="140">
        <f>+'1.Informe Seguimiento POA 2022'!N49</f>
        <v>0.05</v>
      </c>
      <c r="Q45" s="642">
        <v>0.06</v>
      </c>
      <c r="R45" s="642">
        <v>0.06</v>
      </c>
      <c r="S45" s="642">
        <v>0.09</v>
      </c>
      <c r="T45" s="642">
        <v>0.09</v>
      </c>
      <c r="U45" s="642">
        <v>0.09</v>
      </c>
      <c r="V45" s="688">
        <v>0.09</v>
      </c>
      <c r="W45" s="642">
        <v>0.06</v>
      </c>
      <c r="X45" s="688">
        <v>0.06</v>
      </c>
      <c r="Y45" s="642">
        <v>0.3</v>
      </c>
      <c r="Z45" s="643">
        <v>0.3</v>
      </c>
      <c r="AA45" s="642">
        <v>1</v>
      </c>
      <c r="AB45" s="642">
        <f>+'1.Informe Seguimiento POA 2022'!O49</f>
        <v>7.0000000000000007E-2</v>
      </c>
      <c r="AC45" s="642">
        <f>+'1.Informe Seguimiento POA 2022'!P49</f>
        <v>7.0000000000000007E-2</v>
      </c>
      <c r="AD45" s="642">
        <f>+'1.Informe Seguimiento POA 2022'!Q49</f>
        <v>0.13</v>
      </c>
      <c r="AE45" s="642">
        <f>+'1.Informe Seguimiento POA 2022'!R49</f>
        <v>0.13</v>
      </c>
      <c r="AF45" s="642">
        <f>+'1.Informe Seguimiento POA 2022'!S49</f>
        <v>0.13</v>
      </c>
      <c r="AG45" s="688">
        <f>+'1.Informe Seguimiento POA 2022'!T49</f>
        <v>0.13</v>
      </c>
      <c r="AH45" s="642">
        <f>+'1.Informe Seguimiento POA 2022'!U49</f>
        <v>7.0000000000000007E-2</v>
      </c>
      <c r="AI45" s="688">
        <f>+'1.Informe Seguimiento POA 2022'!V49</f>
        <v>7.0000000000000007E-2</v>
      </c>
      <c r="AJ45" s="642">
        <f>+'1.Informe Seguimiento POA 2022'!X49</f>
        <v>0.4</v>
      </c>
      <c r="AK45" s="643">
        <f>+'1.Informe Seguimiento POA 2022'!Y49</f>
        <v>0.4</v>
      </c>
      <c r="AL45" s="642">
        <f>+'1.Informe Seguimiento POA 2022'!Z49</f>
        <v>1</v>
      </c>
      <c r="AM45" s="1221"/>
      <c r="AN45" s="642"/>
      <c r="AO45" s="642"/>
      <c r="AP45" s="642"/>
      <c r="AQ45" s="642"/>
      <c r="AR45" s="642"/>
      <c r="AS45" s="642"/>
      <c r="AT45" s="642"/>
      <c r="AU45" s="642"/>
      <c r="AV45" s="642">
        <f t="shared" si="23"/>
        <v>0.25</v>
      </c>
      <c r="AW45" s="642"/>
      <c r="AX45" s="642"/>
      <c r="AY45" s="642"/>
      <c r="AZ45" s="642"/>
      <c r="BA45" s="642"/>
      <c r="BB45" s="642"/>
      <c r="BC45" s="642"/>
      <c r="BD45" s="642"/>
      <c r="BE45" s="642"/>
      <c r="BF45" s="642"/>
      <c r="BG45" s="642">
        <f t="shared" si="24"/>
        <v>0.05</v>
      </c>
      <c r="BH45" s="642"/>
      <c r="BI45" s="642"/>
      <c r="BJ45" s="684">
        <f t="shared" ref="BJ45:BJ50" si="26">Q45+S45+U45+W45+AB45+AD45+AF45+AH45</f>
        <v>0.7</v>
      </c>
      <c r="BK45" s="684">
        <f t="shared" ref="BK45:BK50" si="27">R45+T45+V45+X45+AC45+AE45+AG45+AI45</f>
        <v>0.7</v>
      </c>
      <c r="BL45" s="698">
        <f t="shared" si="15"/>
        <v>1</v>
      </c>
      <c r="BM45" s="636">
        <f t="shared" si="6"/>
        <v>0.7</v>
      </c>
      <c r="BN45" s="917">
        <f t="shared" si="22"/>
        <v>9.8000000000000004E-2</v>
      </c>
      <c r="BO45" s="1215"/>
      <c r="BP45" s="1134"/>
      <c r="BQ45" s="715"/>
      <c r="BR45" s="715"/>
    </row>
    <row r="46" spans="2:70" ht="111" customHeight="1">
      <c r="B46" s="1136"/>
      <c r="C46" s="1212"/>
      <c r="D46" s="1263"/>
      <c r="E46" s="1273"/>
      <c r="F46" s="1212"/>
      <c r="G46" s="1212"/>
      <c r="H46" s="630" t="str">
        <f>+'1.Informe Seguimiento POA 2022'!D50</f>
        <v>4.1.3 Realizar el 100% de las actividades definidas en la estrategia de servicios ciudadanos digitales, que permitan acceder a los tramites y servicios de la Entidad a través de canales digitales rápidos, fiables y seguros</v>
      </c>
      <c r="I46" s="124">
        <f>+'1.Informe Seguimiento POA 2022'!E50</f>
        <v>0.14000000000000001</v>
      </c>
      <c r="J46" s="684">
        <f>+'1.Informe Seguimiento POA 2022'!F50</f>
        <v>1</v>
      </c>
      <c r="K46" s="632" t="str">
        <f>+'1.Informe Seguimiento POA 2022'!I50</f>
        <v>Direccionamiento TIC</v>
      </c>
      <c r="L46" s="633" t="str">
        <f>+'1.Informe Seguimiento POA 2022'!J50</f>
        <v>Dirección de Tecnologías de la  Información y las Comunicaciones</v>
      </c>
      <c r="M46" s="140">
        <f>+'1.Informe Seguimiento POA 2022'!K50</f>
        <v>0.3</v>
      </c>
      <c r="N46" s="140">
        <f>+'1.Informe Seguimiento POA 2022'!L50</f>
        <v>0.4</v>
      </c>
      <c r="O46" s="140">
        <f>+'1.Informe Seguimiento POA 2022'!M50</f>
        <v>0.25</v>
      </c>
      <c r="P46" s="140">
        <f>+'1.Informe Seguimiento POA 2022'!N50</f>
        <v>0.05</v>
      </c>
      <c r="Q46" s="642">
        <v>0.05</v>
      </c>
      <c r="R46" s="642">
        <v>0.05</v>
      </c>
      <c r="S46" s="642">
        <v>0.09</v>
      </c>
      <c r="T46" s="642">
        <v>0.09</v>
      </c>
      <c r="U46" s="642">
        <v>0.09</v>
      </c>
      <c r="V46" s="688">
        <v>0.09</v>
      </c>
      <c r="W46" s="642">
        <v>7.0000000000000007E-2</v>
      </c>
      <c r="X46" s="688">
        <v>7.0000000000000007E-2</v>
      </c>
      <c r="Y46" s="642">
        <v>0.30000000000000004</v>
      </c>
      <c r="Z46" s="643">
        <v>0.30000000000000004</v>
      </c>
      <c r="AA46" s="642">
        <v>1</v>
      </c>
      <c r="AB46" s="642">
        <f>+'1.Informe Seguimiento POA 2022'!O50</f>
        <v>7.0000000000000007E-2</v>
      </c>
      <c r="AC46" s="642">
        <f>+'1.Informe Seguimiento POA 2022'!P50</f>
        <v>7.0000000000000007E-2</v>
      </c>
      <c r="AD46" s="642">
        <f>+'1.Informe Seguimiento POA 2022'!Q50</f>
        <v>0.13</v>
      </c>
      <c r="AE46" s="642">
        <f>+'1.Informe Seguimiento POA 2022'!R50</f>
        <v>0.13</v>
      </c>
      <c r="AF46" s="642">
        <f>+'1.Informe Seguimiento POA 2022'!S50</f>
        <v>0.13</v>
      </c>
      <c r="AG46" s="688">
        <f>+'1.Informe Seguimiento POA 2022'!T50</f>
        <v>0.13</v>
      </c>
      <c r="AH46" s="642">
        <f>+'1.Informe Seguimiento POA 2022'!U50</f>
        <v>7.0000000000000007E-2</v>
      </c>
      <c r="AI46" s="688">
        <f>+'1.Informe Seguimiento POA 2022'!V50</f>
        <v>7.0000000000000007E-2</v>
      </c>
      <c r="AJ46" s="642">
        <f>+'1.Informe Seguimiento POA 2022'!X50</f>
        <v>0.4</v>
      </c>
      <c r="AK46" s="643">
        <f>+'1.Informe Seguimiento POA 2022'!Y50</f>
        <v>0.4</v>
      </c>
      <c r="AL46" s="642">
        <f>+'1.Informe Seguimiento POA 2022'!Z50</f>
        <v>1</v>
      </c>
      <c r="AM46" s="1221"/>
      <c r="AN46" s="642"/>
      <c r="AO46" s="642"/>
      <c r="AP46" s="642"/>
      <c r="AQ46" s="642"/>
      <c r="AR46" s="642"/>
      <c r="AS46" s="642"/>
      <c r="AT46" s="642"/>
      <c r="AU46" s="642"/>
      <c r="AV46" s="642">
        <f t="shared" si="23"/>
        <v>0.25</v>
      </c>
      <c r="AW46" s="642"/>
      <c r="AX46" s="642"/>
      <c r="AY46" s="642"/>
      <c r="AZ46" s="642"/>
      <c r="BA46" s="642"/>
      <c r="BB46" s="642"/>
      <c r="BC46" s="642"/>
      <c r="BD46" s="642"/>
      <c r="BE46" s="642"/>
      <c r="BF46" s="642"/>
      <c r="BG46" s="642">
        <f t="shared" si="24"/>
        <v>0.05</v>
      </c>
      <c r="BH46" s="642"/>
      <c r="BI46" s="642"/>
      <c r="BJ46" s="684">
        <f t="shared" si="26"/>
        <v>0.7</v>
      </c>
      <c r="BK46" s="684">
        <f t="shared" si="27"/>
        <v>0.7</v>
      </c>
      <c r="BL46" s="698">
        <f t="shared" si="15"/>
        <v>1</v>
      </c>
      <c r="BM46" s="636">
        <f t="shared" si="6"/>
        <v>0.7</v>
      </c>
      <c r="BN46" s="917">
        <f t="shared" si="22"/>
        <v>9.8000000000000004E-2</v>
      </c>
      <c r="BO46" s="1215"/>
      <c r="BP46" s="1134"/>
      <c r="BQ46" s="715"/>
      <c r="BR46" s="715"/>
    </row>
    <row r="47" spans="2:70" ht="82.5" customHeight="1">
      <c r="B47" s="1136"/>
      <c r="C47" s="1212"/>
      <c r="D47" s="1263"/>
      <c r="E47" s="1273"/>
      <c r="F47" s="1212"/>
      <c r="G47" s="1212"/>
      <c r="H47" s="630" t="str">
        <f>+'1.Informe Seguimiento POA 2022'!D51</f>
        <v>4.1.4 Implementar en un 100% los lineamientos que adopte la Entidad para mejorar la gestión de datos que facilite la toma de decisiones</v>
      </c>
      <c r="I47" s="124">
        <f>+'1.Informe Seguimiento POA 2022'!E51</f>
        <v>0.14000000000000001</v>
      </c>
      <c r="J47" s="684">
        <f>+'1.Informe Seguimiento POA 2022'!F51</f>
        <v>1</v>
      </c>
      <c r="K47" s="632" t="str">
        <f>+'1.Informe Seguimiento POA 2022'!I51</f>
        <v>Direccionamiento TIC</v>
      </c>
      <c r="L47" s="633" t="str">
        <f>+'1.Informe Seguimiento POA 2022'!J51</f>
        <v>Dirección de Tecnologías de la  Información y las Comunicaciones</v>
      </c>
      <c r="M47" s="140">
        <f>+'1.Informe Seguimiento POA 2022'!K51</f>
        <v>0.3</v>
      </c>
      <c r="N47" s="140">
        <f>+'1.Informe Seguimiento POA 2022'!L51</f>
        <v>0.4</v>
      </c>
      <c r="O47" s="140">
        <f>+'1.Informe Seguimiento POA 2022'!M51</f>
        <v>0.25</v>
      </c>
      <c r="P47" s="140">
        <f>+'1.Informe Seguimiento POA 2022'!N51</f>
        <v>0.05</v>
      </c>
      <c r="Q47" s="642">
        <v>0.05</v>
      </c>
      <c r="R47" s="642">
        <v>0.05</v>
      </c>
      <c r="S47" s="642">
        <v>0.09</v>
      </c>
      <c r="T47" s="642">
        <v>0.09</v>
      </c>
      <c r="U47" s="642">
        <v>0.09</v>
      </c>
      <c r="V47" s="688">
        <v>0.09</v>
      </c>
      <c r="W47" s="642">
        <v>7.0000000000000007E-2</v>
      </c>
      <c r="X47" s="688">
        <v>7.0000000000000007E-2</v>
      </c>
      <c r="Y47" s="642">
        <v>0.30000000000000004</v>
      </c>
      <c r="Z47" s="643">
        <v>0.30000000000000004</v>
      </c>
      <c r="AA47" s="642">
        <v>1</v>
      </c>
      <c r="AB47" s="642">
        <f>+'1.Informe Seguimiento POA 2022'!O51</f>
        <v>7.0000000000000007E-2</v>
      </c>
      <c r="AC47" s="642">
        <f>+'1.Informe Seguimiento POA 2022'!P51</f>
        <v>7.0000000000000007E-2</v>
      </c>
      <c r="AD47" s="642">
        <f>+'1.Informe Seguimiento POA 2022'!Q51</f>
        <v>0.13</v>
      </c>
      <c r="AE47" s="642">
        <f>+'1.Informe Seguimiento POA 2022'!R51</f>
        <v>0.13</v>
      </c>
      <c r="AF47" s="642">
        <f>+'1.Informe Seguimiento POA 2022'!S51</f>
        <v>0.13</v>
      </c>
      <c r="AG47" s="688">
        <f>+'1.Informe Seguimiento POA 2022'!T51</f>
        <v>0.13</v>
      </c>
      <c r="AH47" s="642">
        <f>+'1.Informe Seguimiento POA 2022'!U51</f>
        <v>7.0000000000000007E-2</v>
      </c>
      <c r="AI47" s="688">
        <f>+'1.Informe Seguimiento POA 2022'!V51</f>
        <v>7.0000000000000007E-2</v>
      </c>
      <c r="AJ47" s="642">
        <f>+'1.Informe Seguimiento POA 2022'!X51</f>
        <v>0.4</v>
      </c>
      <c r="AK47" s="643">
        <f>+'1.Informe Seguimiento POA 2022'!Y51</f>
        <v>0.4</v>
      </c>
      <c r="AL47" s="642">
        <f>+'1.Informe Seguimiento POA 2022'!Z51</f>
        <v>1</v>
      </c>
      <c r="AM47" s="1221"/>
      <c r="AN47" s="642"/>
      <c r="AO47" s="642"/>
      <c r="AP47" s="642"/>
      <c r="AQ47" s="642"/>
      <c r="AR47" s="642"/>
      <c r="AS47" s="642"/>
      <c r="AT47" s="642"/>
      <c r="AU47" s="642"/>
      <c r="AV47" s="642">
        <f t="shared" si="23"/>
        <v>0.25</v>
      </c>
      <c r="AW47" s="642"/>
      <c r="AX47" s="642"/>
      <c r="AY47" s="642"/>
      <c r="AZ47" s="642"/>
      <c r="BA47" s="642"/>
      <c r="BB47" s="642"/>
      <c r="BC47" s="642"/>
      <c r="BD47" s="642"/>
      <c r="BE47" s="642"/>
      <c r="BF47" s="642"/>
      <c r="BG47" s="642">
        <f t="shared" si="24"/>
        <v>0.05</v>
      </c>
      <c r="BH47" s="642"/>
      <c r="BI47" s="642"/>
      <c r="BJ47" s="684">
        <f t="shared" si="26"/>
        <v>0.7</v>
      </c>
      <c r="BK47" s="684">
        <f t="shared" si="27"/>
        <v>0.7</v>
      </c>
      <c r="BL47" s="698">
        <f t="shared" si="15"/>
        <v>1</v>
      </c>
      <c r="BM47" s="636">
        <f t="shared" si="6"/>
        <v>0.7</v>
      </c>
      <c r="BN47" s="917">
        <f t="shared" si="22"/>
        <v>9.8000000000000004E-2</v>
      </c>
      <c r="BO47" s="1215"/>
      <c r="BP47" s="1134"/>
      <c r="BQ47" s="715"/>
      <c r="BR47" s="715"/>
    </row>
    <row r="48" spans="2:70" ht="94.5" customHeight="1">
      <c r="B48" s="1136"/>
      <c r="C48" s="1212"/>
      <c r="D48" s="1263"/>
      <c r="E48" s="1273"/>
      <c r="F48" s="1212"/>
      <c r="G48" s="1212"/>
      <c r="H48" s="630" t="str">
        <f>+'1.Informe Seguimiento POA 2022'!D52</f>
        <v>4.1.5 Desarrollar el 100% de los requerimientos prioritarios a Sistemas de Información y de apoyo que garanticen el óptimo desempeño de la gestión de los procesos en la Entidad</v>
      </c>
      <c r="I48" s="124">
        <f>+'1.Informe Seguimiento POA 2022'!E52</f>
        <v>0.14000000000000001</v>
      </c>
      <c r="J48" s="684">
        <f>+'1.Informe Seguimiento POA 2022'!F52</f>
        <v>1</v>
      </c>
      <c r="K48" s="632" t="str">
        <f>+'1.Informe Seguimiento POA 2022'!I52</f>
        <v>Direccionamiento TIC</v>
      </c>
      <c r="L48" s="633" t="str">
        <f>+'1.Informe Seguimiento POA 2022'!J52</f>
        <v>Dirección de Tecnologías de la  Información y las Comunicaciones</v>
      </c>
      <c r="M48" s="140">
        <f>+'1.Informe Seguimiento POA 2022'!K52</f>
        <v>0.3</v>
      </c>
      <c r="N48" s="140">
        <f>+'1.Informe Seguimiento POA 2022'!L52</f>
        <v>0.4</v>
      </c>
      <c r="O48" s="140">
        <f>+'1.Informe Seguimiento POA 2022'!M52</f>
        <v>0.25</v>
      </c>
      <c r="P48" s="140">
        <f>+'1.Informe Seguimiento POA 2022'!N52</f>
        <v>0.05</v>
      </c>
      <c r="Q48" s="642">
        <v>0.05</v>
      </c>
      <c r="R48" s="642">
        <v>0.05</v>
      </c>
      <c r="S48" s="642">
        <v>0.09</v>
      </c>
      <c r="T48" s="642">
        <v>0.09</v>
      </c>
      <c r="U48" s="642">
        <v>0.09</v>
      </c>
      <c r="V48" s="688">
        <v>0.09</v>
      </c>
      <c r="W48" s="642">
        <v>6.9999999999999993E-2</v>
      </c>
      <c r="X48" s="688">
        <v>6.9999999999999993E-2</v>
      </c>
      <c r="Y48" s="642">
        <v>0.3</v>
      </c>
      <c r="Z48" s="643">
        <v>0.3</v>
      </c>
      <c r="AA48" s="642">
        <v>1</v>
      </c>
      <c r="AB48" s="642">
        <f>+'1.Informe Seguimiento POA 2022'!O52</f>
        <v>7.0000000000000007E-2</v>
      </c>
      <c r="AC48" s="642">
        <f>+'1.Informe Seguimiento POA 2022'!P52</f>
        <v>7.0000000000000007E-2</v>
      </c>
      <c r="AD48" s="642">
        <f>+'1.Informe Seguimiento POA 2022'!Q52</f>
        <v>0.13</v>
      </c>
      <c r="AE48" s="642">
        <f>+'1.Informe Seguimiento POA 2022'!R52</f>
        <v>0.13</v>
      </c>
      <c r="AF48" s="642">
        <f>+'1.Informe Seguimiento POA 2022'!S52</f>
        <v>0.13</v>
      </c>
      <c r="AG48" s="688">
        <f>+'1.Informe Seguimiento POA 2022'!T52</f>
        <v>0.13</v>
      </c>
      <c r="AH48" s="642">
        <f>+'1.Informe Seguimiento POA 2022'!U52</f>
        <v>7.0000000000000007E-2</v>
      </c>
      <c r="AI48" s="688">
        <f>+'1.Informe Seguimiento POA 2022'!V52</f>
        <v>7.0000000000000007E-2</v>
      </c>
      <c r="AJ48" s="642">
        <f>+'1.Informe Seguimiento POA 2022'!X52</f>
        <v>0.4</v>
      </c>
      <c r="AK48" s="643">
        <f>+'1.Informe Seguimiento POA 2022'!Y52</f>
        <v>0.4</v>
      </c>
      <c r="AL48" s="642">
        <f>+'1.Informe Seguimiento POA 2022'!Z52</f>
        <v>1</v>
      </c>
      <c r="AM48" s="1221"/>
      <c r="AN48" s="642"/>
      <c r="AO48" s="642"/>
      <c r="AP48" s="642"/>
      <c r="AQ48" s="642"/>
      <c r="AR48" s="642"/>
      <c r="AS48" s="642"/>
      <c r="AT48" s="642"/>
      <c r="AU48" s="642"/>
      <c r="AV48" s="642">
        <f t="shared" si="23"/>
        <v>0.25</v>
      </c>
      <c r="AW48" s="642"/>
      <c r="AX48" s="642"/>
      <c r="AY48" s="642"/>
      <c r="AZ48" s="642"/>
      <c r="BA48" s="642"/>
      <c r="BB48" s="642"/>
      <c r="BC48" s="642"/>
      <c r="BD48" s="642"/>
      <c r="BE48" s="642"/>
      <c r="BF48" s="642"/>
      <c r="BG48" s="642">
        <f t="shared" si="24"/>
        <v>0.05</v>
      </c>
      <c r="BH48" s="642"/>
      <c r="BI48" s="642"/>
      <c r="BJ48" s="684">
        <f t="shared" si="26"/>
        <v>0.7</v>
      </c>
      <c r="BK48" s="684">
        <f t="shared" si="27"/>
        <v>0.7</v>
      </c>
      <c r="BL48" s="698">
        <f t="shared" si="15"/>
        <v>1</v>
      </c>
      <c r="BM48" s="636">
        <f t="shared" si="6"/>
        <v>0.7</v>
      </c>
      <c r="BN48" s="917">
        <f t="shared" si="22"/>
        <v>9.8000000000000004E-2</v>
      </c>
      <c r="BO48" s="1215"/>
      <c r="BP48" s="1134"/>
      <c r="BQ48" s="715"/>
      <c r="BR48" s="715"/>
    </row>
    <row r="49" spans="2:70" ht="71.25" customHeight="1">
      <c r="B49" s="1136"/>
      <c r="C49" s="1212"/>
      <c r="D49" s="1263"/>
      <c r="E49" s="1273"/>
      <c r="F49" s="1212"/>
      <c r="G49" s="1212"/>
      <c r="H49" s="630" t="str">
        <f>+'1.Informe Seguimiento POA 2022'!D53</f>
        <v>4.1.6 Implementar en un 100% las actividades programadas en el plan de uso y apropiación de las TIC, para una óptima gestión institucional</v>
      </c>
      <c r="I49" s="124">
        <f>+'1.Informe Seguimiento POA 2022'!E53</f>
        <v>0.15</v>
      </c>
      <c r="J49" s="684">
        <f>+'1.Informe Seguimiento POA 2022'!F53</f>
        <v>1</v>
      </c>
      <c r="K49" s="632" t="str">
        <f>+'1.Informe Seguimiento POA 2022'!I53</f>
        <v>Direccionamiento TIC</v>
      </c>
      <c r="L49" s="633" t="str">
        <f>+'1.Informe Seguimiento POA 2022'!J53</f>
        <v>Dirección de Tecnologías de la  Información y las Comunicaciones</v>
      </c>
      <c r="M49" s="140">
        <f>+'1.Informe Seguimiento POA 2022'!K53</f>
        <v>0.3</v>
      </c>
      <c r="N49" s="140">
        <f>+'1.Informe Seguimiento POA 2022'!L53</f>
        <v>0.4</v>
      </c>
      <c r="O49" s="140">
        <f>+'1.Informe Seguimiento POA 2022'!M53</f>
        <v>0.25</v>
      </c>
      <c r="P49" s="140">
        <f>+'1.Informe Seguimiento POA 2022'!N53</f>
        <v>0.05</v>
      </c>
      <c r="Q49" s="642">
        <v>0.05</v>
      </c>
      <c r="R49" s="642">
        <v>0.05</v>
      </c>
      <c r="S49" s="642">
        <v>0.09</v>
      </c>
      <c r="T49" s="642">
        <v>0.09</v>
      </c>
      <c r="U49" s="642">
        <v>0.09</v>
      </c>
      <c r="V49" s="688">
        <v>0.09</v>
      </c>
      <c r="W49" s="642">
        <v>7.0000000000000007E-2</v>
      </c>
      <c r="X49" s="688">
        <v>7.0000000000000007E-2</v>
      </c>
      <c r="Y49" s="642">
        <v>0.30000000000000004</v>
      </c>
      <c r="Z49" s="643">
        <v>0.30000000000000004</v>
      </c>
      <c r="AA49" s="642">
        <v>1</v>
      </c>
      <c r="AB49" s="642">
        <f>+'1.Informe Seguimiento POA 2022'!O53</f>
        <v>7.0000000000000007E-2</v>
      </c>
      <c r="AC49" s="642">
        <f>+'1.Informe Seguimiento POA 2022'!P53</f>
        <v>7.0000000000000007E-2</v>
      </c>
      <c r="AD49" s="642">
        <f>+'1.Informe Seguimiento POA 2022'!Q53</f>
        <v>0.13</v>
      </c>
      <c r="AE49" s="642">
        <f>+'1.Informe Seguimiento POA 2022'!R53</f>
        <v>0.13</v>
      </c>
      <c r="AF49" s="642">
        <f>+'1.Informe Seguimiento POA 2022'!S53</f>
        <v>0.13</v>
      </c>
      <c r="AG49" s="688">
        <f>+'1.Informe Seguimiento POA 2022'!T53</f>
        <v>0.13</v>
      </c>
      <c r="AH49" s="642">
        <f>+'1.Informe Seguimiento POA 2022'!U53</f>
        <v>7.0000000000000007E-2</v>
      </c>
      <c r="AI49" s="688">
        <f>+'1.Informe Seguimiento POA 2022'!V53</f>
        <v>7.0000000000000007E-2</v>
      </c>
      <c r="AJ49" s="642">
        <f>+'1.Informe Seguimiento POA 2022'!X53</f>
        <v>0.4</v>
      </c>
      <c r="AK49" s="643">
        <f>+'1.Informe Seguimiento POA 2022'!Y53</f>
        <v>0.4</v>
      </c>
      <c r="AL49" s="642">
        <f>+'1.Informe Seguimiento POA 2022'!Z53</f>
        <v>1</v>
      </c>
      <c r="AM49" s="1221"/>
      <c r="AN49" s="642"/>
      <c r="AO49" s="642"/>
      <c r="AP49" s="642"/>
      <c r="AQ49" s="642"/>
      <c r="AR49" s="642"/>
      <c r="AS49" s="642"/>
      <c r="AT49" s="642"/>
      <c r="AU49" s="642"/>
      <c r="AV49" s="642">
        <f t="shared" si="23"/>
        <v>0.25</v>
      </c>
      <c r="AW49" s="642"/>
      <c r="AX49" s="642"/>
      <c r="AY49" s="642"/>
      <c r="AZ49" s="642"/>
      <c r="BA49" s="642"/>
      <c r="BB49" s="642"/>
      <c r="BC49" s="642"/>
      <c r="BD49" s="642"/>
      <c r="BE49" s="642"/>
      <c r="BF49" s="642"/>
      <c r="BG49" s="642">
        <f t="shared" si="24"/>
        <v>0.05</v>
      </c>
      <c r="BH49" s="642"/>
      <c r="BI49" s="642"/>
      <c r="BJ49" s="684">
        <f t="shared" si="26"/>
        <v>0.7</v>
      </c>
      <c r="BK49" s="684">
        <f t="shared" si="27"/>
        <v>0.7</v>
      </c>
      <c r="BL49" s="698">
        <f t="shared" si="15"/>
        <v>1</v>
      </c>
      <c r="BM49" s="636">
        <f t="shared" si="6"/>
        <v>0.7</v>
      </c>
      <c r="BN49" s="917">
        <f t="shared" si="22"/>
        <v>0.105</v>
      </c>
      <c r="BO49" s="1215"/>
      <c r="BP49" s="1134"/>
      <c r="BQ49" s="715"/>
      <c r="BR49" s="715"/>
    </row>
    <row r="50" spans="2:70" ht="87.75" customHeight="1">
      <c r="B50" s="1136"/>
      <c r="C50" s="1213"/>
      <c r="D50" s="1264"/>
      <c r="E50" s="1274"/>
      <c r="F50" s="1213"/>
      <c r="G50" s="1213"/>
      <c r="H50" s="630" t="str">
        <f>+'1.Informe Seguimiento POA 2022'!D54</f>
        <v>4.1.7 Optimizar la infraestructura tecnológica cumpliendo el 100% de las actividades de la hoja de ruta proyectada para garantizar la prestación continua de los servicios en la Entidad</v>
      </c>
      <c r="I50" s="124">
        <f>+'1.Informe Seguimiento POA 2022'!E54</f>
        <v>0.15</v>
      </c>
      <c r="J50" s="684">
        <f>+'1.Informe Seguimiento POA 2022'!F54</f>
        <v>1</v>
      </c>
      <c r="K50" s="632" t="str">
        <f>+'1.Informe Seguimiento POA 2022'!I54</f>
        <v>Direccionamiento TIC</v>
      </c>
      <c r="L50" s="633" t="str">
        <f>+'1.Informe Seguimiento POA 2022'!J54</f>
        <v>Dirección de Tecnologías de la  Información y las Comunicaciones</v>
      </c>
      <c r="M50" s="140">
        <f>+'1.Informe Seguimiento POA 2022'!K54</f>
        <v>0.3</v>
      </c>
      <c r="N50" s="140">
        <f>+'1.Informe Seguimiento POA 2022'!L54</f>
        <v>0.4</v>
      </c>
      <c r="O50" s="140">
        <f>+'1.Informe Seguimiento POA 2022'!M54</f>
        <v>0.25</v>
      </c>
      <c r="P50" s="140">
        <f>+'1.Informe Seguimiento POA 2022'!N54</f>
        <v>0.05</v>
      </c>
      <c r="Q50" s="642">
        <v>0.06</v>
      </c>
      <c r="R50" s="642">
        <v>0.06</v>
      </c>
      <c r="S50" s="642">
        <v>0.09</v>
      </c>
      <c r="T50" s="642">
        <v>0.09</v>
      </c>
      <c r="U50" s="642">
        <v>0.09</v>
      </c>
      <c r="V50" s="688">
        <v>0.09</v>
      </c>
      <c r="W50" s="642">
        <v>0.06</v>
      </c>
      <c r="X50" s="688">
        <v>0.06</v>
      </c>
      <c r="Y50" s="642">
        <v>0.3</v>
      </c>
      <c r="Z50" s="643">
        <v>0.3</v>
      </c>
      <c r="AA50" s="642">
        <v>1</v>
      </c>
      <c r="AB50" s="642">
        <f>+'1.Informe Seguimiento POA 2022'!O54</f>
        <v>7.0000000000000007E-2</v>
      </c>
      <c r="AC50" s="642">
        <f>+'1.Informe Seguimiento POA 2022'!P54</f>
        <v>7.0000000000000007E-2</v>
      </c>
      <c r="AD50" s="642">
        <f>+'1.Informe Seguimiento POA 2022'!Q54</f>
        <v>0.13</v>
      </c>
      <c r="AE50" s="642">
        <f>+'1.Informe Seguimiento POA 2022'!R54</f>
        <v>0.13</v>
      </c>
      <c r="AF50" s="642">
        <f>+'1.Informe Seguimiento POA 2022'!S54</f>
        <v>0.13</v>
      </c>
      <c r="AG50" s="688">
        <f>+'1.Informe Seguimiento POA 2022'!T54</f>
        <v>0.13</v>
      </c>
      <c r="AH50" s="642">
        <f>+'1.Informe Seguimiento POA 2022'!U54</f>
        <v>7.0000000000000007E-2</v>
      </c>
      <c r="AI50" s="688">
        <f>+'1.Informe Seguimiento POA 2022'!V54</f>
        <v>7.0000000000000007E-2</v>
      </c>
      <c r="AJ50" s="642">
        <f>+'1.Informe Seguimiento POA 2022'!X54</f>
        <v>0.4</v>
      </c>
      <c r="AK50" s="643">
        <f>+'1.Informe Seguimiento POA 2022'!Y54</f>
        <v>0.4</v>
      </c>
      <c r="AL50" s="642">
        <f>+'1.Informe Seguimiento POA 2022'!Z54</f>
        <v>1</v>
      </c>
      <c r="AM50" s="1222"/>
      <c r="AN50" s="642"/>
      <c r="AO50" s="642"/>
      <c r="AP50" s="642"/>
      <c r="AQ50" s="642"/>
      <c r="AR50" s="642"/>
      <c r="AS50" s="642"/>
      <c r="AT50" s="642"/>
      <c r="AU50" s="642"/>
      <c r="AV50" s="642">
        <f t="shared" si="23"/>
        <v>0.25</v>
      </c>
      <c r="AW50" s="642"/>
      <c r="AX50" s="642"/>
      <c r="AY50" s="642"/>
      <c r="AZ50" s="642"/>
      <c r="BA50" s="642"/>
      <c r="BB50" s="642"/>
      <c r="BC50" s="642"/>
      <c r="BD50" s="642"/>
      <c r="BE50" s="642"/>
      <c r="BF50" s="642"/>
      <c r="BG50" s="642">
        <f t="shared" si="24"/>
        <v>0.05</v>
      </c>
      <c r="BH50" s="642"/>
      <c r="BI50" s="642"/>
      <c r="BJ50" s="684">
        <f t="shared" si="26"/>
        <v>0.7</v>
      </c>
      <c r="BK50" s="684">
        <f t="shared" si="27"/>
        <v>0.7</v>
      </c>
      <c r="BL50" s="698">
        <f t="shared" si="15"/>
        <v>1</v>
      </c>
      <c r="BM50" s="636">
        <f t="shared" si="6"/>
        <v>0.7</v>
      </c>
      <c r="BN50" s="917">
        <f t="shared" si="22"/>
        <v>0.105</v>
      </c>
      <c r="BO50" s="1216"/>
      <c r="BP50" s="1134"/>
      <c r="BQ50" s="715"/>
      <c r="BR50" s="715"/>
    </row>
    <row r="51" spans="2:70" ht="105" customHeight="1">
      <c r="B51" s="1136"/>
      <c r="C51" s="1206" t="str">
        <f>+'Matriz PEI 2021-2024'!C21</f>
        <v>4.2. Consolidar el 90% del Modelo Integrado de Planeación y Gestión –MIPG- y sus sistemas de gestión articulados, como compromiso con la Calidad, la Excelencia, la Responsabilidad Ambiental y la Mejora en la prestación del Servicio.</v>
      </c>
      <c r="D51" s="1259">
        <f>+'Matriz PEI 2021-2024'!E21</f>
        <v>0.9</v>
      </c>
      <c r="E51" s="1259">
        <f>+'Matriz PEI 2021-2024'!D21</f>
        <v>0.15</v>
      </c>
      <c r="F51" s="992" t="s">
        <v>153</v>
      </c>
      <c r="G51" s="992" t="s">
        <v>985</v>
      </c>
      <c r="H51" s="37" t="str">
        <f>+'1.Informe Seguimiento POA 2022'!D55</f>
        <v>4.2.1 Formular e implementar el 100% de las acciones para la Sostenibilidad y mejora del Sistema de Gestión de la Calidad 
-SGC- (Meta Transversal)</v>
      </c>
      <c r="I51" s="682">
        <f>+'1.Informe Seguimiento POA 2022'!E55</f>
        <v>0.2</v>
      </c>
      <c r="J51" s="678">
        <f>+'1.Informe Seguimiento POA 2022'!F55</f>
        <v>1</v>
      </c>
      <c r="K51" s="683" t="str">
        <f>+'1.Informe Seguimiento POA 2022'!I55</f>
        <v>Direccionamiento Estratégico</v>
      </c>
      <c r="L51" s="683" t="str">
        <f>+'1.Informe Seguimiento POA 2022'!J55</f>
        <v>Dirección de Planeación
Aportan: Dependencias lideradas por  Responsables de procesos y operativos de todos los procesos institucionales</v>
      </c>
      <c r="M51" s="675">
        <f>+'1.Informe Seguimiento POA 2022'!K55</f>
        <v>1</v>
      </c>
      <c r="N51" s="675">
        <f>+'1.Informe Seguimiento POA 2022'!L55</f>
        <v>1</v>
      </c>
      <c r="O51" s="675">
        <f>+'1.Informe Seguimiento POA 2022'!M55</f>
        <v>1</v>
      </c>
      <c r="P51" s="675">
        <f>+'1.Informe Seguimiento POA 2022'!N55</f>
        <v>1</v>
      </c>
      <c r="Q51" s="893">
        <v>0.2</v>
      </c>
      <c r="R51" s="893">
        <v>0.2</v>
      </c>
      <c r="S51" s="893">
        <v>0.22000000000000003</v>
      </c>
      <c r="T51" s="893">
        <v>0.18482662638903868</v>
      </c>
      <c r="U51" s="893">
        <v>0.29000000000000004</v>
      </c>
      <c r="V51" s="893">
        <v>0.31566361788617886</v>
      </c>
      <c r="W51" s="893">
        <v>0.29000000000000004</v>
      </c>
      <c r="X51" s="893">
        <v>0.29200000000000004</v>
      </c>
      <c r="Y51" s="629">
        <v>1</v>
      </c>
      <c r="Z51" s="629">
        <v>0.99249024427521759</v>
      </c>
      <c r="AA51" s="629">
        <v>0.99249024427521759</v>
      </c>
      <c r="AB51" s="689">
        <f>+'1.Informe Seguimiento POA 2022'!O55</f>
        <v>0.24000000000000002</v>
      </c>
      <c r="AC51" s="689">
        <f>+'1.Informe Seguimiento POA 2022'!P55</f>
        <v>0.24000000000000002</v>
      </c>
      <c r="AD51" s="689">
        <f>+'1.Informe Seguimiento POA 2022'!Q55</f>
        <v>0.27</v>
      </c>
      <c r="AE51" s="689">
        <f>+'1.Informe Seguimiento POA 2022'!R55</f>
        <v>0.27799999999999997</v>
      </c>
      <c r="AF51" s="689">
        <f>+'1.Informe Seguimiento POA 2022'!S55</f>
        <v>0.27</v>
      </c>
      <c r="AG51" s="689">
        <f>+'1.Informe Seguimiento POA 2022'!T55</f>
        <v>0.27800000000000002</v>
      </c>
      <c r="AH51" s="689">
        <f>+'1.Informe Seguimiento POA 2022'!U55</f>
        <v>0.22</v>
      </c>
      <c r="AI51" s="689">
        <f>+'1.Informe Seguimiento POA 2022'!V55</f>
        <v>0.2036</v>
      </c>
      <c r="AJ51" s="629">
        <f>+'1.Informe Seguimiento POA 2022'!X55</f>
        <v>1</v>
      </c>
      <c r="AK51" s="629">
        <f>+'1.Informe Seguimiento POA 2022'!Y55</f>
        <v>0.99960000000000004</v>
      </c>
      <c r="AL51" s="629">
        <f>+'1.Informe Seguimiento POA 2022'!Z55</f>
        <v>0.99960000000000004</v>
      </c>
      <c r="AM51" s="1223">
        <f>'1.Informe Seguimiento POA 2022'!AC55</f>
        <v>0.4153012698412698</v>
      </c>
      <c r="AN51" s="693"/>
      <c r="AO51" s="693"/>
      <c r="AP51" s="693"/>
      <c r="AQ51" s="693"/>
      <c r="AR51" s="693"/>
      <c r="AS51" s="693"/>
      <c r="AT51" s="693"/>
      <c r="AU51" s="693"/>
      <c r="AV51" s="678">
        <f t="shared" si="23"/>
        <v>1</v>
      </c>
      <c r="AW51" s="678"/>
      <c r="AX51" s="693"/>
      <c r="AY51" s="693"/>
      <c r="AZ51" s="693"/>
      <c r="BA51" s="693"/>
      <c r="BB51" s="693"/>
      <c r="BC51" s="693"/>
      <c r="BD51" s="693"/>
      <c r="BE51" s="693"/>
      <c r="BF51" s="693"/>
      <c r="BG51" s="678">
        <f t="shared" si="24"/>
        <v>1</v>
      </c>
      <c r="BH51" s="678"/>
      <c r="BI51" s="693"/>
      <c r="BJ51" s="628">
        <f>AVERAGE((Q51+S51+U51+W51),(AB51+AD51+AF51+AH51))</f>
        <v>1</v>
      </c>
      <c r="BK51" s="628">
        <f>AVERAGE((R51+T51+V51+X51),(AC51+AE51+AG51+AI51))</f>
        <v>0.99604512213760876</v>
      </c>
      <c r="BL51" s="627">
        <f t="shared" si="15"/>
        <v>0.99604512213760876</v>
      </c>
      <c r="BM51" s="627">
        <f>(IF(AND(BK51&gt;0,$J51&gt;0),BK51/$J51,0)/4)*2</f>
        <v>0.49802256106880438</v>
      </c>
      <c r="BN51" s="915">
        <f t="shared" si="22"/>
        <v>9.9604512213760876E-2</v>
      </c>
      <c r="BO51" s="1286">
        <f>SUM(BN51:BN56)</f>
        <v>0.63841403602328473</v>
      </c>
      <c r="BP51" s="1134"/>
      <c r="BQ51" s="714"/>
      <c r="BR51" s="714"/>
    </row>
    <row r="52" spans="2:70" ht="96" customHeight="1">
      <c r="B52" s="1136"/>
      <c r="C52" s="1219"/>
      <c r="D52" s="1260"/>
      <c r="E52" s="1260"/>
      <c r="F52" s="992" t="s">
        <v>154</v>
      </c>
      <c r="G52" s="992" t="s">
        <v>669</v>
      </c>
      <c r="H52" s="37" t="str">
        <f>+'1.Informe Seguimiento POA 2022'!D56</f>
        <v>4.2.2 Implementar el 40% de las actividades requeridas para la sostenibilidad y mejora del MIPG, de acuerdo con la metodología establecida por la Función Pública. (Meta Transversal)</v>
      </c>
      <c r="I52" s="682">
        <f>+'1.Informe Seguimiento POA 2022'!E56</f>
        <v>0.2</v>
      </c>
      <c r="J52" s="678">
        <f>+'1.Informe Seguimiento POA 2022'!F56</f>
        <v>0.4</v>
      </c>
      <c r="K52" s="683" t="str">
        <f>+'1.Informe Seguimiento POA 2022'!I56</f>
        <v>Direccionamiento Estratégico</v>
      </c>
      <c r="L52" s="683" t="str">
        <f>+'1.Informe Seguimiento POA 2022'!J56</f>
        <v>Dirección de Planeación
Aportan: Dependencias lideradas por  Responsables de procesos y operativos de todos los procesos institucionales</v>
      </c>
      <c r="M52" s="675">
        <f>+'1.Informe Seguimiento POA 2022'!K56</f>
        <v>0.22</v>
      </c>
      <c r="N52" s="675">
        <f>+'1.Informe Seguimiento POA 2022'!L56</f>
        <v>0.14000000000000001</v>
      </c>
      <c r="O52" s="675">
        <f>+'1.Informe Seguimiento POA 2022'!M56</f>
        <v>0.02</v>
      </c>
      <c r="P52" s="675">
        <f>+'1.Informe Seguimiento POA 2022'!N56</f>
        <v>0.02</v>
      </c>
      <c r="Q52" s="893">
        <v>0.03</v>
      </c>
      <c r="R52" s="893">
        <v>0.03</v>
      </c>
      <c r="S52" s="893">
        <v>0.04</v>
      </c>
      <c r="T52" s="893">
        <v>0.01</v>
      </c>
      <c r="U52" s="893">
        <v>7.0000000000000007E-2</v>
      </c>
      <c r="V52" s="893">
        <v>7.0000000000000007E-2</v>
      </c>
      <c r="W52" s="893">
        <v>0.08</v>
      </c>
      <c r="X52" s="893">
        <v>0.09</v>
      </c>
      <c r="Y52" s="629">
        <v>0.22000000000000003</v>
      </c>
      <c r="Z52" s="629">
        <v>0.2</v>
      </c>
      <c r="AA52" s="629">
        <v>0.90909090909090906</v>
      </c>
      <c r="AB52" s="689">
        <f>+'1.Informe Seguimiento POA 2022'!O56</f>
        <v>5.1000000000000004E-2</v>
      </c>
      <c r="AC52" s="689">
        <f>+'1.Informe Seguimiento POA 2022'!P56</f>
        <v>5.1000000000000004E-2</v>
      </c>
      <c r="AD52" s="689">
        <f>+'1.Informe Seguimiento POA 2022'!Q56</f>
        <v>3.5999999999999997E-2</v>
      </c>
      <c r="AE52" s="689">
        <f>+'1.Informe Seguimiento POA 2022'!R56</f>
        <v>3.5400000000000001E-2</v>
      </c>
      <c r="AF52" s="689">
        <f>+'1.Informe Seguimiento POA 2022'!S56</f>
        <v>2.7E-2</v>
      </c>
      <c r="AG52" s="689">
        <f>+'1.Informe Seguimiento POA 2022'!T56</f>
        <v>2.7E-2</v>
      </c>
      <c r="AH52" s="689">
        <f>+'1.Informe Seguimiento POA 2022'!U56</f>
        <v>2.6000000000000002E-2</v>
      </c>
      <c r="AI52" s="689">
        <f>+'1.Informe Seguimiento POA 2022'!V56</f>
        <v>2.6599999999999999E-2</v>
      </c>
      <c r="AJ52" s="629">
        <f>+'1.Informe Seguimiento POA 2022'!X56</f>
        <v>0.13999999999999999</v>
      </c>
      <c r="AK52" s="629">
        <f>+'1.Informe Seguimiento POA 2022'!Y56</f>
        <v>0.14000000000000001</v>
      </c>
      <c r="AL52" s="629">
        <f>+'1.Informe Seguimiento POA 2022'!Z56</f>
        <v>1.0000000000000002</v>
      </c>
      <c r="AM52" s="1224"/>
      <c r="AN52" s="693"/>
      <c r="AO52" s="693"/>
      <c r="AP52" s="693"/>
      <c r="AQ52" s="693"/>
      <c r="AR52" s="693"/>
      <c r="AS52" s="693"/>
      <c r="AT52" s="693"/>
      <c r="AU52" s="693"/>
      <c r="AV52" s="678">
        <f t="shared" si="23"/>
        <v>0.02</v>
      </c>
      <c r="AW52" s="678"/>
      <c r="AX52" s="693"/>
      <c r="AY52" s="693"/>
      <c r="AZ52" s="693"/>
      <c r="BA52" s="693"/>
      <c r="BB52" s="693"/>
      <c r="BC52" s="693"/>
      <c r="BD52" s="693"/>
      <c r="BE52" s="693"/>
      <c r="BF52" s="693"/>
      <c r="BG52" s="678">
        <f t="shared" si="24"/>
        <v>0.02</v>
      </c>
      <c r="BH52" s="678"/>
      <c r="BI52" s="693"/>
      <c r="BJ52" s="627">
        <f t="shared" ref="BJ52:BK54" si="28">Q52+S52+U52+W52+AB52+AD52+AF52+AH52</f>
        <v>0.36000000000000004</v>
      </c>
      <c r="BK52" s="627">
        <f t="shared" si="28"/>
        <v>0.34</v>
      </c>
      <c r="BL52" s="627">
        <f t="shared" si="15"/>
        <v>0.94444444444444442</v>
      </c>
      <c r="BM52" s="627">
        <f t="shared" si="6"/>
        <v>0.85</v>
      </c>
      <c r="BN52" s="915">
        <f t="shared" si="22"/>
        <v>0.17</v>
      </c>
      <c r="BO52" s="1287"/>
      <c r="BP52" s="1134"/>
      <c r="BQ52" s="716"/>
      <c r="BR52" s="716"/>
    </row>
    <row r="53" spans="2:70" ht="74.25" customHeight="1">
      <c r="B53" s="1136"/>
      <c r="C53" s="1219"/>
      <c r="D53" s="1260"/>
      <c r="E53" s="1260"/>
      <c r="F53" s="992" t="s">
        <v>155</v>
      </c>
      <c r="G53" s="992" t="s">
        <v>165</v>
      </c>
      <c r="H53" s="37" t="str">
        <f>+'1.Informe Seguimiento POA 2022'!D57</f>
        <v>4.2.3 Implementar el 100% de los requisitos del Sistema de Gestión Ambiental –SGA-, bajo los estándares de la norma ISO 14001</v>
      </c>
      <c r="I53" s="682">
        <f>+'1.Informe Seguimiento POA 2022'!E57</f>
        <v>0.15</v>
      </c>
      <c r="J53" s="678">
        <f>+'1.Informe Seguimiento POA 2022'!F57</f>
        <v>1</v>
      </c>
      <c r="K53" s="683" t="str">
        <f>+'1.Informe Seguimiento POA 2022'!I57</f>
        <v>Direccionamiento Estratégico</v>
      </c>
      <c r="L53" s="683" t="str">
        <f>+'1.Informe Seguimiento POA 2022'!J57</f>
        <v>Dirección de Planeación</v>
      </c>
      <c r="M53" s="675">
        <f>+'1.Informe Seguimiento POA 2022'!K57</f>
        <v>0.38</v>
      </c>
      <c r="N53" s="675">
        <f>+'1.Informe Seguimiento POA 2022'!L57</f>
        <v>0.33</v>
      </c>
      <c r="O53" s="675">
        <f>+'1.Informe Seguimiento POA 2022'!M57</f>
        <v>0.28999999999999998</v>
      </c>
      <c r="P53" s="675">
        <f>+'1.Informe Seguimiento POA 2022'!N57</f>
        <v>0</v>
      </c>
      <c r="Q53" s="893">
        <v>0.09</v>
      </c>
      <c r="R53" s="893">
        <v>0.09</v>
      </c>
      <c r="S53" s="893">
        <v>0.09</v>
      </c>
      <c r="T53" s="893">
        <v>0.09</v>
      </c>
      <c r="U53" s="893">
        <v>0.11</v>
      </c>
      <c r="V53" s="893">
        <v>0.11</v>
      </c>
      <c r="W53" s="893">
        <v>0.09</v>
      </c>
      <c r="X53" s="893">
        <v>0.09</v>
      </c>
      <c r="Y53" s="629">
        <v>0.38</v>
      </c>
      <c r="Z53" s="629">
        <v>0.38</v>
      </c>
      <c r="AA53" s="629">
        <v>1</v>
      </c>
      <c r="AB53" s="689">
        <f>+'1.Informe Seguimiento POA 2022'!O57</f>
        <v>8.7999999999999995E-2</v>
      </c>
      <c r="AC53" s="689">
        <f>+'1.Informe Seguimiento POA 2022'!P57</f>
        <v>8.7999999999999995E-2</v>
      </c>
      <c r="AD53" s="689">
        <f>+'1.Informe Seguimiento POA 2022'!Q57</f>
        <v>8.7999999999999995E-2</v>
      </c>
      <c r="AE53" s="689">
        <f>+'1.Informe Seguimiento POA 2022'!R57</f>
        <v>8.7999999999999995E-2</v>
      </c>
      <c r="AF53" s="689">
        <f>+'1.Informe Seguimiento POA 2022'!S57</f>
        <v>8.7999999999999995E-2</v>
      </c>
      <c r="AG53" s="689">
        <f>+'1.Informe Seguimiento POA 2022'!T57</f>
        <v>8.7999999999999995E-2</v>
      </c>
      <c r="AH53" s="689">
        <f>+'1.Informe Seguimiento POA 2022'!U57</f>
        <v>6.6000000000000003E-2</v>
      </c>
      <c r="AI53" s="689">
        <f>+'1.Informe Seguimiento POA 2022'!V57</f>
        <v>6.6000000000000003E-2</v>
      </c>
      <c r="AJ53" s="629">
        <f>+'1.Informe Seguimiento POA 2022'!X57</f>
        <v>0.33</v>
      </c>
      <c r="AK53" s="629">
        <f>+'1.Informe Seguimiento POA 2022'!Y57</f>
        <v>0.33</v>
      </c>
      <c r="AL53" s="629">
        <f>+'1.Informe Seguimiento POA 2022'!Z57</f>
        <v>1</v>
      </c>
      <c r="AM53" s="1224"/>
      <c r="AN53" s="693"/>
      <c r="AO53" s="693"/>
      <c r="AP53" s="693"/>
      <c r="AQ53" s="693"/>
      <c r="AR53" s="693"/>
      <c r="AS53" s="693"/>
      <c r="AT53" s="693"/>
      <c r="AU53" s="693"/>
      <c r="AV53" s="678">
        <f t="shared" si="23"/>
        <v>0.28999999999999998</v>
      </c>
      <c r="AW53" s="678"/>
      <c r="AX53" s="693"/>
      <c r="AY53" s="693"/>
      <c r="AZ53" s="693"/>
      <c r="BA53" s="693"/>
      <c r="BB53" s="693"/>
      <c r="BC53" s="693"/>
      <c r="BD53" s="693"/>
      <c r="BE53" s="693"/>
      <c r="BF53" s="693"/>
      <c r="BG53" s="678">
        <f t="shared" si="24"/>
        <v>0</v>
      </c>
      <c r="BH53" s="678"/>
      <c r="BI53" s="693"/>
      <c r="BJ53" s="627">
        <f t="shared" si="28"/>
        <v>0.71</v>
      </c>
      <c r="BK53" s="627">
        <f t="shared" si="28"/>
        <v>0.71</v>
      </c>
      <c r="BL53" s="627">
        <f t="shared" si="15"/>
        <v>1</v>
      </c>
      <c r="BM53" s="627">
        <f t="shared" si="6"/>
        <v>0.71</v>
      </c>
      <c r="BN53" s="915">
        <f t="shared" si="22"/>
        <v>0.1065</v>
      </c>
      <c r="BO53" s="1287"/>
      <c r="BP53" s="1134"/>
      <c r="BQ53" s="716"/>
      <c r="BR53" s="716"/>
    </row>
    <row r="54" spans="2:70" s="677" customFormat="1" ht="63" customHeight="1">
      <c r="B54" s="1136"/>
      <c r="C54" s="1219"/>
      <c r="D54" s="1260"/>
      <c r="E54" s="1260"/>
      <c r="F54" s="992" t="s">
        <v>166</v>
      </c>
      <c r="G54" s="992" t="s">
        <v>670</v>
      </c>
      <c r="H54" s="37" t="str">
        <f>+'1.Informe Seguimiento POA 2022'!D58</f>
        <v>4.2.4 Realizar 12 acciones de monitoreo y revisión  al Plan Anticorrupción y de Atención al Ciudadano -PAAC- de la vigencia.</v>
      </c>
      <c r="I54" s="682">
        <f>+'1.Informe Seguimiento POA 2022'!E58</f>
        <v>0.1</v>
      </c>
      <c r="J54" s="624">
        <f>+'1.Informe Seguimiento POA 2022'!F58</f>
        <v>12</v>
      </c>
      <c r="K54" s="683" t="str">
        <f>+'1.Informe Seguimiento POA 2022'!I58</f>
        <v>Direccionamiento Estratégico</v>
      </c>
      <c r="L54" s="683" t="str">
        <f>+'1.Informe Seguimiento POA 2022'!J58</f>
        <v>Dirección de Planeación</v>
      </c>
      <c r="M54" s="625">
        <f>+'1.Informe Seguimiento POA 2022'!K58</f>
        <v>3</v>
      </c>
      <c r="N54" s="625">
        <f>+'1.Informe Seguimiento POA 2022'!L58</f>
        <v>3</v>
      </c>
      <c r="O54" s="625">
        <f>+'1.Informe Seguimiento POA 2022'!M58</f>
        <v>3</v>
      </c>
      <c r="P54" s="625">
        <f>+'1.Informe Seguimiento POA 2022'!N58</f>
        <v>3</v>
      </c>
      <c r="Q54" s="758">
        <v>1</v>
      </c>
      <c r="R54" s="758">
        <v>1</v>
      </c>
      <c r="S54" s="758">
        <v>0</v>
      </c>
      <c r="T54" s="758">
        <v>0</v>
      </c>
      <c r="U54" s="758">
        <v>1</v>
      </c>
      <c r="V54" s="758">
        <v>1</v>
      </c>
      <c r="W54" s="758">
        <v>1</v>
      </c>
      <c r="X54" s="758">
        <v>1</v>
      </c>
      <c r="Y54" s="758">
        <v>3</v>
      </c>
      <c r="Z54" s="758">
        <v>3</v>
      </c>
      <c r="AA54" s="629">
        <v>1</v>
      </c>
      <c r="AB54" s="625">
        <f>+'1.Informe Seguimiento POA 2022'!O58</f>
        <v>1</v>
      </c>
      <c r="AC54" s="625">
        <f>+'1.Informe Seguimiento POA 2022'!P58</f>
        <v>1</v>
      </c>
      <c r="AD54" s="625">
        <f>+'1.Informe Seguimiento POA 2022'!Q58</f>
        <v>1</v>
      </c>
      <c r="AE54" s="625">
        <f>+'1.Informe Seguimiento POA 2022'!R58</f>
        <v>1</v>
      </c>
      <c r="AF54" s="625">
        <f>+'1.Informe Seguimiento POA 2022'!S58</f>
        <v>1</v>
      </c>
      <c r="AG54" s="625">
        <f>+'1.Informe Seguimiento POA 2022'!T58</f>
        <v>1</v>
      </c>
      <c r="AH54" s="625">
        <f>+'1.Informe Seguimiento POA 2022'!U58</f>
        <v>0</v>
      </c>
      <c r="AI54" s="625">
        <f>+'1.Informe Seguimiento POA 2022'!V58</f>
        <v>0</v>
      </c>
      <c r="AJ54" s="625">
        <f>+'1.Informe Seguimiento POA 2022'!X58</f>
        <v>3</v>
      </c>
      <c r="AK54" s="625">
        <f>+'1.Informe Seguimiento POA 2022'!Y58</f>
        <v>3</v>
      </c>
      <c r="AL54" s="629">
        <f>+'1.Informe Seguimiento POA 2022'!Z58</f>
        <v>1</v>
      </c>
      <c r="AM54" s="1224"/>
      <c r="AN54" s="627"/>
      <c r="AO54" s="627"/>
      <c r="AP54" s="627"/>
      <c r="AQ54" s="627"/>
      <c r="AR54" s="627"/>
      <c r="AS54" s="627"/>
      <c r="AT54" s="627"/>
      <c r="AU54" s="627"/>
      <c r="AV54" s="626">
        <f t="shared" si="23"/>
        <v>3</v>
      </c>
      <c r="AW54" s="626"/>
      <c r="AX54" s="627"/>
      <c r="AY54" s="627"/>
      <c r="AZ54" s="627"/>
      <c r="BA54" s="627"/>
      <c r="BB54" s="627"/>
      <c r="BC54" s="627"/>
      <c r="BD54" s="627"/>
      <c r="BE54" s="627"/>
      <c r="BF54" s="627"/>
      <c r="BG54" s="626">
        <f t="shared" si="24"/>
        <v>3</v>
      </c>
      <c r="BH54" s="626"/>
      <c r="BI54" s="627"/>
      <c r="BJ54" s="696">
        <f t="shared" si="28"/>
        <v>6</v>
      </c>
      <c r="BK54" s="696">
        <f t="shared" si="28"/>
        <v>6</v>
      </c>
      <c r="BL54" s="627">
        <f t="shared" si="15"/>
        <v>1</v>
      </c>
      <c r="BM54" s="627">
        <f t="shared" si="6"/>
        <v>0.5</v>
      </c>
      <c r="BN54" s="918">
        <f t="shared" si="22"/>
        <v>0.05</v>
      </c>
      <c r="BO54" s="1287"/>
      <c r="BP54" s="1134"/>
      <c r="BQ54" s="716"/>
      <c r="BR54" s="716"/>
    </row>
    <row r="55" spans="2:70" ht="83.4" customHeight="1">
      <c r="B55" s="1136"/>
      <c r="C55" s="1219"/>
      <c r="D55" s="1260"/>
      <c r="E55" s="1260"/>
      <c r="F55" s="992" t="s">
        <v>368</v>
      </c>
      <c r="G55" s="992" t="s">
        <v>1035</v>
      </c>
      <c r="H55" s="37" t="str">
        <f>+'1.Informe Seguimiento POA 2022'!D59</f>
        <v>4.2.5 Incrementar al 90% la percepción de los usuarios que califican como excelente y bueno el servicio en la Personería de Bogotá</v>
      </c>
      <c r="I55" s="682">
        <f>+'1.Informe Seguimiento POA 2022'!E59</f>
        <v>0.2</v>
      </c>
      <c r="J55" s="678">
        <f>+'1.Informe Seguimiento POA 2022'!F59</f>
        <v>0.9</v>
      </c>
      <c r="K55" s="683" t="str">
        <f>+'1.Informe Seguimiento POA 2022'!I59</f>
        <v>Servicio al Usuario</v>
      </c>
      <c r="L55" s="683" t="str">
        <f>+'1.Informe Seguimiento POA 2022'!J59</f>
        <v>Secretaría General</v>
      </c>
      <c r="M55" s="689">
        <f>+'1.Informe Seguimiento POA 2022'!K59</f>
        <v>0.9</v>
      </c>
      <c r="N55" s="689">
        <f>+'1.Informe Seguimiento POA 2022'!L59</f>
        <v>0.9</v>
      </c>
      <c r="O55" s="689">
        <f>+'1.Informe Seguimiento POA 2022'!M59</f>
        <v>0.9</v>
      </c>
      <c r="P55" s="689">
        <f>+'1.Informe Seguimiento POA 2022'!N59</f>
        <v>0.9</v>
      </c>
      <c r="Q55" s="893">
        <v>0.9</v>
      </c>
      <c r="R55" s="893">
        <v>0.79800000000000004</v>
      </c>
      <c r="S55" s="893">
        <v>0</v>
      </c>
      <c r="T55" s="893">
        <v>0</v>
      </c>
      <c r="U55" s="893">
        <v>0.9</v>
      </c>
      <c r="V55" s="893">
        <v>0.93400000000000005</v>
      </c>
      <c r="W55" s="893">
        <v>0</v>
      </c>
      <c r="X55" s="893">
        <v>0</v>
      </c>
      <c r="Y55" s="629">
        <v>0.9</v>
      </c>
      <c r="Z55" s="629">
        <v>0.93400000000000005</v>
      </c>
      <c r="AA55" s="629">
        <v>1.0377777777777779</v>
      </c>
      <c r="AB55" s="689">
        <f>+'1.Informe Seguimiento POA 2022'!O59</f>
        <v>0.9</v>
      </c>
      <c r="AC55" s="689">
        <f>+'1.Informe Seguimiento POA 2022'!P59</f>
        <v>0.95899999999999996</v>
      </c>
      <c r="AD55" s="689">
        <f>+'1.Informe Seguimiento POA 2022'!Q59</f>
        <v>0</v>
      </c>
      <c r="AE55" s="689">
        <f>+'1.Informe Seguimiento POA 2022'!R59</f>
        <v>0</v>
      </c>
      <c r="AF55" s="689">
        <f>+'1.Informe Seguimiento POA 2022'!S59</f>
        <v>0.9</v>
      </c>
      <c r="AG55" s="689">
        <f>+'1.Informe Seguimiento POA 2022'!T59</f>
        <v>0.96</v>
      </c>
      <c r="AH55" s="689">
        <f>+'1.Informe Seguimiento POA 2022'!U59</f>
        <v>0</v>
      </c>
      <c r="AI55" s="689">
        <f>+'1.Informe Seguimiento POA 2022'!V59</f>
        <v>0</v>
      </c>
      <c r="AJ55" s="629">
        <f>+'1.Informe Seguimiento POA 2022'!X59</f>
        <v>0.9</v>
      </c>
      <c r="AK55" s="629">
        <f>+'1.Informe Seguimiento POA 2022'!Y59</f>
        <v>0.95899999999999996</v>
      </c>
      <c r="AL55" s="629">
        <f>+'1.Informe Seguimiento POA 2022'!Z59</f>
        <v>1.0655555555555556</v>
      </c>
      <c r="AM55" s="1224"/>
      <c r="AN55" s="693"/>
      <c r="AO55" s="693"/>
      <c r="AP55" s="693"/>
      <c r="AQ55" s="693"/>
      <c r="AR55" s="693"/>
      <c r="AS55" s="693"/>
      <c r="AT55" s="693"/>
      <c r="AU55" s="693"/>
      <c r="AV55" s="678">
        <f t="shared" si="23"/>
        <v>0.9</v>
      </c>
      <c r="AW55" s="678"/>
      <c r="AX55" s="693"/>
      <c r="AY55" s="693"/>
      <c r="AZ55" s="693"/>
      <c r="BA55" s="693"/>
      <c r="BB55" s="693"/>
      <c r="BC55" s="693"/>
      <c r="BD55" s="693"/>
      <c r="BE55" s="693"/>
      <c r="BF55" s="693"/>
      <c r="BG55" s="678">
        <f t="shared" si="24"/>
        <v>0.9</v>
      </c>
      <c r="BH55" s="678"/>
      <c r="BI55" s="693"/>
      <c r="BJ55" s="628">
        <f>IFERROR(AVERAGE(AB55,Y55,AF55),0)</f>
        <v>0.9</v>
      </c>
      <c r="BK55" s="628">
        <f>IFERROR(AVERAGE(Z55,AK55),0)</f>
        <v>0.94650000000000001</v>
      </c>
      <c r="BL55" s="627">
        <f t="shared" si="15"/>
        <v>1.0516666666666667</v>
      </c>
      <c r="BM55" s="627">
        <f>(IF(AND(BK55&gt;0,$J55&gt;0),BK55/$J55,0)/4)*2</f>
        <v>0.52583333333333337</v>
      </c>
      <c r="BN55" s="915">
        <f t="shared" si="22"/>
        <v>0.10516666666666669</v>
      </c>
      <c r="BO55" s="1287"/>
      <c r="BP55" s="1134"/>
      <c r="BQ55" s="716"/>
      <c r="BR55" s="716"/>
    </row>
    <row r="56" spans="2:70" ht="70.5" customHeight="1">
      <c r="B56" s="1136"/>
      <c r="C56" s="1247"/>
      <c r="D56" s="1278"/>
      <c r="E56" s="1278"/>
      <c r="F56" s="992" t="s">
        <v>1186</v>
      </c>
      <c r="G56" s="992" t="s">
        <v>375</v>
      </c>
      <c r="H56" s="37" t="str">
        <f>+'1.Informe Seguimiento POA 2022'!D60</f>
        <v xml:space="preserve">4.2.6 Implementar 7 lineamientos en compromiso con la calidad para satisfacer las necesidades y expectativas de los (as) usuarios(as) y partes interesadas </v>
      </c>
      <c r="I56" s="682">
        <f>+'1.Informe Seguimiento POA 2022'!E60</f>
        <v>0.15</v>
      </c>
      <c r="J56" s="624">
        <f>+'1.Informe Seguimiento POA 2022'!F60</f>
        <v>7</v>
      </c>
      <c r="K56" s="683" t="str">
        <f>+'1.Informe Seguimiento POA 2022'!I60</f>
        <v>Servicio al Usuario</v>
      </c>
      <c r="L56" s="683" t="str">
        <f>+'1.Informe Seguimiento POA 2022'!J60</f>
        <v>Secretaría General</v>
      </c>
      <c r="M56" s="646">
        <f>+'1.Informe Seguimiento POA 2022'!K60</f>
        <v>2</v>
      </c>
      <c r="N56" s="646">
        <f>+'1.Informe Seguimiento POA 2022'!L60</f>
        <v>3</v>
      </c>
      <c r="O56" s="646">
        <f>+'1.Informe Seguimiento POA 2022'!M60</f>
        <v>1</v>
      </c>
      <c r="P56" s="646">
        <f>+'1.Informe Seguimiento POA 2022'!N60</f>
        <v>1</v>
      </c>
      <c r="Q56" s="758">
        <v>1</v>
      </c>
      <c r="R56" s="758">
        <v>1</v>
      </c>
      <c r="S56" s="758">
        <v>1</v>
      </c>
      <c r="T56" s="758">
        <v>1</v>
      </c>
      <c r="U56" s="758">
        <v>0</v>
      </c>
      <c r="V56" s="758">
        <v>0</v>
      </c>
      <c r="W56" s="758">
        <v>0</v>
      </c>
      <c r="X56" s="758">
        <v>0</v>
      </c>
      <c r="Y56" s="758">
        <v>2</v>
      </c>
      <c r="Z56" s="758">
        <v>2</v>
      </c>
      <c r="AA56" s="629">
        <v>1</v>
      </c>
      <c r="AB56" s="625">
        <f>+'1.Informe Seguimiento POA 2022'!O60</f>
        <v>1</v>
      </c>
      <c r="AC56" s="625">
        <f>+'1.Informe Seguimiento POA 2022'!P60</f>
        <v>1</v>
      </c>
      <c r="AD56" s="625">
        <f>+'1.Informe Seguimiento POA 2022'!Q60</f>
        <v>1</v>
      </c>
      <c r="AE56" s="625">
        <f>+'1.Informe Seguimiento POA 2022'!R60</f>
        <v>1</v>
      </c>
      <c r="AF56" s="625">
        <f>+'1.Informe Seguimiento POA 2022'!S60</f>
        <v>0</v>
      </c>
      <c r="AG56" s="625">
        <f>+'1.Informe Seguimiento POA 2022'!T60</f>
        <v>0</v>
      </c>
      <c r="AH56" s="625">
        <f>+'1.Informe Seguimiento POA 2022'!U60</f>
        <v>1</v>
      </c>
      <c r="AI56" s="625">
        <f>+'1.Informe Seguimiento POA 2022'!V60</f>
        <v>1</v>
      </c>
      <c r="AJ56" s="625">
        <f>+'1.Informe Seguimiento POA 2022'!X60</f>
        <v>3</v>
      </c>
      <c r="AK56" s="625">
        <f>+'1.Informe Seguimiento POA 2022'!Y60</f>
        <v>3</v>
      </c>
      <c r="AL56" s="629">
        <f>+'1.Informe Seguimiento POA 2022'!Z60</f>
        <v>1</v>
      </c>
      <c r="AM56" s="1225"/>
      <c r="AN56" s="627"/>
      <c r="AO56" s="627"/>
      <c r="AP56" s="627"/>
      <c r="AQ56" s="627"/>
      <c r="AR56" s="627"/>
      <c r="AS56" s="627"/>
      <c r="AT56" s="627"/>
      <c r="AU56" s="627"/>
      <c r="AV56" s="626">
        <f t="shared" si="23"/>
        <v>1</v>
      </c>
      <c r="AW56" s="626"/>
      <c r="AX56" s="627"/>
      <c r="AY56" s="627"/>
      <c r="AZ56" s="627"/>
      <c r="BA56" s="627"/>
      <c r="BB56" s="627"/>
      <c r="BC56" s="627"/>
      <c r="BD56" s="627"/>
      <c r="BE56" s="627"/>
      <c r="BF56" s="627"/>
      <c r="BG56" s="626">
        <f t="shared" si="24"/>
        <v>1</v>
      </c>
      <c r="BH56" s="626"/>
      <c r="BI56" s="627"/>
      <c r="BJ56" s="696">
        <f>Q56+S56+U56+W56+AB56+AD56+AF56+AH56</f>
        <v>5</v>
      </c>
      <c r="BK56" s="696">
        <f>R56+T56+V56+X56+AC56+AE56+AG56+AI56</f>
        <v>5</v>
      </c>
      <c r="BL56" s="627">
        <f t="shared" si="15"/>
        <v>1</v>
      </c>
      <c r="BM56" s="627">
        <f t="shared" si="6"/>
        <v>0.7142857142857143</v>
      </c>
      <c r="BN56" s="919">
        <f t="shared" si="22"/>
        <v>0.10714285714285714</v>
      </c>
      <c r="BO56" s="1288"/>
      <c r="BP56" s="1134"/>
      <c r="BQ56" s="716"/>
      <c r="BR56" s="716"/>
    </row>
    <row r="57" spans="2:70" ht="63.6" customHeight="1">
      <c r="B57" s="1136"/>
      <c r="C57" s="1211" t="str">
        <f>+'Matriz PEI 2021-2024'!C22</f>
        <v xml:space="preserve">4.3. Realizar el 100% de las actividades relacionadas con la Gestión del Talento Humano, que permita su fortalecimiento y el desarrollo de sus conocimientos, su competencia y bienestar. </v>
      </c>
      <c r="D57" s="1262">
        <f>+'Matriz PEI 2021-2024'!E22</f>
        <v>1</v>
      </c>
      <c r="E57" s="1262">
        <f>+'Matriz PEI 2021-2024'!D22</f>
        <v>0.14000000000000001</v>
      </c>
      <c r="F57" s="653" t="str">
        <f>+'1.Informe Seguimiento POA 2022'!H61</f>
        <v>Porcentaje de novedades y situaciones administrativas gestionadas</v>
      </c>
      <c r="G57" s="653" t="str">
        <f>+'08-G. DEL TALENTO HUMANO'!J16</f>
        <v>N° de novedades y situaciones administrativas gestionadas /  N° requerimientos de novedades y situaciones administrativas presentados * 100</v>
      </c>
      <c r="H57" s="630" t="str">
        <f>+'1.Informe Seguimiento POA 2022'!D61</f>
        <v xml:space="preserve">4.3.1 Gestionar el 100% de las novedades y situaciones administrativas de los servidores públicos de la Entidad.
</v>
      </c>
      <c r="I57" s="124">
        <f>+'1.Informe Seguimiento POA 2022'!E61</f>
        <v>0.1</v>
      </c>
      <c r="J57" s="684">
        <f>+'1.Informe Seguimiento POA 2022'!F61</f>
        <v>1</v>
      </c>
      <c r="K57" s="632" t="str">
        <f>+'1.Informe Seguimiento POA 2022'!I61</f>
        <v>Gestión del Talento Humano</v>
      </c>
      <c r="L57" s="633" t="str">
        <f>+'1.Informe Seguimiento POA 2022'!J61</f>
        <v xml:space="preserve">
Dirección de Talento Humano
</v>
      </c>
      <c r="M57" s="647">
        <f>+'1.Informe Seguimiento POA 2022'!K61</f>
        <v>1</v>
      </c>
      <c r="N57" s="647">
        <f>+'1.Informe Seguimiento POA 2022'!L61</f>
        <v>1</v>
      </c>
      <c r="O57" s="647">
        <f>+'1.Informe Seguimiento POA 2022'!M61</f>
        <v>1</v>
      </c>
      <c r="P57" s="647">
        <f>+'1.Informe Seguimiento POA 2022'!N61</f>
        <v>1</v>
      </c>
      <c r="Q57" s="648">
        <v>1</v>
      </c>
      <c r="R57" s="648">
        <v>1</v>
      </c>
      <c r="S57" s="649">
        <v>1</v>
      </c>
      <c r="T57" s="649">
        <v>1</v>
      </c>
      <c r="U57" s="649">
        <v>1</v>
      </c>
      <c r="V57" s="649">
        <v>1</v>
      </c>
      <c r="W57" s="649">
        <v>1</v>
      </c>
      <c r="X57" s="649">
        <v>1</v>
      </c>
      <c r="Y57" s="642">
        <v>1</v>
      </c>
      <c r="Z57" s="643">
        <v>1</v>
      </c>
      <c r="AA57" s="642">
        <v>1</v>
      </c>
      <c r="AB57" s="648">
        <f>+'1.Informe Seguimiento POA 2022'!O61</f>
        <v>1</v>
      </c>
      <c r="AC57" s="648">
        <f>+'1.Informe Seguimiento POA 2022'!P61</f>
        <v>1</v>
      </c>
      <c r="AD57" s="649">
        <f>+'1.Informe Seguimiento POA 2022'!Q61</f>
        <v>1</v>
      </c>
      <c r="AE57" s="649">
        <f>+'1.Informe Seguimiento POA 2022'!R61</f>
        <v>1</v>
      </c>
      <c r="AF57" s="649">
        <f>+'1.Informe Seguimiento POA 2022'!S61</f>
        <v>1</v>
      </c>
      <c r="AG57" s="649">
        <f>+'1.Informe Seguimiento POA 2022'!T61</f>
        <v>1</v>
      </c>
      <c r="AH57" s="649">
        <f>+'1.Informe Seguimiento POA 2022'!U61</f>
        <v>1</v>
      </c>
      <c r="AI57" s="649">
        <f>+'1.Informe Seguimiento POA 2022'!V61</f>
        <v>1</v>
      </c>
      <c r="AJ57" s="642">
        <f>+'1.Informe Seguimiento POA 2022'!X61</f>
        <v>1</v>
      </c>
      <c r="AK57" s="643">
        <f>+'1.Informe Seguimiento POA 2022'!Y61</f>
        <v>1</v>
      </c>
      <c r="AL57" s="642">
        <f>+'1.Informe Seguimiento POA 2022'!Z61</f>
        <v>1</v>
      </c>
      <c r="AM57" s="1220">
        <f>'1.Informe Seguimiento POA 2022'!AC61</f>
        <v>0.46514322913623524</v>
      </c>
      <c r="AN57" s="642"/>
      <c r="AO57" s="642"/>
      <c r="AP57" s="642"/>
      <c r="AQ57" s="642"/>
      <c r="AR57" s="642"/>
      <c r="AS57" s="642"/>
      <c r="AT57" s="642"/>
      <c r="AU57" s="642"/>
      <c r="AV57" s="642">
        <f t="shared" si="23"/>
        <v>1</v>
      </c>
      <c r="AW57" s="642"/>
      <c r="AX57" s="642"/>
      <c r="AY57" s="642"/>
      <c r="AZ57" s="642"/>
      <c r="BA57" s="642"/>
      <c r="BB57" s="642"/>
      <c r="BC57" s="642"/>
      <c r="BD57" s="642"/>
      <c r="BE57" s="642"/>
      <c r="BF57" s="642"/>
      <c r="BG57" s="642">
        <f t="shared" si="24"/>
        <v>1</v>
      </c>
      <c r="BH57" s="642"/>
      <c r="BI57" s="642"/>
      <c r="BJ57" s="993">
        <f>IFERROR(AVERAGE(Q57,S57,U57,W57,AB57,AD57,AF57,AH57),0)</f>
        <v>1</v>
      </c>
      <c r="BK57" s="993">
        <f>IFERROR(AVERAGE(R57,T57,V57,X57,AC57,AE57,AG57,AI57),0)</f>
        <v>1</v>
      </c>
      <c r="BL57" s="698">
        <f t="shared" si="15"/>
        <v>1</v>
      </c>
      <c r="BM57" s="993">
        <f>(IF(AND(BK57&gt;0,$J57&gt;0),BK57/$J57,0)/4)*2</f>
        <v>0.5</v>
      </c>
      <c r="BN57" s="650">
        <f t="shared" si="22"/>
        <v>0.05</v>
      </c>
      <c r="BO57" s="1265">
        <f>SUM(BN57:BN64)</f>
        <v>0.51071176092574044</v>
      </c>
      <c r="BP57" s="1134"/>
      <c r="BQ57" s="707"/>
      <c r="BR57" s="707"/>
    </row>
    <row r="58" spans="2:70" ht="88.5" customHeight="1">
      <c r="B58" s="1136"/>
      <c r="C58" s="1212"/>
      <c r="D58" s="1263"/>
      <c r="E58" s="1263"/>
      <c r="F58" s="653" t="str">
        <f>+'1.Informe Seguimiento POA 2022'!H62</f>
        <v xml:space="preserve">Novedades incluidas en la nómina  oportunamente  </v>
      </c>
      <c r="G58" s="653" t="str">
        <f>+'08-G. DEL TALENTO HUMANO'!J17</f>
        <v xml:space="preserve"> N° de Novedades incluidas en la Nomina oportunamente / N° de novedades radicadas en los plazos establecidos</v>
      </c>
      <c r="H58" s="630" t="str">
        <f>+'1.Informe Seguimiento POA 2022'!D62</f>
        <v xml:space="preserve">4.3.2 Incluir el 97,8% de las Novedades en la nómina oportunamente, para liquidación y pago </v>
      </c>
      <c r="I58" s="124">
        <f>+'1.Informe Seguimiento POA 2022'!E62</f>
        <v>0.1</v>
      </c>
      <c r="J58" s="684">
        <f>+'1.Informe Seguimiento POA 2022'!F62</f>
        <v>0.97799999999999998</v>
      </c>
      <c r="K58" s="632" t="str">
        <f>+'1.Informe Seguimiento POA 2022'!I62</f>
        <v>Gestión del Talento Humano</v>
      </c>
      <c r="L58" s="633" t="str">
        <f>+'1.Informe Seguimiento POA 2022'!J62</f>
        <v>Dependencia Líder: 
Dirección de Talento Humano
Dependencia Operativa:
Subdirección de Gestión del Talento Humano</v>
      </c>
      <c r="M58" s="647">
        <f>+'1.Informe Seguimiento POA 2022'!K62</f>
        <v>0.97</v>
      </c>
      <c r="N58" s="647">
        <f>+'1.Informe Seguimiento POA 2022'!L62</f>
        <v>0.98</v>
      </c>
      <c r="O58" s="647">
        <f>+'1.Informe Seguimiento POA 2022'!M62</f>
        <v>0.98</v>
      </c>
      <c r="P58" s="647">
        <f>+'1.Informe Seguimiento POA 2022'!N62</f>
        <v>0.98</v>
      </c>
      <c r="Q58" s="648">
        <v>0.97000000000000008</v>
      </c>
      <c r="R58" s="648">
        <v>0.99400000000000011</v>
      </c>
      <c r="S58" s="648">
        <v>0.97000000000000008</v>
      </c>
      <c r="T58" s="648">
        <v>0.97033333333333316</v>
      </c>
      <c r="U58" s="648">
        <v>0.97000000000000008</v>
      </c>
      <c r="V58" s="648">
        <v>0.96833333333333327</v>
      </c>
      <c r="W58" s="648">
        <v>0.97000000000000008</v>
      </c>
      <c r="X58" s="648">
        <v>0.97766666666666657</v>
      </c>
      <c r="Y58" s="642">
        <v>0.97000000000000008</v>
      </c>
      <c r="Z58" s="643">
        <v>0.97699999999999998</v>
      </c>
      <c r="AA58" s="642">
        <v>1.0072164948453608</v>
      </c>
      <c r="AB58" s="648">
        <f>+'1.Informe Seguimiento POA 2022'!O62</f>
        <v>0.98</v>
      </c>
      <c r="AC58" s="648">
        <f>+'1.Informe Seguimiento POA 2022'!P62</f>
        <v>0.98766666666666669</v>
      </c>
      <c r="AD58" s="648">
        <f>+'1.Informe Seguimiento POA 2022'!Q62</f>
        <v>0.98</v>
      </c>
      <c r="AE58" s="648">
        <f>+'1.Informe Seguimiento POA 2022'!R62</f>
        <v>0.95699999999999996</v>
      </c>
      <c r="AF58" s="648">
        <f>+'1.Informe Seguimiento POA 2022'!S62</f>
        <v>0.98</v>
      </c>
      <c r="AG58" s="648">
        <f>+'1.Informe Seguimiento POA 2022'!T62</f>
        <v>0.9903333333333334</v>
      </c>
      <c r="AH58" s="648">
        <f>+'1.Informe Seguimiento POA 2022'!U62</f>
        <v>0.98</v>
      </c>
      <c r="AI58" s="648">
        <f>+'1.Informe Seguimiento POA 2022'!V62</f>
        <v>0.996</v>
      </c>
      <c r="AJ58" s="642">
        <f>+'1.Informe Seguimiento POA 2022'!X62</f>
        <v>0.98000000000000032</v>
      </c>
      <c r="AK58" s="643">
        <f>+'1.Informe Seguimiento POA 2022'!Y62</f>
        <v>0.98199999999999998</v>
      </c>
      <c r="AL58" s="642">
        <f>+'1.Informe Seguimiento POA 2022'!Z62</f>
        <v>1.0020408163265302</v>
      </c>
      <c r="AM58" s="1221"/>
      <c r="AN58" s="642"/>
      <c r="AO58" s="642"/>
      <c r="AP58" s="642"/>
      <c r="AQ58" s="642"/>
      <c r="AR58" s="642"/>
      <c r="AS58" s="642"/>
      <c r="AT58" s="642"/>
      <c r="AU58" s="642"/>
      <c r="AV58" s="642">
        <f t="shared" si="23"/>
        <v>0.98</v>
      </c>
      <c r="AW58" s="642"/>
      <c r="AX58" s="642"/>
      <c r="AY58" s="642"/>
      <c r="AZ58" s="642"/>
      <c r="BA58" s="642"/>
      <c r="BB58" s="642"/>
      <c r="BC58" s="642"/>
      <c r="BD58" s="642"/>
      <c r="BE58" s="642"/>
      <c r="BF58" s="642"/>
      <c r="BG58" s="642">
        <f t="shared" si="24"/>
        <v>0.98</v>
      </c>
      <c r="BH58" s="642"/>
      <c r="BI58" s="642"/>
      <c r="BJ58" s="993">
        <f>IFERROR(AVERAGE(Q58,S58,U58,W58,AB58,AD58,AF58,AH58),0)</f>
        <v>0.97500000000000009</v>
      </c>
      <c r="BK58" s="976">
        <f>IFERROR(AVERAGE(R58,T58,V58,X58,AC58,AE58,AG58,AI58),0)</f>
        <v>0.98016666666666663</v>
      </c>
      <c r="BL58" s="698">
        <f t="shared" si="15"/>
        <v>1.0052991452991451</v>
      </c>
      <c r="BM58" s="993">
        <f>(IF(AND(BK58&gt;0,$J58&gt;0),BK58/$J58,0)/4)*2</f>
        <v>0.50110770279481931</v>
      </c>
      <c r="BN58" s="650">
        <f t="shared" si="22"/>
        <v>5.0110770279481937E-2</v>
      </c>
      <c r="BO58" s="1266"/>
      <c r="BP58" s="1134"/>
      <c r="BQ58" s="708"/>
      <c r="BR58" s="708"/>
    </row>
    <row r="59" spans="2:70" ht="157.19999999999999" customHeight="1">
      <c r="B59" s="1136"/>
      <c r="C59" s="1212"/>
      <c r="D59" s="1263"/>
      <c r="E59" s="1263"/>
      <c r="F59" s="653" t="str">
        <f>+'1.Informe Seguimiento POA 2022'!H63</f>
        <v>Porcentaje de Usuarios internos satisfechos con las solicitudes de los servicios atendidas de la SGTH (Certificaciones laborales, bonos pensionales y autorizaciones de retiro de cesantías)</v>
      </c>
      <c r="G59" s="653" t="str">
        <f>+'08-G. DEL TALENTO HUMANO'!J18</f>
        <v>N° de usuarios satisfechos con las solicitudes de servicios atendidas por la SGTH (Certificaciones laborales, bonos pensionales y autorizaciones de retiro de cesantías. / N° de usuarios encuestados *100</v>
      </c>
      <c r="H59" s="630" t="str">
        <f>+'1.Informe Seguimiento POA 2022'!D63</f>
        <v xml:space="preserve">4.3.3 Lograr el 94,5 % de usuarios internos  satisfechos con las solicitudes de servicios atendidas de la SGTH (Certificaciones laborales, bonos pensionales y autorizaciones de retiro de cesantías). </v>
      </c>
      <c r="I59" s="124">
        <f>+'1.Informe Seguimiento POA 2022'!E63</f>
        <v>0.1</v>
      </c>
      <c r="J59" s="684">
        <f>+'1.Informe Seguimiento POA 2022'!F63</f>
        <v>0.94499999999999995</v>
      </c>
      <c r="K59" s="632" t="str">
        <f>+'1.Informe Seguimiento POA 2022'!I63</f>
        <v>Gestión del Talento Humano</v>
      </c>
      <c r="L59" s="633" t="str">
        <f>+'1.Informe Seguimiento POA 2022'!J63</f>
        <v>Dependencia Líder: 
Dirección de Talento Humano
Dependencia Operativa:
Subdirección de Gestión del Talento Humano</v>
      </c>
      <c r="M59" s="647">
        <f>+'1.Informe Seguimiento POA 2022'!K63</f>
        <v>0.9</v>
      </c>
      <c r="N59" s="647">
        <f>+'1.Informe Seguimiento POA 2022'!L63</f>
        <v>0.96</v>
      </c>
      <c r="O59" s="647">
        <f>+'1.Informe Seguimiento POA 2022'!M63</f>
        <v>0.96</v>
      </c>
      <c r="P59" s="647">
        <f>+'1.Informe Seguimiento POA 2022'!N63</f>
        <v>0.96</v>
      </c>
      <c r="Q59" s="648">
        <v>0</v>
      </c>
      <c r="R59" s="648">
        <v>0</v>
      </c>
      <c r="S59" s="649">
        <v>0.9</v>
      </c>
      <c r="T59" s="649">
        <v>0.94799999999999995</v>
      </c>
      <c r="U59" s="649">
        <v>0.9</v>
      </c>
      <c r="V59" s="649">
        <v>0.97</v>
      </c>
      <c r="W59" s="649">
        <v>0.9</v>
      </c>
      <c r="X59" s="649">
        <v>0.94699999999999995</v>
      </c>
      <c r="Y59" s="642">
        <v>0.90000000000000013</v>
      </c>
      <c r="Z59" s="643">
        <v>0.95499999999999996</v>
      </c>
      <c r="AA59" s="642">
        <v>1.0611111111111109</v>
      </c>
      <c r="AB59" s="648">
        <f>+'1.Informe Seguimiento POA 2022'!O63</f>
        <v>0.96</v>
      </c>
      <c r="AC59" s="648">
        <f>+'1.Informe Seguimiento POA 2022'!P63</f>
        <v>0.92900000000000005</v>
      </c>
      <c r="AD59" s="649">
        <f>+'1.Informe Seguimiento POA 2022'!Q63</f>
        <v>0.96</v>
      </c>
      <c r="AE59" s="649">
        <f>+'1.Informe Seguimiento POA 2022'!R63</f>
        <v>0.99199999999999999</v>
      </c>
      <c r="AF59" s="649">
        <f>+'1.Informe Seguimiento POA 2022'!S63</f>
        <v>0.96</v>
      </c>
      <c r="AG59" s="649">
        <f>+'1.Informe Seguimiento POA 2022'!T63</f>
        <v>0.97</v>
      </c>
      <c r="AH59" s="649">
        <f>+'1.Informe Seguimiento POA 2022'!U63</f>
        <v>0.96</v>
      </c>
      <c r="AI59" s="649">
        <f>+'1.Informe Seguimiento POA 2022'!V63</f>
        <v>0.97599999999999998</v>
      </c>
      <c r="AJ59" s="642">
        <f>+'1.Informe Seguimiento POA 2022'!X63</f>
        <v>0.96000000000000008</v>
      </c>
      <c r="AK59" s="643">
        <f>+'1.Informe Seguimiento POA 2022'!Y63</f>
        <v>0.96599999999999997</v>
      </c>
      <c r="AL59" s="642">
        <f>+'1.Informe Seguimiento POA 2022'!Z63</f>
        <v>1.0062499999999999</v>
      </c>
      <c r="AM59" s="1221"/>
      <c r="AN59" s="642"/>
      <c r="AO59" s="642"/>
      <c r="AP59" s="642"/>
      <c r="AQ59" s="642"/>
      <c r="AR59" s="642"/>
      <c r="AS59" s="642"/>
      <c r="AT59" s="642"/>
      <c r="AU59" s="642"/>
      <c r="AV59" s="642">
        <f t="shared" si="23"/>
        <v>0.96</v>
      </c>
      <c r="AW59" s="642"/>
      <c r="AX59" s="642"/>
      <c r="AY59" s="642"/>
      <c r="AZ59" s="642"/>
      <c r="BA59" s="642"/>
      <c r="BB59" s="642"/>
      <c r="BC59" s="642"/>
      <c r="BD59" s="642"/>
      <c r="BE59" s="642"/>
      <c r="BF59" s="642"/>
      <c r="BG59" s="642">
        <f t="shared" si="24"/>
        <v>0.96</v>
      </c>
      <c r="BH59" s="642"/>
      <c r="BI59" s="642"/>
      <c r="BJ59" s="993">
        <f>IFERROR(AVERAGE(S59,U59,W59,AB59,AD59,AF59,AH59),0)</f>
        <v>0.93428571428571427</v>
      </c>
      <c r="BK59" s="993">
        <f>IFERROR(AVERAGE(T59,V59,X59,AC59,AE59,AG59,AI59),0)</f>
        <v>0.96171428571428563</v>
      </c>
      <c r="BL59" s="698">
        <f t="shared" si="15"/>
        <v>1.0293577981651376</v>
      </c>
      <c r="BM59" s="993">
        <f>(IF(AND(BK59&gt;0,$J59&gt;0),BK59/$J59,0)/4)*2</f>
        <v>0.50884353741496602</v>
      </c>
      <c r="BN59" s="650">
        <f t="shared" si="22"/>
        <v>5.0884353741496607E-2</v>
      </c>
      <c r="BO59" s="1266"/>
      <c r="BP59" s="1134"/>
      <c r="BQ59" s="708"/>
      <c r="BR59" s="708"/>
    </row>
    <row r="60" spans="2:70" ht="88.2" customHeight="1">
      <c r="B60" s="1136"/>
      <c r="C60" s="1212"/>
      <c r="D60" s="1263"/>
      <c r="E60" s="1263"/>
      <c r="F60" s="1211" t="s">
        <v>1018</v>
      </c>
      <c r="G60" s="1211" t="s">
        <v>1019</v>
      </c>
      <c r="H60" s="630" t="str">
        <f>+'1.Informe Seguimiento POA 2022'!D64</f>
        <v xml:space="preserve">4.3.4 Formular e implementar el 100% del Plan Institucional de Capacitación de la vigencia.
</v>
      </c>
      <c r="I60" s="124">
        <f>+'1.Informe Seguimiento POA 2022'!E64</f>
        <v>0.15</v>
      </c>
      <c r="J60" s="684">
        <f>+'1.Informe Seguimiento POA 2022'!F64</f>
        <v>1</v>
      </c>
      <c r="K60" s="632" t="str">
        <f>+'1.Informe Seguimiento POA 2022'!I64</f>
        <v>Gestión del Talento Humano</v>
      </c>
      <c r="L60" s="633" t="str">
        <f>+'1.Informe Seguimiento POA 2022'!J64</f>
        <v>Dependencia Líder: 
Dirección de Talento Humano
Dependencia Operativa:
Subdirección de Desarrollo del Talento Humano</v>
      </c>
      <c r="M60" s="647">
        <f>+'1.Informe Seguimiento POA 2022'!K64</f>
        <v>1</v>
      </c>
      <c r="N60" s="647">
        <f>+'1.Informe Seguimiento POA 2022'!L64</f>
        <v>1</v>
      </c>
      <c r="O60" s="647">
        <f>+'1.Informe Seguimiento POA 2022'!M64</f>
        <v>1</v>
      </c>
      <c r="P60" s="647">
        <f>+'1.Informe Seguimiento POA 2022'!N64</f>
        <v>1</v>
      </c>
      <c r="Q60" s="690">
        <v>0.24100000000000002</v>
      </c>
      <c r="R60" s="690">
        <v>0.24100000000000002</v>
      </c>
      <c r="S60" s="690">
        <v>0.27500000000000002</v>
      </c>
      <c r="T60" s="690">
        <v>0.2611</v>
      </c>
      <c r="U60" s="690">
        <v>0.16500000000000001</v>
      </c>
      <c r="V60" s="690">
        <v>0.16469999999999999</v>
      </c>
      <c r="W60" s="690">
        <v>0.31900000000000001</v>
      </c>
      <c r="X60" s="690">
        <v>0.41600000000000004</v>
      </c>
      <c r="Y60" s="642">
        <v>1</v>
      </c>
      <c r="Z60" s="643">
        <v>1.0828</v>
      </c>
      <c r="AA60" s="642">
        <v>1.0828</v>
      </c>
      <c r="AB60" s="690">
        <f>+'1.Informe Seguimiento POA 2022'!O64</f>
        <v>0.3</v>
      </c>
      <c r="AC60" s="690">
        <f>+'1.Informe Seguimiento POA 2022'!P64</f>
        <v>0.3</v>
      </c>
      <c r="AD60" s="690">
        <f>+'1.Informe Seguimiento POA 2022'!Q64</f>
        <v>0.15000000000000002</v>
      </c>
      <c r="AE60" s="690">
        <f>+'1.Informe Seguimiento POA 2022'!R64</f>
        <v>0.15000000000000002</v>
      </c>
      <c r="AF60" s="690">
        <f>+'1.Informe Seguimiento POA 2022'!S64</f>
        <v>0.2</v>
      </c>
      <c r="AG60" s="690">
        <f>+'1.Informe Seguimiento POA 2022'!T64</f>
        <v>0.1</v>
      </c>
      <c r="AH60" s="690">
        <f>+'1.Informe Seguimiento POA 2022'!U64</f>
        <v>0.35000000000000003</v>
      </c>
      <c r="AI60" s="690">
        <f>+'1.Informe Seguimiento POA 2022'!V64</f>
        <v>0.44999999999999996</v>
      </c>
      <c r="AJ60" s="642">
        <f>+'1.Informe Seguimiento POA 2022'!X64</f>
        <v>1</v>
      </c>
      <c r="AK60" s="643">
        <f>+'1.Informe Seguimiento POA 2022'!Y64</f>
        <v>1</v>
      </c>
      <c r="AL60" s="642">
        <f>+'1.Informe Seguimiento POA 2022'!Z64</f>
        <v>1</v>
      </c>
      <c r="AM60" s="1221"/>
      <c r="AN60" s="642"/>
      <c r="AO60" s="642"/>
      <c r="AP60" s="642"/>
      <c r="AQ60" s="642"/>
      <c r="AR60" s="642"/>
      <c r="AS60" s="642"/>
      <c r="AT60" s="642"/>
      <c r="AU60" s="642"/>
      <c r="AV60" s="642">
        <f t="shared" si="23"/>
        <v>1</v>
      </c>
      <c r="AW60" s="642"/>
      <c r="AX60" s="642"/>
      <c r="AY60" s="642"/>
      <c r="AZ60" s="642"/>
      <c r="BA60" s="642"/>
      <c r="BB60" s="642"/>
      <c r="BC60" s="642"/>
      <c r="BD60" s="642"/>
      <c r="BE60" s="642"/>
      <c r="BF60" s="642"/>
      <c r="BG60" s="642">
        <f t="shared" si="24"/>
        <v>1</v>
      </c>
      <c r="BH60" s="642"/>
      <c r="BI60" s="642"/>
      <c r="BJ60" s="993">
        <f t="shared" ref="BJ60:BK63" si="29">AVERAGE((Q60+S60+U60+W60),(AB60+AD60+AF60+AH60))</f>
        <v>1</v>
      </c>
      <c r="BK60" s="993">
        <f t="shared" si="29"/>
        <v>1.0413999999999999</v>
      </c>
      <c r="BL60" s="698">
        <f t="shared" si="15"/>
        <v>1.0413999999999999</v>
      </c>
      <c r="BM60" s="993">
        <f>(IF(AND(AK60&gt;0,$J60&gt;0),AK60/$J60,0)/4)*2</f>
        <v>0.5</v>
      </c>
      <c r="BN60" s="650">
        <f t="shared" si="22"/>
        <v>7.4999999999999997E-2</v>
      </c>
      <c r="BO60" s="1266"/>
      <c r="BP60" s="1134"/>
      <c r="BQ60" s="708"/>
      <c r="BR60" s="708"/>
    </row>
    <row r="61" spans="2:70" ht="88.2" customHeight="1">
      <c r="B61" s="1136"/>
      <c r="C61" s="1212"/>
      <c r="D61" s="1263"/>
      <c r="E61" s="1263"/>
      <c r="F61" s="1212"/>
      <c r="G61" s="1212"/>
      <c r="H61" s="630" t="str">
        <f>+'1.Informe Seguimiento POA 2022'!D65</f>
        <v>4.3.5 Formular e implementar el 100% del Plan Institucional de Bienestar de la vigencia .</v>
      </c>
      <c r="I61" s="124">
        <f>+'1.Informe Seguimiento POA 2022'!E65</f>
        <v>0.15</v>
      </c>
      <c r="J61" s="684">
        <f>+'1.Informe Seguimiento POA 2022'!F65</f>
        <v>1</v>
      </c>
      <c r="K61" s="632" t="str">
        <f>+'1.Informe Seguimiento POA 2022'!I65</f>
        <v>Gestión del Talento Humano</v>
      </c>
      <c r="L61" s="633" t="str">
        <f>+'1.Informe Seguimiento POA 2022'!J65</f>
        <v>Dependencia Líder: 
Dirección de Talento Humano
Dependencia Operativa:
Subdirección de Desarrollo del Talento Humano</v>
      </c>
      <c r="M61" s="647">
        <f>+'1.Informe Seguimiento POA 2022'!K65</f>
        <v>1</v>
      </c>
      <c r="N61" s="647">
        <f>+'1.Informe Seguimiento POA 2022'!L65</f>
        <v>1</v>
      </c>
      <c r="O61" s="647">
        <f>+'1.Informe Seguimiento POA 2022'!M65</f>
        <v>1</v>
      </c>
      <c r="P61" s="647">
        <f>+'1.Informe Seguimiento POA 2022'!N65</f>
        <v>1</v>
      </c>
      <c r="Q61" s="648">
        <v>0.308</v>
      </c>
      <c r="R61" s="648">
        <v>0.308</v>
      </c>
      <c r="S61" s="648">
        <v>0.187</v>
      </c>
      <c r="T61" s="648">
        <v>0.2016</v>
      </c>
      <c r="U61" s="648">
        <v>0.19700000000000001</v>
      </c>
      <c r="V61" s="648">
        <v>0.30000000000000004</v>
      </c>
      <c r="W61" s="648">
        <v>0.308</v>
      </c>
      <c r="X61" s="648">
        <v>0.32900000000000001</v>
      </c>
      <c r="Y61" s="642">
        <v>1</v>
      </c>
      <c r="Z61" s="643">
        <v>1.1386000000000001</v>
      </c>
      <c r="AA61" s="642">
        <v>1.1386000000000001</v>
      </c>
      <c r="AB61" s="648">
        <f>+'1.Informe Seguimiento POA 2022'!O65</f>
        <v>0.25830000000000003</v>
      </c>
      <c r="AC61" s="648">
        <f>+'1.Informe Seguimiento POA 2022'!P65</f>
        <v>0.25830000000000003</v>
      </c>
      <c r="AD61" s="648">
        <f>+'1.Informe Seguimiento POA 2022'!Q65</f>
        <v>0.17499999999999999</v>
      </c>
      <c r="AE61" s="648">
        <f>+'1.Informe Seguimiento POA 2022'!R65</f>
        <v>0.1361</v>
      </c>
      <c r="AF61" s="648">
        <f>+'1.Informe Seguimiento POA 2022'!S65</f>
        <v>0.22369999999999995</v>
      </c>
      <c r="AG61" s="648">
        <f>+'1.Informe Seguimiento POA 2022'!T65</f>
        <v>0.24309999999999998</v>
      </c>
      <c r="AH61" s="648">
        <f>+'1.Informe Seguimiento POA 2022'!U65</f>
        <v>0.34299999999999997</v>
      </c>
      <c r="AI61" s="648">
        <f>+'1.Informe Seguimiento POA 2022'!V65</f>
        <v>0.34289999999999998</v>
      </c>
      <c r="AJ61" s="642">
        <f>+'1.Informe Seguimiento POA 2022'!X65</f>
        <v>1</v>
      </c>
      <c r="AK61" s="643">
        <f>+'1.Informe Seguimiento POA 2022'!Y65</f>
        <v>0.98039999999999994</v>
      </c>
      <c r="AL61" s="642">
        <f>+'1.Informe Seguimiento POA 2022'!Z65</f>
        <v>0.98039999999999994</v>
      </c>
      <c r="AM61" s="1221"/>
      <c r="AN61" s="642"/>
      <c r="AO61" s="642"/>
      <c r="AP61" s="642"/>
      <c r="AQ61" s="642"/>
      <c r="AR61" s="642"/>
      <c r="AS61" s="642"/>
      <c r="AT61" s="642"/>
      <c r="AU61" s="642"/>
      <c r="AV61" s="642">
        <f t="shared" si="23"/>
        <v>1</v>
      </c>
      <c r="AW61" s="642"/>
      <c r="AX61" s="642"/>
      <c r="AY61" s="642"/>
      <c r="AZ61" s="642"/>
      <c r="BA61" s="642"/>
      <c r="BB61" s="642"/>
      <c r="BC61" s="642"/>
      <c r="BD61" s="642"/>
      <c r="BE61" s="642"/>
      <c r="BF61" s="642"/>
      <c r="BG61" s="642">
        <f t="shared" si="24"/>
        <v>1</v>
      </c>
      <c r="BH61" s="642"/>
      <c r="BI61" s="642"/>
      <c r="BJ61" s="993">
        <f t="shared" si="29"/>
        <v>1</v>
      </c>
      <c r="BK61" s="993">
        <f t="shared" si="29"/>
        <v>1.0594999999999999</v>
      </c>
      <c r="BL61" s="698">
        <f t="shared" si="15"/>
        <v>1.0594999999999999</v>
      </c>
      <c r="BM61" s="993">
        <f>(IF(AND(AK61&gt;0,$J61&gt;0),AK61/$J61,0)/4)*2</f>
        <v>0.49019999999999997</v>
      </c>
      <c r="BN61" s="650">
        <f t="shared" si="22"/>
        <v>7.3529999999999998E-2</v>
      </c>
      <c r="BO61" s="1266"/>
      <c r="BP61" s="1134"/>
      <c r="BQ61" s="708"/>
      <c r="BR61" s="708"/>
    </row>
    <row r="62" spans="2:70" ht="88.2" customHeight="1">
      <c r="B62" s="1136"/>
      <c r="C62" s="1212"/>
      <c r="D62" s="1263"/>
      <c r="E62" s="1263"/>
      <c r="F62" s="1212"/>
      <c r="G62" s="1212"/>
      <c r="H62" s="630" t="str">
        <f>+'1.Informe Seguimiento POA 2022'!D66</f>
        <v>4.3.6 Formular e implementar el 100% del Plan Institucional de Incentivos de la vigencia.</v>
      </c>
      <c r="I62" s="124">
        <f>+'1.Informe Seguimiento POA 2022'!E66</f>
        <v>0.15</v>
      </c>
      <c r="J62" s="684">
        <f>+'1.Informe Seguimiento POA 2022'!F66</f>
        <v>1</v>
      </c>
      <c r="K62" s="632" t="str">
        <f>+'1.Informe Seguimiento POA 2022'!I66</f>
        <v>Gestión del Talento Humano</v>
      </c>
      <c r="L62" s="633" t="str">
        <f>+'1.Informe Seguimiento POA 2022'!J66</f>
        <v>Dependencia Líder: 
Dirección de Talento Humano
Dependencia Operativa:
Subdirección de Desarrollo del Talento Humano</v>
      </c>
      <c r="M62" s="647">
        <f>+'1.Informe Seguimiento POA 2022'!K66</f>
        <v>1</v>
      </c>
      <c r="N62" s="647">
        <f>+'1.Informe Seguimiento POA 2022'!L66</f>
        <v>1</v>
      </c>
      <c r="O62" s="647">
        <f>+'1.Informe Seguimiento POA 2022'!M66</f>
        <v>1</v>
      </c>
      <c r="P62" s="647">
        <f>+'1.Informe Seguimiento POA 2022'!N66</f>
        <v>1</v>
      </c>
      <c r="Q62" s="648">
        <v>0.26424999999999998</v>
      </c>
      <c r="R62" s="648">
        <v>0.248</v>
      </c>
      <c r="S62" s="648">
        <v>0.17525000000000002</v>
      </c>
      <c r="T62" s="648">
        <v>4.7800000000000002E-2</v>
      </c>
      <c r="U62" s="648">
        <v>0.1275</v>
      </c>
      <c r="V62" s="648">
        <v>0.22270000000000001</v>
      </c>
      <c r="W62" s="648">
        <v>0.433</v>
      </c>
      <c r="X62" s="648">
        <v>0.51300000000000001</v>
      </c>
      <c r="Y62" s="642">
        <v>1</v>
      </c>
      <c r="Z62" s="643">
        <v>1.0314999999999999</v>
      </c>
      <c r="AA62" s="642">
        <v>1.0314999999999999</v>
      </c>
      <c r="AB62" s="648">
        <f>+'1.Informe Seguimiento POA 2022'!O66</f>
        <v>0.25</v>
      </c>
      <c r="AC62" s="648">
        <f>+'1.Informe Seguimiento POA 2022'!P66</f>
        <v>0.25</v>
      </c>
      <c r="AD62" s="648">
        <f>+'1.Informe Seguimiento POA 2022'!Q66</f>
        <v>0.1</v>
      </c>
      <c r="AE62" s="648">
        <f>+'1.Informe Seguimiento POA 2022'!R66</f>
        <v>0.1</v>
      </c>
      <c r="AF62" s="648">
        <f>+'1.Informe Seguimiento POA 2022'!S66</f>
        <v>0.1</v>
      </c>
      <c r="AG62" s="648">
        <f>+'1.Informe Seguimiento POA 2022'!T66</f>
        <v>0.1</v>
      </c>
      <c r="AH62" s="648">
        <f>+'1.Informe Seguimiento POA 2022'!U66</f>
        <v>0.54999999999999993</v>
      </c>
      <c r="AI62" s="648">
        <f>+'1.Informe Seguimiento POA 2022'!V66</f>
        <v>0.5</v>
      </c>
      <c r="AJ62" s="642">
        <f>+'1.Informe Seguimiento POA 2022'!X66</f>
        <v>0.99999999999999989</v>
      </c>
      <c r="AK62" s="643">
        <f>+'1.Informe Seguimiento POA 2022'!Y66</f>
        <v>0.95</v>
      </c>
      <c r="AL62" s="642">
        <f>+'1.Informe Seguimiento POA 2022'!Z66</f>
        <v>0.95000000000000007</v>
      </c>
      <c r="AM62" s="1221"/>
      <c r="AN62" s="642"/>
      <c r="AO62" s="642"/>
      <c r="AP62" s="642"/>
      <c r="AQ62" s="642"/>
      <c r="AR62" s="642"/>
      <c r="AS62" s="642"/>
      <c r="AT62" s="642"/>
      <c r="AU62" s="642"/>
      <c r="AV62" s="642">
        <f t="shared" si="23"/>
        <v>1</v>
      </c>
      <c r="AW62" s="642"/>
      <c r="AX62" s="642"/>
      <c r="AY62" s="642"/>
      <c r="AZ62" s="642"/>
      <c r="BA62" s="642"/>
      <c r="BB62" s="642"/>
      <c r="BC62" s="642"/>
      <c r="BD62" s="642"/>
      <c r="BE62" s="642"/>
      <c r="BF62" s="642"/>
      <c r="BG62" s="642">
        <f t="shared" si="24"/>
        <v>1</v>
      </c>
      <c r="BH62" s="642"/>
      <c r="BI62" s="642"/>
      <c r="BJ62" s="993">
        <f t="shared" si="29"/>
        <v>1</v>
      </c>
      <c r="BK62" s="993">
        <f t="shared" si="29"/>
        <v>0.99074999999999991</v>
      </c>
      <c r="BL62" s="698">
        <f t="shared" si="15"/>
        <v>0.99074999999999991</v>
      </c>
      <c r="BM62" s="993">
        <f>(IF(AND(BK62&gt;0,$J62&gt;0),BK62/$J62,0)/4)*2</f>
        <v>0.49537499999999995</v>
      </c>
      <c r="BN62" s="650">
        <f t="shared" si="22"/>
        <v>7.430624999999999E-2</v>
      </c>
      <c r="BO62" s="1266"/>
      <c r="BP62" s="1134"/>
      <c r="BQ62" s="708"/>
      <c r="BR62" s="708"/>
    </row>
    <row r="63" spans="2:70" ht="88.2" customHeight="1">
      <c r="B63" s="1136"/>
      <c r="C63" s="1212"/>
      <c r="D63" s="1263"/>
      <c r="E63" s="1263"/>
      <c r="F63" s="1217"/>
      <c r="G63" s="1217"/>
      <c r="H63" s="630" t="str">
        <f>+'1.Informe Seguimiento POA 2022'!D67</f>
        <v>4.3.7 Diseñar e implementar el 100 % del Plan Anual de Trabajo del Sistema de Gestión de Seguridad y Salud en el Trabajo SG-SST de la vigencia.</v>
      </c>
      <c r="I63" s="124">
        <f>+'1.Informe Seguimiento POA 2022'!E67</f>
        <v>0.15</v>
      </c>
      <c r="J63" s="684">
        <f>+'1.Informe Seguimiento POA 2022'!F67</f>
        <v>1</v>
      </c>
      <c r="K63" s="632" t="str">
        <f>+'1.Informe Seguimiento POA 2022'!I67</f>
        <v>Gestión del Talento Humano</v>
      </c>
      <c r="L63" s="633" t="str">
        <f>+'1.Informe Seguimiento POA 2022'!J67</f>
        <v>Dependencia Líder: 
Dirección de Talento Humano
Dependencia Operativa:
Subdirección de Desarrollo del Talento Humano</v>
      </c>
      <c r="M63" s="647">
        <f>+'1.Informe Seguimiento POA 2022'!K67</f>
        <v>1</v>
      </c>
      <c r="N63" s="647">
        <f>+'1.Informe Seguimiento POA 2022'!L67</f>
        <v>1</v>
      </c>
      <c r="O63" s="647">
        <f>+'1.Informe Seguimiento POA 2022'!M67</f>
        <v>1</v>
      </c>
      <c r="P63" s="647">
        <f>+'1.Informe Seguimiento POA 2022'!N67</f>
        <v>1</v>
      </c>
      <c r="Q63" s="648">
        <v>0.38924999999999998</v>
      </c>
      <c r="R63" s="648">
        <v>0.38400000000000001</v>
      </c>
      <c r="S63" s="648">
        <v>0.14124999999999999</v>
      </c>
      <c r="T63" s="648">
        <v>0.14529999999999998</v>
      </c>
      <c r="U63" s="648">
        <v>0.14424999999999999</v>
      </c>
      <c r="V63" s="648">
        <v>0.1368</v>
      </c>
      <c r="W63" s="648">
        <v>0.32525000000000004</v>
      </c>
      <c r="X63" s="648">
        <v>0.33325000000000005</v>
      </c>
      <c r="Y63" s="642">
        <v>1</v>
      </c>
      <c r="Z63" s="643">
        <v>0.99935000000000007</v>
      </c>
      <c r="AA63" s="642">
        <v>0.99935000000000007</v>
      </c>
      <c r="AB63" s="648">
        <f>+'1.Informe Seguimiento POA 2022'!O67</f>
        <v>0.40160000000000001</v>
      </c>
      <c r="AC63" s="648">
        <f>+'1.Informe Seguimiento POA 2022'!P67</f>
        <v>0.40160000000000001</v>
      </c>
      <c r="AD63" s="648">
        <f>+'1.Informe Seguimiento POA 2022'!Q67</f>
        <v>0.19600000000000001</v>
      </c>
      <c r="AE63" s="648">
        <f>+'1.Informe Seguimiento POA 2022'!R67</f>
        <v>0.19600000000000001</v>
      </c>
      <c r="AF63" s="648">
        <f>+'1.Informe Seguimiento POA 2022'!S67</f>
        <v>0.1232</v>
      </c>
      <c r="AG63" s="648">
        <f>+'1.Informe Seguimiento POA 2022'!T67</f>
        <v>0.12319999999999999</v>
      </c>
      <c r="AH63" s="648">
        <f>+'1.Informe Seguimiento POA 2022'!U67</f>
        <v>0.2792</v>
      </c>
      <c r="AI63" s="648">
        <f>+'1.Informe Seguimiento POA 2022'!V67</f>
        <v>0.2792</v>
      </c>
      <c r="AJ63" s="642">
        <f>+'1.Informe Seguimiento POA 2022'!X67</f>
        <v>1</v>
      </c>
      <c r="AK63" s="643">
        <f>+'1.Informe Seguimiento POA 2022'!Y67</f>
        <v>1</v>
      </c>
      <c r="AL63" s="642">
        <f>+'1.Informe Seguimiento POA 2022'!Z67</f>
        <v>1</v>
      </c>
      <c r="AM63" s="1221"/>
      <c r="AN63" s="642"/>
      <c r="AO63" s="642"/>
      <c r="AP63" s="642"/>
      <c r="AQ63" s="642"/>
      <c r="AR63" s="642"/>
      <c r="AS63" s="642"/>
      <c r="AT63" s="642"/>
      <c r="AU63" s="642"/>
      <c r="AV63" s="642">
        <f t="shared" si="23"/>
        <v>1</v>
      </c>
      <c r="AW63" s="642"/>
      <c r="AX63" s="642"/>
      <c r="AY63" s="642"/>
      <c r="AZ63" s="642"/>
      <c r="BA63" s="642"/>
      <c r="BB63" s="642"/>
      <c r="BC63" s="642"/>
      <c r="BD63" s="642"/>
      <c r="BE63" s="642"/>
      <c r="BF63" s="642"/>
      <c r="BG63" s="642">
        <f t="shared" si="24"/>
        <v>1</v>
      </c>
      <c r="BH63" s="642"/>
      <c r="BI63" s="642"/>
      <c r="BJ63" s="993">
        <f t="shared" si="29"/>
        <v>1</v>
      </c>
      <c r="BK63" s="993">
        <f t="shared" si="29"/>
        <v>0.99967500000000009</v>
      </c>
      <c r="BL63" s="698">
        <f t="shared" si="15"/>
        <v>0.99967500000000009</v>
      </c>
      <c r="BM63" s="993">
        <f>(IF(AND(BK63&gt;0,$J63&gt;0),BK63/$J63,0)/4)*2</f>
        <v>0.49983750000000005</v>
      </c>
      <c r="BN63" s="650">
        <f t="shared" si="22"/>
        <v>7.4975625000000004E-2</v>
      </c>
      <c r="BO63" s="1266"/>
      <c r="BP63" s="1134"/>
      <c r="BQ63" s="708"/>
      <c r="BR63" s="708"/>
    </row>
    <row r="64" spans="2:70" ht="107.4" customHeight="1">
      <c r="B64" s="1136"/>
      <c r="C64" s="1213"/>
      <c r="D64" s="1264"/>
      <c r="E64" s="1264"/>
      <c r="F64" s="1003" t="str">
        <f>+'1.Informe Seguimiento POA 2022'!H68</f>
        <v>Capacitaciones realizadas sobre los Sistemas de Gestión y Evaluación del Desempeño Laboral de la Personería de Bogotá, D.C.</v>
      </c>
      <c r="G64" s="1003" t="str">
        <f>+'08-G. DEL TALENTO HUMANO'!J23</f>
        <v>Número de capacitacionese realizadas sobre los Sistemas de Gestión y Evaluación del Desempeño Laboral de la Personería de Bogotá, D.C.</v>
      </c>
      <c r="H64" s="630" t="str">
        <f>+'1.Informe Seguimiento POA 2022'!D68</f>
        <v>4.3.8 Realizar 21 capacitaciones sobre los Sistemas de Gestión y Evaluación del Desempeño Laboral de la Entidad.</v>
      </c>
      <c r="I64" s="124">
        <f>+'1.Informe Seguimiento POA 2022'!E68</f>
        <v>0.1</v>
      </c>
      <c r="J64" s="631">
        <f>+'1.Informe Seguimiento POA 2022'!F68</f>
        <v>21</v>
      </c>
      <c r="K64" s="632" t="str">
        <f>+'1.Informe Seguimiento POA 2022'!I68</f>
        <v>Gestión del Talento Humano</v>
      </c>
      <c r="L64" s="633" t="str">
        <f>+'1.Informe Seguimiento POA 2022'!J68</f>
        <v>Dirección de Talento Humano</v>
      </c>
      <c r="M64" s="651">
        <f>+'1.Informe Seguimiento POA 2022'!K68</f>
        <v>9</v>
      </c>
      <c r="N64" s="651">
        <f>+'1.Informe Seguimiento POA 2022'!L68</f>
        <v>4</v>
      </c>
      <c r="O64" s="651">
        <f>+'1.Informe Seguimiento POA 2022'!M68</f>
        <v>4</v>
      </c>
      <c r="P64" s="651">
        <f>+'1.Informe Seguimiento POA 2022'!N68</f>
        <v>4</v>
      </c>
      <c r="Q64" s="895">
        <v>3</v>
      </c>
      <c r="R64" s="895">
        <v>3</v>
      </c>
      <c r="S64" s="895">
        <v>0</v>
      </c>
      <c r="T64" s="895">
        <v>0</v>
      </c>
      <c r="U64" s="895">
        <v>3</v>
      </c>
      <c r="V64" s="895">
        <v>3</v>
      </c>
      <c r="W64" s="895">
        <v>3</v>
      </c>
      <c r="X64" s="895">
        <v>3</v>
      </c>
      <c r="Y64" s="635">
        <v>9</v>
      </c>
      <c r="Z64" s="635">
        <v>9</v>
      </c>
      <c r="AA64" s="636">
        <v>1</v>
      </c>
      <c r="AB64" s="651">
        <f>+'1.Informe Seguimiento POA 2022'!O68</f>
        <v>2</v>
      </c>
      <c r="AC64" s="651">
        <f>+'1.Informe Seguimiento POA 2022'!P68</f>
        <v>2</v>
      </c>
      <c r="AD64" s="651">
        <f>+'1.Informe Seguimiento POA 2022'!Q68</f>
        <v>1</v>
      </c>
      <c r="AE64" s="651">
        <f>+'1.Informe Seguimiento POA 2022'!R68</f>
        <v>1</v>
      </c>
      <c r="AF64" s="651">
        <f>+'1.Informe Seguimiento POA 2022'!S68</f>
        <v>1</v>
      </c>
      <c r="AG64" s="651">
        <f>+'1.Informe Seguimiento POA 2022'!T68</f>
        <v>1</v>
      </c>
      <c r="AH64" s="651">
        <f>+'1.Informe Seguimiento POA 2022'!U68</f>
        <v>0</v>
      </c>
      <c r="AI64" s="651">
        <f>+'1.Informe Seguimiento POA 2022'!V68</f>
        <v>0</v>
      </c>
      <c r="AJ64" s="635">
        <f>+'1.Informe Seguimiento POA 2022'!X68</f>
        <v>4</v>
      </c>
      <c r="AK64" s="635">
        <f>+'1.Informe Seguimiento POA 2022'!Y68</f>
        <v>4</v>
      </c>
      <c r="AL64" s="636">
        <f>+'1.Informe Seguimiento POA 2022'!Z68</f>
        <v>1</v>
      </c>
      <c r="AM64" s="1222"/>
      <c r="AN64" s="636"/>
      <c r="AO64" s="636"/>
      <c r="AP64" s="636"/>
      <c r="AQ64" s="636"/>
      <c r="AR64" s="636"/>
      <c r="AS64" s="636"/>
      <c r="AT64" s="636"/>
      <c r="AU64" s="636"/>
      <c r="AV64" s="635">
        <f t="shared" si="23"/>
        <v>4</v>
      </c>
      <c r="AW64" s="635"/>
      <c r="AX64" s="636"/>
      <c r="AY64" s="636"/>
      <c r="AZ64" s="636"/>
      <c r="BA64" s="636"/>
      <c r="BB64" s="636"/>
      <c r="BC64" s="636"/>
      <c r="BD64" s="636"/>
      <c r="BE64" s="636"/>
      <c r="BF64" s="636"/>
      <c r="BG64" s="635">
        <f t="shared" si="24"/>
        <v>4</v>
      </c>
      <c r="BH64" s="635"/>
      <c r="BI64" s="636"/>
      <c r="BJ64" s="635">
        <f>Q64+S64+U64+W64+AB64+AD64+AF64+AH64</f>
        <v>13</v>
      </c>
      <c r="BK64" s="635">
        <f>R64+T64+V64+X64+AC64+AE64+AG64+AI64</f>
        <v>13</v>
      </c>
      <c r="BL64" s="698">
        <f t="shared" si="15"/>
        <v>1</v>
      </c>
      <c r="BM64" s="993">
        <f>IF(AND(BK64&gt;0,$J64&gt;0),BK64/$J64,0)</f>
        <v>0.61904761904761907</v>
      </c>
      <c r="BN64" s="650">
        <f t="shared" si="22"/>
        <v>6.1904761904761907E-2</v>
      </c>
      <c r="BO64" s="1267"/>
      <c r="BP64" s="1134"/>
      <c r="BQ64" s="708"/>
      <c r="BR64" s="708"/>
    </row>
    <row r="65" spans="2:70" ht="76.5" customHeight="1">
      <c r="B65" s="1136"/>
      <c r="C65" s="1206" t="str">
        <f>+'Matriz PEI 2021-2024'!C23</f>
        <v>4.4. Implementar el 100% de las acciones necesarias para la modernización de la gestión institucional a través de los procesos de apoyo, que permita una mejor prestación del servicio.</v>
      </c>
      <c r="D65" s="1259">
        <f>+'Matriz PEI 2021-2024'!E23</f>
        <v>1</v>
      </c>
      <c r="E65" s="1259">
        <f>+'Matriz PEI 2021-2024'!D23</f>
        <v>0.14000000000000001</v>
      </c>
      <c r="F65" s="1218" t="s">
        <v>1020</v>
      </c>
      <c r="G65" s="1218" t="s">
        <v>1021</v>
      </c>
      <c r="H65" s="755" t="str">
        <f>+'1.Informe Seguimiento POA 2022'!D69</f>
        <v>4.4.1 Atender el 100% de los servicios de mantenimiento, almacén, transporte. Aseo y cafetería</v>
      </c>
      <c r="I65" s="682">
        <f>+'1.Informe Seguimiento POA 2022'!E69</f>
        <v>0.1</v>
      </c>
      <c r="J65" s="678">
        <f>+'1.Informe Seguimiento POA 2022'!F69</f>
        <v>1</v>
      </c>
      <c r="K65" s="683" t="str">
        <f>+'1.Informe Seguimiento POA 2022'!I69</f>
        <v>Gestión Administrativa</v>
      </c>
      <c r="L65" s="683" t="str">
        <f>+'1.Informe Seguimiento POA 2022'!J69</f>
        <v>Subdirección de Gestión Documental y Recursos Físicos
Dirección Administrativa y Financiera</v>
      </c>
      <c r="M65" s="644">
        <f>+'1.Informe Seguimiento POA 2022'!K69</f>
        <v>1</v>
      </c>
      <c r="N65" s="644">
        <f>+'1.Informe Seguimiento POA 2022'!L69</f>
        <v>1</v>
      </c>
      <c r="O65" s="644">
        <f>+'1.Informe Seguimiento POA 2022'!M69</f>
        <v>1</v>
      </c>
      <c r="P65" s="644">
        <f>+'1.Informe Seguimiento POA 2022'!N69</f>
        <v>1</v>
      </c>
      <c r="Q65" s="894">
        <v>1</v>
      </c>
      <c r="R65" s="894">
        <v>0.99633333333333329</v>
      </c>
      <c r="S65" s="894">
        <v>1</v>
      </c>
      <c r="T65" s="894">
        <v>1</v>
      </c>
      <c r="U65" s="894">
        <v>1</v>
      </c>
      <c r="V65" s="894">
        <v>1</v>
      </c>
      <c r="W65" s="894">
        <v>1</v>
      </c>
      <c r="X65" s="894">
        <v>1</v>
      </c>
      <c r="Y65" s="629">
        <v>1</v>
      </c>
      <c r="Z65" s="629">
        <v>0.999</v>
      </c>
      <c r="AA65" s="629">
        <v>0.999</v>
      </c>
      <c r="AB65" s="685">
        <f>+'1.Informe Seguimiento POA 2022'!O69</f>
        <v>1</v>
      </c>
      <c r="AC65" s="685">
        <f>+'1.Informe Seguimiento POA 2022'!P69</f>
        <v>1</v>
      </c>
      <c r="AD65" s="685">
        <f>+'1.Informe Seguimiento POA 2022'!Q69</f>
        <v>1</v>
      </c>
      <c r="AE65" s="685">
        <f>+'1.Informe Seguimiento POA 2022'!R69</f>
        <v>1</v>
      </c>
      <c r="AF65" s="685">
        <f>+'1.Informe Seguimiento POA 2022'!S69</f>
        <v>1</v>
      </c>
      <c r="AG65" s="685">
        <f>+'1.Informe Seguimiento POA 2022'!T69</f>
        <v>1</v>
      </c>
      <c r="AH65" s="685">
        <f>+'1.Informe Seguimiento POA 2022'!U69</f>
        <v>1</v>
      </c>
      <c r="AI65" s="685">
        <f>+'1.Informe Seguimiento POA 2022'!V69</f>
        <v>1</v>
      </c>
      <c r="AJ65" s="629">
        <f>+'1.Informe Seguimiento POA 2022'!X69</f>
        <v>1</v>
      </c>
      <c r="AK65" s="629">
        <f>+'1.Informe Seguimiento POA 2022'!Y69</f>
        <v>1</v>
      </c>
      <c r="AL65" s="629">
        <f>+'1.Informe Seguimiento POA 2022'!Z69</f>
        <v>1</v>
      </c>
      <c r="AM65" s="1223">
        <f>'1.Informe Seguimiento POA 2022'!AC69</f>
        <v>0.4890270621948995</v>
      </c>
      <c r="AN65" s="693"/>
      <c r="AO65" s="693"/>
      <c r="AP65" s="693"/>
      <c r="AQ65" s="693"/>
      <c r="AR65" s="693"/>
      <c r="AS65" s="693"/>
      <c r="AT65" s="693"/>
      <c r="AU65" s="693"/>
      <c r="AV65" s="678">
        <f t="shared" si="23"/>
        <v>1</v>
      </c>
      <c r="AW65" s="678"/>
      <c r="AX65" s="693"/>
      <c r="AY65" s="693"/>
      <c r="AZ65" s="693"/>
      <c r="BA65" s="693"/>
      <c r="BB65" s="693"/>
      <c r="BC65" s="693"/>
      <c r="BD65" s="693"/>
      <c r="BE65" s="693"/>
      <c r="BF65" s="693"/>
      <c r="BG65" s="678">
        <f t="shared" si="24"/>
        <v>1</v>
      </c>
      <c r="BH65" s="678"/>
      <c r="BI65" s="693"/>
      <c r="BJ65" s="628">
        <f>IFERROR(AVERAGE(Q65,S65,U65,W65,AB65,AD65,AF65,AH65),0)</f>
        <v>1</v>
      </c>
      <c r="BK65" s="628">
        <f>IFERROR(AVERAGE(R65,T65,V65,X65,AC65,AE65,AG65,AI65),0)</f>
        <v>0.99954166666666666</v>
      </c>
      <c r="BL65" s="627">
        <f t="shared" si="15"/>
        <v>0.99954166666666666</v>
      </c>
      <c r="BM65" s="627">
        <f t="shared" ref="BM65:BM72" si="30">(IF(AND(BK65&gt;0,$J65&gt;0),BK65/$J65,0)/4)*2</f>
        <v>0.49977083333333333</v>
      </c>
      <c r="BN65" s="656">
        <f t="shared" si="22"/>
        <v>4.9977083333333339E-2</v>
      </c>
      <c r="BO65" s="1198">
        <f>SUM(BN65:BN82)</f>
        <v>0.50601327943021401</v>
      </c>
      <c r="BP65" s="1134"/>
      <c r="BQ65" s="713"/>
      <c r="BR65" s="713"/>
    </row>
    <row r="66" spans="2:70" ht="62.25" customHeight="1">
      <c r="B66" s="1136"/>
      <c r="C66" s="1219"/>
      <c r="D66" s="1260"/>
      <c r="E66" s="1260"/>
      <c r="F66" s="1218"/>
      <c r="G66" s="1218"/>
      <c r="H66" s="755" t="str">
        <f>+'1.Informe Seguimiento POA 2022'!D70</f>
        <v>4.4.2 Ejecutar el 97% de las actividades del Plan Estratégico de Seguridad Vial (PESV)</v>
      </c>
      <c r="I66" s="682">
        <f>+'1.Informe Seguimiento POA 2022'!E70</f>
        <v>0.1</v>
      </c>
      <c r="J66" s="678">
        <f>+'1.Informe Seguimiento POA 2022'!F70</f>
        <v>0.97</v>
      </c>
      <c r="K66" s="683" t="str">
        <f>+'1.Informe Seguimiento POA 2022'!I70</f>
        <v>Gestión Administrativa</v>
      </c>
      <c r="L66" s="683" t="str">
        <f>+'1.Informe Seguimiento POA 2022'!J70</f>
        <v>Subdirección de Gestión Documental y Recursos Físicos
Dirección Administrativa y Financiera</v>
      </c>
      <c r="M66" s="644">
        <f>+'1.Informe Seguimiento POA 2022'!K70</f>
        <v>0.97</v>
      </c>
      <c r="N66" s="644">
        <f>+'1.Informe Seguimiento POA 2022'!L70</f>
        <v>0.97</v>
      </c>
      <c r="O66" s="644">
        <f>+'1.Informe Seguimiento POA 2022'!M70</f>
        <v>0.97</v>
      </c>
      <c r="P66" s="644">
        <f>+'1.Informe Seguimiento POA 2022'!N70</f>
        <v>0.97</v>
      </c>
      <c r="Q66" s="894">
        <v>0.97000000000000008</v>
      </c>
      <c r="R66" s="894">
        <v>1</v>
      </c>
      <c r="S66" s="894">
        <v>0.97000000000000008</v>
      </c>
      <c r="T66" s="894">
        <v>1.037037037037037</v>
      </c>
      <c r="U66" s="894">
        <v>0.97000000000000008</v>
      </c>
      <c r="V66" s="894">
        <v>1.1609999999999998</v>
      </c>
      <c r="W66" s="894">
        <v>0.97000000000000008</v>
      </c>
      <c r="X66" s="894">
        <v>1</v>
      </c>
      <c r="Y66" s="629">
        <v>0.97000000000000008</v>
      </c>
      <c r="Z66" s="629">
        <v>1.0489999999999999</v>
      </c>
      <c r="AA66" s="629">
        <v>1.0814432989690721</v>
      </c>
      <c r="AB66" s="685">
        <f>+'1.Informe Seguimiento POA 2022'!O70</f>
        <v>0.97000000000000008</v>
      </c>
      <c r="AC66" s="685">
        <f>+'1.Informe Seguimiento POA 2022'!P70</f>
        <v>1.0923333333333334</v>
      </c>
      <c r="AD66" s="685">
        <f>+'1.Informe Seguimiento POA 2022'!Q70</f>
        <v>0.97000000000000008</v>
      </c>
      <c r="AE66" s="685">
        <f>+'1.Informe Seguimiento POA 2022'!R70</f>
        <v>1.0946666666666667</v>
      </c>
      <c r="AF66" s="685">
        <f>+'1.Informe Seguimiento POA 2022'!S70</f>
        <v>0.97000000000000008</v>
      </c>
      <c r="AG66" s="685">
        <f>+'1.Informe Seguimiento POA 2022'!T70</f>
        <v>1.272</v>
      </c>
      <c r="AH66" s="685">
        <f>+'1.Informe Seguimiento POA 2022'!U70</f>
        <v>0.97000000000000008</v>
      </c>
      <c r="AI66" s="685">
        <f>+'1.Informe Seguimiento POA 2022'!V70</f>
        <v>1.0666666666666667</v>
      </c>
      <c r="AJ66" s="629">
        <f>+'1.Informe Seguimiento POA 2022'!X70</f>
        <v>0.97000000000000008</v>
      </c>
      <c r="AK66" s="629">
        <f>+'1.Informe Seguimiento POA 2022'!Y70</f>
        <v>1.131</v>
      </c>
      <c r="AL66" s="629">
        <f>+'1.Informe Seguimiento POA 2022'!Z70</f>
        <v>1.1659793814432988</v>
      </c>
      <c r="AM66" s="1224"/>
      <c r="AN66" s="693"/>
      <c r="AO66" s="693"/>
      <c r="AP66" s="693"/>
      <c r="AQ66" s="693"/>
      <c r="AR66" s="693"/>
      <c r="AS66" s="693"/>
      <c r="AT66" s="693"/>
      <c r="AU66" s="693"/>
      <c r="AV66" s="678">
        <f t="shared" si="23"/>
        <v>0.97</v>
      </c>
      <c r="AW66" s="678"/>
      <c r="AX66" s="693"/>
      <c r="AY66" s="693"/>
      <c r="AZ66" s="693"/>
      <c r="BA66" s="693"/>
      <c r="BB66" s="693"/>
      <c r="BC66" s="693"/>
      <c r="BD66" s="693"/>
      <c r="BE66" s="693"/>
      <c r="BF66" s="693"/>
      <c r="BG66" s="678">
        <f t="shared" si="24"/>
        <v>0.97</v>
      </c>
      <c r="BH66" s="678"/>
      <c r="BI66" s="693"/>
      <c r="BJ66" s="628">
        <f>IFERROR(AVERAGE(Q66,S66,U66,W66,AB66,AD66,AF66,AH66),0)</f>
        <v>0.97</v>
      </c>
      <c r="BK66" s="628">
        <f>IFERROR(AVERAGE(R66,T66,V66,X66,AC66,AE66,AG66,AI66),0)</f>
        <v>1.090462962962963</v>
      </c>
      <c r="BL66" s="627">
        <f t="shared" si="15"/>
        <v>1.124188621611302</v>
      </c>
      <c r="BM66" s="627">
        <f t="shared" si="30"/>
        <v>0.56209431080565098</v>
      </c>
      <c r="BN66" s="656">
        <f t="shared" si="22"/>
        <v>5.62094310805651E-2</v>
      </c>
      <c r="BO66" s="1199"/>
      <c r="BP66" s="1134"/>
      <c r="BQ66" s="713"/>
      <c r="BR66" s="713"/>
    </row>
    <row r="67" spans="2:70" ht="64.5" customHeight="1">
      <c r="B67" s="1136"/>
      <c r="C67" s="1219"/>
      <c r="D67" s="1260"/>
      <c r="E67" s="1260"/>
      <c r="F67" s="1218" t="s">
        <v>1022</v>
      </c>
      <c r="G67" s="1206" t="s">
        <v>1023</v>
      </c>
      <c r="H67" s="755" t="str">
        <f>+'1.Informe Seguimiento POA 2022'!D71</f>
        <v>4.4.3 Ejecutar el 95% del presupuesto aprobado para la Entidad</v>
      </c>
      <c r="I67" s="682">
        <f>+'1.Informe Seguimiento POA 2022'!E71</f>
        <v>7.0000000000000007E-2</v>
      </c>
      <c r="J67" s="678">
        <f>+'1.Informe Seguimiento POA 2022'!F71</f>
        <v>0.95</v>
      </c>
      <c r="K67" s="683" t="str">
        <f>+'1.Informe Seguimiento POA 2022'!I71</f>
        <v>Gestión Financiera</v>
      </c>
      <c r="L67" s="683" t="str">
        <f>+'1.Informe Seguimiento POA 2022'!J71</f>
        <v>Subdirección de Gestión Financiera
Dirección Administrativa y Financiera</v>
      </c>
      <c r="M67" s="644">
        <f>+'1.Informe Seguimiento POA 2022'!K71</f>
        <v>0.95</v>
      </c>
      <c r="N67" s="644">
        <f>+'1.Informe Seguimiento POA 2022'!L71</f>
        <v>0.95</v>
      </c>
      <c r="O67" s="644">
        <f>+'1.Informe Seguimiento POA 2022'!M71</f>
        <v>0.95</v>
      </c>
      <c r="P67" s="644">
        <f>+'1.Informe Seguimiento POA 2022'!N71</f>
        <v>0.95</v>
      </c>
      <c r="Q67" s="894">
        <v>0.22000000000000003</v>
      </c>
      <c r="R67" s="894">
        <v>0.20400000000000001</v>
      </c>
      <c r="S67" s="894">
        <v>0.25</v>
      </c>
      <c r="T67" s="894">
        <v>0.25800000000000001</v>
      </c>
      <c r="U67" s="894">
        <v>0.25</v>
      </c>
      <c r="V67" s="894">
        <v>0.19900000000000001</v>
      </c>
      <c r="W67" s="894">
        <v>0.23</v>
      </c>
      <c r="X67" s="894">
        <v>0.32799999999999996</v>
      </c>
      <c r="Y67" s="629">
        <v>0.95</v>
      </c>
      <c r="Z67" s="629">
        <v>0.98899999999999999</v>
      </c>
      <c r="AA67" s="629">
        <v>1.0410526315789475</v>
      </c>
      <c r="AB67" s="685">
        <f>+'1.Informe Seguimiento POA 2022'!O71</f>
        <v>0.22000000000000003</v>
      </c>
      <c r="AC67" s="685">
        <f>+'1.Informe Seguimiento POA 2022'!P71</f>
        <v>0.27100000000000002</v>
      </c>
      <c r="AD67" s="685">
        <f>+'1.Informe Seguimiento POA 2022'!Q71</f>
        <v>0.25</v>
      </c>
      <c r="AE67" s="685">
        <f>+'1.Informe Seguimiento POA 2022'!R71</f>
        <v>0.23899999999999999</v>
      </c>
      <c r="AF67" s="685">
        <f>+'1.Informe Seguimiento POA 2022'!S71</f>
        <v>0.25</v>
      </c>
      <c r="AG67" s="685">
        <f>+'1.Informe Seguimiento POA 2022'!T71</f>
        <v>0.21600000000000003</v>
      </c>
      <c r="AH67" s="685">
        <f>+'1.Informe Seguimiento POA 2022'!U71</f>
        <v>0.23</v>
      </c>
      <c r="AI67" s="685">
        <f>+'1.Informe Seguimiento POA 2022'!V71</f>
        <v>0.28700000000000003</v>
      </c>
      <c r="AJ67" s="629">
        <f>+'1.Informe Seguimiento POA 2022'!X71</f>
        <v>0.95</v>
      </c>
      <c r="AK67" s="629">
        <f>+'1.Informe Seguimiento POA 2022'!Y71</f>
        <v>1.0129999999999999</v>
      </c>
      <c r="AL67" s="629">
        <f>+'1.Informe Seguimiento POA 2022'!Z71</f>
        <v>1.0663157894736841</v>
      </c>
      <c r="AM67" s="1224"/>
      <c r="AN67" s="693"/>
      <c r="AO67" s="693"/>
      <c r="AP67" s="693"/>
      <c r="AQ67" s="693"/>
      <c r="AR67" s="693"/>
      <c r="AS67" s="693"/>
      <c r="AT67" s="693"/>
      <c r="AU67" s="693"/>
      <c r="AV67" s="678">
        <f t="shared" si="23"/>
        <v>0.95</v>
      </c>
      <c r="AW67" s="678"/>
      <c r="AX67" s="693"/>
      <c r="AY67" s="693"/>
      <c r="AZ67" s="693"/>
      <c r="BA67" s="693"/>
      <c r="BB67" s="693"/>
      <c r="BC67" s="693"/>
      <c r="BD67" s="693"/>
      <c r="BE67" s="693"/>
      <c r="BF67" s="693"/>
      <c r="BG67" s="678">
        <f t="shared" si="24"/>
        <v>0.95</v>
      </c>
      <c r="BH67" s="678"/>
      <c r="BI67" s="693"/>
      <c r="BJ67" s="908">
        <f t="shared" ref="BJ67:BK70" si="31">AVERAGE((Q67+S67+U67+W67),(AB67+AD67+AF67+AH67))</f>
        <v>0.95</v>
      </c>
      <c r="BK67" s="908">
        <f t="shared" si="31"/>
        <v>1.0009999999999999</v>
      </c>
      <c r="BL67" s="627">
        <f t="shared" si="15"/>
        <v>1.0536842105263158</v>
      </c>
      <c r="BM67" s="627">
        <f t="shared" si="30"/>
        <v>0.52684210526315789</v>
      </c>
      <c r="BN67" s="652">
        <f t="shared" si="22"/>
        <v>3.6878947368421053E-2</v>
      </c>
      <c r="BO67" s="1199"/>
      <c r="BP67" s="1134"/>
      <c r="BQ67" s="713"/>
      <c r="BR67" s="713"/>
    </row>
    <row r="68" spans="2:70" ht="64.5" customHeight="1">
      <c r="B68" s="1136"/>
      <c r="C68" s="1219"/>
      <c r="D68" s="1260"/>
      <c r="E68" s="1260"/>
      <c r="F68" s="1218"/>
      <c r="G68" s="1219"/>
      <c r="H68" s="755" t="str">
        <f>+'1.Informe Seguimiento POA 2022'!D72</f>
        <v>4.4.4 Programar y ejecutar el 95% de los compromisos de pago adquiridos por la Entidad</v>
      </c>
      <c r="I68" s="682">
        <f>+'1.Informe Seguimiento POA 2022'!E72</f>
        <v>7.0000000000000007E-2</v>
      </c>
      <c r="J68" s="678">
        <f>+'1.Informe Seguimiento POA 2022'!F72</f>
        <v>0.95</v>
      </c>
      <c r="K68" s="683" t="str">
        <f>+'1.Informe Seguimiento POA 2022'!I72</f>
        <v>Gestión Financiera</v>
      </c>
      <c r="L68" s="683" t="str">
        <f>+'1.Informe Seguimiento POA 2022'!J72</f>
        <v>Subdirección de Gestión Financiera
Dirección Administrativa y Financiera</v>
      </c>
      <c r="M68" s="644">
        <f>+'1.Informe Seguimiento POA 2022'!K72</f>
        <v>0.95</v>
      </c>
      <c r="N68" s="644">
        <f>+'1.Informe Seguimiento POA 2022'!L72</f>
        <v>0.95</v>
      </c>
      <c r="O68" s="644">
        <f>+'1.Informe Seguimiento POA 2022'!M72</f>
        <v>0.95</v>
      </c>
      <c r="P68" s="644">
        <f>+'1.Informe Seguimiento POA 2022'!N72</f>
        <v>0.95</v>
      </c>
      <c r="Q68" s="894">
        <v>0.14000000000000001</v>
      </c>
      <c r="R68" s="894">
        <v>9.7397917127575201E-2</v>
      </c>
      <c r="S68" s="894">
        <v>0.25</v>
      </c>
      <c r="T68" s="894">
        <v>0.23532220306748558</v>
      </c>
      <c r="U68" s="894">
        <v>0.23000000000000004</v>
      </c>
      <c r="V68" s="894">
        <v>0.22679170604630311</v>
      </c>
      <c r="W68" s="894">
        <v>0.32999999999999996</v>
      </c>
      <c r="X68" s="894">
        <v>0.38835271131297322</v>
      </c>
      <c r="Y68" s="629">
        <v>0.95000000000000007</v>
      </c>
      <c r="Z68" s="629">
        <v>0.94786453755433708</v>
      </c>
      <c r="AA68" s="629">
        <v>0.99775214479403895</v>
      </c>
      <c r="AB68" s="685">
        <f>+'1.Informe Seguimiento POA 2022'!O72</f>
        <v>0.14000000000000001</v>
      </c>
      <c r="AC68" s="685">
        <f>+'1.Informe Seguimiento POA 2022'!P72</f>
        <v>0.13159999999999999</v>
      </c>
      <c r="AD68" s="685">
        <f>+'1.Informe Seguimiento POA 2022'!Q72</f>
        <v>0.25</v>
      </c>
      <c r="AE68" s="685">
        <f>+'1.Informe Seguimiento POA 2022'!R72</f>
        <v>0.27860000000000001</v>
      </c>
      <c r="AF68" s="685">
        <f>+'1.Informe Seguimiento POA 2022'!S72</f>
        <v>0.23000000000000004</v>
      </c>
      <c r="AG68" s="685">
        <f>+'1.Informe Seguimiento POA 2022'!T72</f>
        <v>0.23043</v>
      </c>
      <c r="AH68" s="685">
        <f>+'1.Informe Seguimiento POA 2022'!U72</f>
        <v>0.32999999999999996</v>
      </c>
      <c r="AI68" s="685">
        <f>+'1.Informe Seguimiento POA 2022'!V72</f>
        <v>0.38486169428374289</v>
      </c>
      <c r="AJ68" s="629">
        <f>+'1.Informe Seguimiento POA 2022'!X72</f>
        <v>0.95000000000000007</v>
      </c>
      <c r="AK68" s="629">
        <f>+'1.Informe Seguimiento POA 2022'!Y72</f>
        <v>1.0254916942837429</v>
      </c>
      <c r="AL68" s="629">
        <f>+'1.Informe Seguimiento POA 2022'!Z72</f>
        <v>1.0794649413513082</v>
      </c>
      <c r="AM68" s="1224"/>
      <c r="AN68" s="693"/>
      <c r="AO68" s="693"/>
      <c r="AP68" s="693"/>
      <c r="AQ68" s="693"/>
      <c r="AR68" s="693"/>
      <c r="AS68" s="693"/>
      <c r="AT68" s="693"/>
      <c r="AU68" s="693"/>
      <c r="AV68" s="678">
        <f t="shared" si="23"/>
        <v>0.95</v>
      </c>
      <c r="AW68" s="678"/>
      <c r="AX68" s="693"/>
      <c r="AY68" s="693"/>
      <c r="AZ68" s="693"/>
      <c r="BA68" s="693"/>
      <c r="BB68" s="693"/>
      <c r="BC68" s="693"/>
      <c r="BD68" s="693"/>
      <c r="BE68" s="693"/>
      <c r="BF68" s="693"/>
      <c r="BG68" s="678">
        <f t="shared" si="24"/>
        <v>0.95</v>
      </c>
      <c r="BH68" s="678"/>
      <c r="BI68" s="693"/>
      <c r="BJ68" s="908">
        <f t="shared" si="31"/>
        <v>0.95000000000000007</v>
      </c>
      <c r="BK68" s="908">
        <f t="shared" si="31"/>
        <v>0.98667811591903998</v>
      </c>
      <c r="BL68" s="627">
        <f t="shared" si="15"/>
        <v>1.0386085430726737</v>
      </c>
      <c r="BM68" s="627">
        <f t="shared" si="30"/>
        <v>0.51930427153633685</v>
      </c>
      <c r="BN68" s="652">
        <f t="shared" si="22"/>
        <v>3.635129900754358E-2</v>
      </c>
      <c r="BO68" s="1199"/>
      <c r="BP68" s="1134"/>
      <c r="BQ68" s="713"/>
      <c r="BR68" s="713"/>
    </row>
    <row r="69" spans="2:70" ht="64.5" customHeight="1">
      <c r="B69" s="1136"/>
      <c r="C69" s="1219"/>
      <c r="D69" s="1260"/>
      <c r="E69" s="1260"/>
      <c r="F69" s="1218"/>
      <c r="G69" s="1207"/>
      <c r="H69" s="755" t="str">
        <f>+'1.Informe Seguimiento POA 2022'!D73</f>
        <v>4.4.5 Elaborar y presentar el 100% de los estados financieros de la Entidad</v>
      </c>
      <c r="I69" s="682">
        <f>+'1.Informe Seguimiento POA 2022'!E73</f>
        <v>0.06</v>
      </c>
      <c r="J69" s="678">
        <f>+'1.Informe Seguimiento POA 2022'!F73</f>
        <v>1</v>
      </c>
      <c r="K69" s="683" t="str">
        <f>+'1.Informe Seguimiento POA 2022'!I73</f>
        <v>Gestión Financiera</v>
      </c>
      <c r="L69" s="683" t="str">
        <f>+'1.Informe Seguimiento POA 2022'!J73</f>
        <v>Subdirección de Gestión Financiera
Dirección Administrativa y Financiera</v>
      </c>
      <c r="M69" s="644">
        <f>+'1.Informe Seguimiento POA 2022'!K73</f>
        <v>1</v>
      </c>
      <c r="N69" s="644">
        <f>+'1.Informe Seguimiento POA 2022'!L73</f>
        <v>1</v>
      </c>
      <c r="O69" s="644">
        <f>+'1.Informe Seguimiento POA 2022'!M73</f>
        <v>1</v>
      </c>
      <c r="P69" s="644">
        <f>+'1.Informe Seguimiento POA 2022'!N73</f>
        <v>1</v>
      </c>
      <c r="Q69" s="894">
        <v>0.25</v>
      </c>
      <c r="R69" s="894">
        <v>0.25</v>
      </c>
      <c r="S69" s="894">
        <v>0.25</v>
      </c>
      <c r="T69" s="894">
        <v>0.25</v>
      </c>
      <c r="U69" s="894">
        <v>0.25</v>
      </c>
      <c r="V69" s="894">
        <v>0.25</v>
      </c>
      <c r="W69" s="894">
        <v>0.25</v>
      </c>
      <c r="X69" s="894">
        <v>0.25</v>
      </c>
      <c r="Y69" s="629">
        <v>1</v>
      </c>
      <c r="Z69" s="629">
        <v>1</v>
      </c>
      <c r="AA69" s="629">
        <v>1</v>
      </c>
      <c r="AB69" s="685">
        <f>+'1.Informe Seguimiento POA 2022'!O73</f>
        <v>0.25</v>
      </c>
      <c r="AC69" s="685">
        <f>+'1.Informe Seguimiento POA 2022'!P73</f>
        <v>0.25</v>
      </c>
      <c r="AD69" s="685">
        <f>+'1.Informe Seguimiento POA 2022'!Q73</f>
        <v>0.25</v>
      </c>
      <c r="AE69" s="685">
        <f>+'1.Informe Seguimiento POA 2022'!R73</f>
        <v>0.25</v>
      </c>
      <c r="AF69" s="685">
        <f>+'1.Informe Seguimiento POA 2022'!S73</f>
        <v>0.25</v>
      </c>
      <c r="AG69" s="685">
        <f>+'1.Informe Seguimiento POA 2022'!T73</f>
        <v>0.25</v>
      </c>
      <c r="AH69" s="685">
        <f>+'1.Informe Seguimiento POA 2022'!U73</f>
        <v>0.25</v>
      </c>
      <c r="AI69" s="685">
        <f>+'1.Informe Seguimiento POA 2022'!V73</f>
        <v>0.25</v>
      </c>
      <c r="AJ69" s="629">
        <f>+'1.Informe Seguimiento POA 2022'!X73</f>
        <v>1</v>
      </c>
      <c r="AK69" s="629">
        <f>+'1.Informe Seguimiento POA 2022'!Y73</f>
        <v>1</v>
      </c>
      <c r="AL69" s="629">
        <f>+'1.Informe Seguimiento POA 2022'!Z73</f>
        <v>1</v>
      </c>
      <c r="AM69" s="1224"/>
      <c r="AN69" s="693"/>
      <c r="AO69" s="693"/>
      <c r="AP69" s="693"/>
      <c r="AQ69" s="693"/>
      <c r="AR69" s="693"/>
      <c r="AS69" s="693"/>
      <c r="AT69" s="693"/>
      <c r="AU69" s="693"/>
      <c r="AV69" s="678">
        <f t="shared" si="23"/>
        <v>1</v>
      </c>
      <c r="AW69" s="678"/>
      <c r="AX69" s="693"/>
      <c r="AY69" s="693"/>
      <c r="AZ69" s="693"/>
      <c r="BA69" s="693"/>
      <c r="BB69" s="693"/>
      <c r="BC69" s="693"/>
      <c r="BD69" s="693"/>
      <c r="BE69" s="693"/>
      <c r="BF69" s="693"/>
      <c r="BG69" s="678">
        <f t="shared" si="24"/>
        <v>1</v>
      </c>
      <c r="BH69" s="678"/>
      <c r="BI69" s="693"/>
      <c r="BJ69" s="908">
        <f t="shared" si="31"/>
        <v>1</v>
      </c>
      <c r="BK69" s="908">
        <f t="shared" si="31"/>
        <v>1</v>
      </c>
      <c r="BL69" s="627">
        <f t="shared" si="15"/>
        <v>1</v>
      </c>
      <c r="BM69" s="627">
        <f t="shared" si="30"/>
        <v>0.5</v>
      </c>
      <c r="BN69" s="652">
        <f t="shared" si="22"/>
        <v>0.03</v>
      </c>
      <c r="BO69" s="1199"/>
      <c r="BP69" s="1134"/>
      <c r="BQ69" s="713"/>
      <c r="BR69" s="713"/>
    </row>
    <row r="70" spans="2:70" ht="78" customHeight="1">
      <c r="B70" s="1136"/>
      <c r="C70" s="1219"/>
      <c r="D70" s="1260"/>
      <c r="E70" s="1260"/>
      <c r="F70" s="992" t="str">
        <f>+'1.Informe Seguimiento POA 2022'!H74</f>
        <v xml:space="preserve">Porcentaje del Plan Anual de Adquisiciones ejecutado </v>
      </c>
      <c r="G70" s="992" t="str">
        <f>+'11-GESTIÓN CONTRACTUAL'!J16</f>
        <v>No. de adquisiciones realizadas /Total de adquisiciones planeadas *100</v>
      </c>
      <c r="H70" s="755" t="str">
        <f>+'1.Informe Seguimiento POA 2022'!D74</f>
        <v>4.4.6 Ejecutar el 95% del Plan Anual de Adquisiciones respecto de gastos generales</v>
      </c>
      <c r="I70" s="682">
        <f>+'1.Informe Seguimiento POA 2022'!E74</f>
        <v>0.1</v>
      </c>
      <c r="J70" s="678">
        <f>+'1.Informe Seguimiento POA 2022'!F74</f>
        <v>0.95</v>
      </c>
      <c r="K70" s="683" t="str">
        <f>+'1.Informe Seguimiento POA 2022'!I74</f>
        <v>Gestión Contractual</v>
      </c>
      <c r="L70" s="683" t="str">
        <f>+'1.Informe Seguimiento POA 2022'!J74</f>
        <v>Subdirección de Gestión Contractual
Dirección Administrativa y Financiera</v>
      </c>
      <c r="M70" s="644">
        <f>+'1.Informe Seguimiento POA 2022'!K74</f>
        <v>0.95</v>
      </c>
      <c r="N70" s="644">
        <f>+'1.Informe Seguimiento POA 2022'!L74</f>
        <v>0.95</v>
      </c>
      <c r="O70" s="644">
        <f>+'1.Informe Seguimiento POA 2022'!M74</f>
        <v>0.95</v>
      </c>
      <c r="P70" s="644">
        <f>+'1.Informe Seguimiento POA 2022'!N74</f>
        <v>0.95</v>
      </c>
      <c r="Q70" s="894">
        <v>0.56999999999999995</v>
      </c>
      <c r="R70" s="894">
        <v>0.33</v>
      </c>
      <c r="S70" s="894">
        <v>0.24</v>
      </c>
      <c r="T70" s="894">
        <v>0.16999999999999998</v>
      </c>
      <c r="U70" s="894">
        <v>0.08</v>
      </c>
      <c r="V70" s="894">
        <v>0.21000000000000002</v>
      </c>
      <c r="W70" s="894">
        <v>0.06</v>
      </c>
      <c r="X70" s="894">
        <v>0.15</v>
      </c>
      <c r="Y70" s="629">
        <v>0.95</v>
      </c>
      <c r="Z70" s="629">
        <v>0.86</v>
      </c>
      <c r="AA70" s="629">
        <v>0.90526315789473688</v>
      </c>
      <c r="AB70" s="685">
        <f>+'1.Informe Seguimiento POA 2022'!O74</f>
        <v>0.36000000000000004</v>
      </c>
      <c r="AC70" s="685">
        <f>+'1.Informe Seguimiento POA 2022'!P74</f>
        <v>0.38</v>
      </c>
      <c r="AD70" s="685">
        <f>+'1.Informe Seguimiento POA 2022'!Q74</f>
        <v>0.22000000000000003</v>
      </c>
      <c r="AE70" s="685">
        <f>+'1.Informe Seguimiento POA 2022'!R74</f>
        <v>0.16</v>
      </c>
      <c r="AF70" s="685">
        <f>+'1.Informe Seguimiento POA 2022'!S74</f>
        <v>0.21999999999999997</v>
      </c>
      <c r="AG70" s="685">
        <f>+'1.Informe Seguimiento POA 2022'!T74</f>
        <v>0.19</v>
      </c>
      <c r="AH70" s="685">
        <f>+'1.Informe Seguimiento POA 2022'!U74</f>
        <v>0.15000000000000002</v>
      </c>
      <c r="AI70" s="685">
        <f>+'1.Informe Seguimiento POA 2022'!V74</f>
        <v>0.25</v>
      </c>
      <c r="AJ70" s="629">
        <f>+'1.Informe Seguimiento POA 2022'!X74</f>
        <v>0.95000000000000007</v>
      </c>
      <c r="AK70" s="629">
        <f>+'1.Informe Seguimiento POA 2022'!Y74</f>
        <v>0.98</v>
      </c>
      <c r="AL70" s="629">
        <f>+'1.Informe Seguimiento POA 2022'!Z74</f>
        <v>1.0315789473684209</v>
      </c>
      <c r="AM70" s="1224"/>
      <c r="AN70" s="693"/>
      <c r="AO70" s="693"/>
      <c r="AP70" s="693"/>
      <c r="AQ70" s="693"/>
      <c r="AR70" s="693"/>
      <c r="AS70" s="693"/>
      <c r="AT70" s="693"/>
      <c r="AU70" s="693"/>
      <c r="AV70" s="678">
        <f t="shared" si="23"/>
        <v>0.95</v>
      </c>
      <c r="AW70" s="678"/>
      <c r="AX70" s="693"/>
      <c r="AY70" s="693"/>
      <c r="AZ70" s="693"/>
      <c r="BA70" s="693"/>
      <c r="BB70" s="693"/>
      <c r="BC70" s="693"/>
      <c r="BD70" s="693"/>
      <c r="BE70" s="693"/>
      <c r="BF70" s="693"/>
      <c r="BG70" s="678">
        <f t="shared" si="24"/>
        <v>0.95</v>
      </c>
      <c r="BH70" s="678"/>
      <c r="BI70" s="693"/>
      <c r="BJ70" s="908">
        <f t="shared" si="31"/>
        <v>0.95</v>
      </c>
      <c r="BK70" s="908">
        <f t="shared" si="31"/>
        <v>0.91999999999999993</v>
      </c>
      <c r="BL70" s="627">
        <f t="shared" si="15"/>
        <v>0.96842105263157896</v>
      </c>
      <c r="BM70" s="627">
        <f t="shared" si="30"/>
        <v>0.48421052631578948</v>
      </c>
      <c r="BN70" s="652">
        <f t="shared" si="22"/>
        <v>4.8421052631578948E-2</v>
      </c>
      <c r="BO70" s="1199"/>
      <c r="BP70" s="1134"/>
      <c r="BQ70" s="713"/>
      <c r="BR70" s="713"/>
    </row>
    <row r="71" spans="2:70" ht="96.75" customHeight="1">
      <c r="B71" s="1136"/>
      <c r="C71" s="1219"/>
      <c r="D71" s="1260"/>
      <c r="E71" s="1260"/>
      <c r="F71" s="992" t="str">
        <f>+'1.Informe Seguimiento POA 2022'!H75</f>
        <v>Porcentaje de Comunicaciones oficiales con reparto realizado dentro de los 3 días hábiles desde su radicación</v>
      </c>
      <c r="G71" s="992" t="str">
        <f>+'09-G.  ADMINISTRATIVA'!J16</f>
        <v>No. Servicios realizados /Total de servicios solicitados *100</v>
      </c>
      <c r="H71" s="755" t="str">
        <f>+'1.Informe Seguimiento POA 2022'!D75</f>
        <v>4.4.7 Realizar el 95% del reparto, dentro de un término no superior a tres (3) días hábiles, de las comunicaciones oficiales institucionales recibidas por el Grupo de Correspondencia.</v>
      </c>
      <c r="I71" s="682">
        <f>+'1.Informe Seguimiento POA 2022'!E75</f>
        <v>0.05</v>
      </c>
      <c r="J71" s="678">
        <f>+'1.Informe Seguimiento POA 2022'!F75</f>
        <v>0.95</v>
      </c>
      <c r="K71" s="683" t="str">
        <f>+'1.Informe Seguimiento POA 2022'!I75</f>
        <v>Gestión Documental</v>
      </c>
      <c r="L71" s="683" t="str">
        <f>+'1.Informe Seguimiento POA 2022'!J75</f>
        <v>Subdirección de Gestión Documental y Recursos Físicos - Grupo de Correspondencia</v>
      </c>
      <c r="M71" s="644">
        <f>+'1.Informe Seguimiento POA 2022'!K75</f>
        <v>0.95</v>
      </c>
      <c r="N71" s="644">
        <f>+'1.Informe Seguimiento POA 2022'!L75</f>
        <v>0.95</v>
      </c>
      <c r="O71" s="644">
        <f>+'1.Informe Seguimiento POA 2022'!M75</f>
        <v>0.95</v>
      </c>
      <c r="P71" s="644">
        <f>+'1.Informe Seguimiento POA 2022'!N75</f>
        <v>0.95</v>
      </c>
      <c r="Q71" s="894">
        <v>0.94999999999999984</v>
      </c>
      <c r="R71" s="894">
        <v>0.96200000000000008</v>
      </c>
      <c r="S71" s="894">
        <v>0.94999999999999984</v>
      </c>
      <c r="T71" s="894">
        <v>0.97633333333333328</v>
      </c>
      <c r="U71" s="894">
        <v>0.94999999999999984</v>
      </c>
      <c r="V71" s="894">
        <v>0.98399999999999999</v>
      </c>
      <c r="W71" s="894">
        <v>0.94999999999999984</v>
      </c>
      <c r="X71" s="894">
        <v>0.97166666666666668</v>
      </c>
      <c r="Y71" s="629">
        <v>0.94999999999999984</v>
      </c>
      <c r="Z71" s="629">
        <v>0.97299999999999998</v>
      </c>
      <c r="AA71" s="629">
        <v>1.0242105263157897</v>
      </c>
      <c r="AB71" s="685">
        <f>+'1.Informe Seguimiento POA 2022'!O75</f>
        <v>0.94999999999999984</v>
      </c>
      <c r="AC71" s="685">
        <f>+'1.Informe Seguimiento POA 2022'!P75</f>
        <v>0.98523333333333341</v>
      </c>
      <c r="AD71" s="685">
        <f>+'1.Informe Seguimiento POA 2022'!Q75</f>
        <v>0.94999999999999984</v>
      </c>
      <c r="AE71" s="685">
        <f>+'1.Informe Seguimiento POA 2022'!R75</f>
        <v>0.99406666666666654</v>
      </c>
      <c r="AF71" s="685">
        <f>+'1.Informe Seguimiento POA 2022'!S75</f>
        <v>0.94999999999999984</v>
      </c>
      <c r="AG71" s="685">
        <f>+'1.Informe Seguimiento POA 2022'!T75</f>
        <v>0.97889999999999999</v>
      </c>
      <c r="AH71" s="685">
        <f>+'1.Informe Seguimiento POA 2022'!U75</f>
        <v>0.94999999999999984</v>
      </c>
      <c r="AI71" s="685">
        <f>+'1.Informe Seguimiento POA 2022'!V75</f>
        <v>0.98053333333333337</v>
      </c>
      <c r="AJ71" s="629">
        <f>+'1.Informe Seguimiento POA 2022'!X75</f>
        <v>0.94999999999999984</v>
      </c>
      <c r="AK71" s="629">
        <f>+'1.Informe Seguimiento POA 2022'!Y75</f>
        <v>0.98399999999999999</v>
      </c>
      <c r="AL71" s="629">
        <f>+'1.Informe Seguimiento POA 2022'!Z75</f>
        <v>1.0357894736842106</v>
      </c>
      <c r="AM71" s="1224"/>
      <c r="AN71" s="693"/>
      <c r="AO71" s="693"/>
      <c r="AP71" s="693"/>
      <c r="AQ71" s="693"/>
      <c r="AR71" s="693"/>
      <c r="AS71" s="693"/>
      <c r="AT71" s="693"/>
      <c r="AU71" s="693"/>
      <c r="AV71" s="678">
        <f t="shared" si="23"/>
        <v>0.95</v>
      </c>
      <c r="AW71" s="678"/>
      <c r="AX71" s="693"/>
      <c r="AY71" s="693"/>
      <c r="AZ71" s="693"/>
      <c r="BA71" s="693"/>
      <c r="BB71" s="693"/>
      <c r="BC71" s="693"/>
      <c r="BD71" s="693"/>
      <c r="BE71" s="693"/>
      <c r="BF71" s="693"/>
      <c r="BG71" s="678">
        <f t="shared" si="24"/>
        <v>0.95</v>
      </c>
      <c r="BH71" s="678"/>
      <c r="BI71" s="693"/>
      <c r="BJ71" s="628">
        <f>IFERROR(AVERAGE(Q71,S71,U71,W71,AB71,AD71,AF71,AH71),0)</f>
        <v>0.95</v>
      </c>
      <c r="BK71" s="628">
        <f>IFERROR(AVERAGE(R71,T71,V71,X71,AC71,AE71,AG71,AI71),0)</f>
        <v>0.9790916666666668</v>
      </c>
      <c r="BL71" s="627">
        <f t="shared" si="15"/>
        <v>1.0306228070175441</v>
      </c>
      <c r="BM71" s="627">
        <f t="shared" si="30"/>
        <v>0.51531140350877203</v>
      </c>
      <c r="BN71" s="656">
        <f t="shared" si="22"/>
        <v>2.5765570175438603E-2</v>
      </c>
      <c r="BO71" s="1199"/>
      <c r="BP71" s="1134"/>
      <c r="BQ71" s="713"/>
      <c r="BR71" s="713"/>
    </row>
    <row r="72" spans="2:70" ht="76.5" customHeight="1">
      <c r="B72" s="1136"/>
      <c r="C72" s="1219"/>
      <c r="D72" s="1260"/>
      <c r="E72" s="1260"/>
      <c r="F72" s="992" t="str">
        <f>+'1.Informe Seguimiento POA 2022'!H76</f>
        <v>Porcentaje de documentación incorporada en el archivo central durante la vigencia.</v>
      </c>
      <c r="G72" s="992" t="str">
        <f>+'09-G.  ADMINISTRATIVA'!J17</f>
        <v>N° de actividades ejecutadas en el periodo/N° de actividades programadas en el PESV para la vigencia*100</v>
      </c>
      <c r="H72" s="755" t="str">
        <f>+'1.Informe Seguimiento POA 2022'!D76</f>
        <v>4.4.8 Incorporar el 80% al archivo central de las transferencias documentales provenientes de las dependencias, en razón a que cumplen los requisitos exigidos para ello.</v>
      </c>
      <c r="I72" s="682">
        <f>+'1.Informe Seguimiento POA 2022'!E76</f>
        <v>0.05</v>
      </c>
      <c r="J72" s="678">
        <f>+'1.Informe Seguimiento POA 2022'!F76</f>
        <v>0.8</v>
      </c>
      <c r="K72" s="683" t="str">
        <f>+'1.Informe Seguimiento POA 2022'!I76</f>
        <v>Gestión Documental</v>
      </c>
      <c r="L72" s="683" t="str">
        <f>+'1.Informe Seguimiento POA 2022'!J76</f>
        <v>Subdirección de Gestión Documental y Recursos Físicos - Archivo central</v>
      </c>
      <c r="M72" s="644">
        <f>+'1.Informe Seguimiento POA 2022'!K76</f>
        <v>0.8</v>
      </c>
      <c r="N72" s="644">
        <f>+'1.Informe Seguimiento POA 2022'!L76</f>
        <v>0.8</v>
      </c>
      <c r="O72" s="644">
        <f>+'1.Informe Seguimiento POA 2022'!M76</f>
        <v>0.8</v>
      </c>
      <c r="P72" s="644">
        <f>+'1.Informe Seguimiento POA 2022'!N76</f>
        <v>0.8</v>
      </c>
      <c r="Q72" s="894">
        <v>0.80000000000000016</v>
      </c>
      <c r="R72" s="894">
        <v>0.80000000000000016</v>
      </c>
      <c r="S72" s="894">
        <v>0.80000000000000016</v>
      </c>
      <c r="T72" s="894">
        <v>0.80000000000000016</v>
      </c>
      <c r="U72" s="894">
        <v>0.80000000000000016</v>
      </c>
      <c r="V72" s="894">
        <v>0.81733333333333336</v>
      </c>
      <c r="W72" s="894">
        <v>0.80000000000000016</v>
      </c>
      <c r="X72" s="894">
        <v>0.79499999999999993</v>
      </c>
      <c r="Y72" s="629">
        <v>0.79999999999999993</v>
      </c>
      <c r="Z72" s="629">
        <v>0.80300000000000005</v>
      </c>
      <c r="AA72" s="629">
        <v>1.0037500000000001</v>
      </c>
      <c r="AB72" s="685">
        <f>+'1.Informe Seguimiento POA 2022'!O76</f>
        <v>0.80000000000000016</v>
      </c>
      <c r="AC72" s="685">
        <f>+'1.Informe Seguimiento POA 2022'!P76</f>
        <v>0.8753333333333333</v>
      </c>
      <c r="AD72" s="685">
        <f>+'1.Informe Seguimiento POA 2022'!Q76</f>
        <v>0.80000000000000016</v>
      </c>
      <c r="AE72" s="685">
        <f>+'1.Informe Seguimiento POA 2022'!R76</f>
        <v>0.88233333333333341</v>
      </c>
      <c r="AF72" s="685">
        <f>+'1.Informe Seguimiento POA 2022'!S76</f>
        <v>0.80000000000000016</v>
      </c>
      <c r="AG72" s="685">
        <f>+'1.Informe Seguimiento POA 2022'!T76</f>
        <v>0.80166666666666675</v>
      </c>
      <c r="AH72" s="685">
        <f>+'1.Informe Seguimiento POA 2022'!U76</f>
        <v>0.80000000000000016</v>
      </c>
      <c r="AI72" s="685">
        <f>+'1.Informe Seguimiento POA 2022'!V76</f>
        <v>0.84633333333333338</v>
      </c>
      <c r="AJ72" s="629">
        <f>+'1.Informe Seguimiento POA 2022'!X76</f>
        <v>0.79999999999999993</v>
      </c>
      <c r="AK72" s="629">
        <f>+'1.Informe Seguimiento POA 2022'!Y76</f>
        <v>0.85099999999999998</v>
      </c>
      <c r="AL72" s="629">
        <f>+'1.Informe Seguimiento POA 2022'!Z76</f>
        <v>1.06375</v>
      </c>
      <c r="AM72" s="1224"/>
      <c r="AN72" s="693"/>
      <c r="AO72" s="693"/>
      <c r="AP72" s="693"/>
      <c r="AQ72" s="693"/>
      <c r="AR72" s="693"/>
      <c r="AS72" s="693"/>
      <c r="AT72" s="693"/>
      <c r="AU72" s="693"/>
      <c r="AV72" s="678">
        <f t="shared" si="23"/>
        <v>0.8</v>
      </c>
      <c r="AW72" s="678"/>
      <c r="AX72" s="693"/>
      <c r="AY72" s="693"/>
      <c r="AZ72" s="693"/>
      <c r="BA72" s="693"/>
      <c r="BB72" s="693"/>
      <c r="BC72" s="693"/>
      <c r="BD72" s="693"/>
      <c r="BE72" s="693"/>
      <c r="BF72" s="693"/>
      <c r="BG72" s="678">
        <f t="shared" si="24"/>
        <v>0.8</v>
      </c>
      <c r="BH72" s="678"/>
      <c r="BI72" s="693"/>
      <c r="BJ72" s="628">
        <f>IFERROR(AVERAGE(Q72,S72,U72,W72,AB72,AD72,AF72,AH72),0)</f>
        <v>0.8</v>
      </c>
      <c r="BK72" s="628">
        <f>IFERROR(AVERAGE(R72,T72,V72,X72,AC72,AE72,AG72,AI72),0)</f>
        <v>0.82725000000000004</v>
      </c>
      <c r="BL72" s="627">
        <f t="shared" si="15"/>
        <v>1.0340624999999999</v>
      </c>
      <c r="BM72" s="627">
        <f t="shared" si="30"/>
        <v>0.51703124999999994</v>
      </c>
      <c r="BN72" s="656">
        <f t="shared" si="22"/>
        <v>2.5851562499999998E-2</v>
      </c>
      <c r="BO72" s="1199"/>
      <c r="BP72" s="1134"/>
      <c r="BQ72" s="713"/>
      <c r="BR72" s="713"/>
    </row>
    <row r="73" spans="2:70" ht="120" customHeight="1">
      <c r="B73" s="1136"/>
      <c r="C73" s="1219"/>
      <c r="D73" s="1260"/>
      <c r="E73" s="1260"/>
      <c r="F73" s="1218" t="s">
        <v>1036</v>
      </c>
      <c r="G73" s="1206" t="s">
        <v>1024</v>
      </c>
      <c r="H73" s="755" t="str">
        <f>+'1.Informe Seguimiento POA 2022'!D77</f>
        <v>4.4.9 Realizar 100 actividades de diseño, actualización o ajuste de los instrumentos archivísticos establecidos por norma.</v>
      </c>
      <c r="I73" s="682">
        <f>+'1.Informe Seguimiento POA 2022'!E77</f>
        <v>0.05</v>
      </c>
      <c r="J73" s="624">
        <f>+'1.Informe Seguimiento POA 2022'!F77</f>
        <v>100</v>
      </c>
      <c r="K73" s="683" t="str">
        <f>+'1.Informe Seguimiento POA 2022'!I77</f>
        <v>Gestión Documental</v>
      </c>
      <c r="L73" s="683" t="str">
        <f>+'1.Informe Seguimiento POA 2022'!J77</f>
        <v xml:space="preserve">Subdirección de Gestión Documental y Recursos Físicos </v>
      </c>
      <c r="M73" s="645">
        <f>+'1.Informe Seguimiento POA 2022'!K77</f>
        <v>25</v>
      </c>
      <c r="N73" s="645">
        <f>+'1.Informe Seguimiento POA 2022'!L77</f>
        <v>25</v>
      </c>
      <c r="O73" s="645">
        <f>+'1.Informe Seguimiento POA 2022'!M77</f>
        <v>25</v>
      </c>
      <c r="P73" s="645">
        <f>+'1.Informe Seguimiento POA 2022'!N77</f>
        <v>25</v>
      </c>
      <c r="Q73" s="758">
        <v>5</v>
      </c>
      <c r="R73" s="758">
        <v>7</v>
      </c>
      <c r="S73" s="758">
        <v>7</v>
      </c>
      <c r="T73" s="758">
        <v>6</v>
      </c>
      <c r="U73" s="758">
        <v>7</v>
      </c>
      <c r="V73" s="758">
        <v>10</v>
      </c>
      <c r="W73" s="758">
        <v>6</v>
      </c>
      <c r="X73" s="758">
        <v>5</v>
      </c>
      <c r="Y73" s="896">
        <v>25</v>
      </c>
      <c r="Z73" s="896">
        <v>28</v>
      </c>
      <c r="AA73" s="994">
        <v>1.1200000000000001</v>
      </c>
      <c r="AB73" s="625">
        <f>+'1.Informe Seguimiento POA 2022'!O77</f>
        <v>5</v>
      </c>
      <c r="AC73" s="625">
        <f>+'1.Informe Seguimiento POA 2022'!P77</f>
        <v>6</v>
      </c>
      <c r="AD73" s="625">
        <f>+'1.Informe Seguimiento POA 2022'!Q77</f>
        <v>7</v>
      </c>
      <c r="AE73" s="625">
        <f>+'1.Informe Seguimiento POA 2022'!R77</f>
        <v>7.75</v>
      </c>
      <c r="AF73" s="625">
        <f>+'1.Informe Seguimiento POA 2022'!S77</f>
        <v>7</v>
      </c>
      <c r="AG73" s="625">
        <f>+'1.Informe Seguimiento POA 2022'!T77</f>
        <v>5.6</v>
      </c>
      <c r="AH73" s="625">
        <f>+'1.Informe Seguimiento POA 2022'!U77</f>
        <v>6</v>
      </c>
      <c r="AI73" s="625">
        <f>+'1.Informe Seguimiento POA 2022'!V77</f>
        <v>5.5</v>
      </c>
      <c r="AJ73" s="645">
        <f>+'1.Informe Seguimiento POA 2022'!X77</f>
        <v>25</v>
      </c>
      <c r="AK73" s="645">
        <f>+'1.Informe Seguimiento POA 2022'!Y77</f>
        <v>24.85</v>
      </c>
      <c r="AL73" s="994">
        <f>+'1.Informe Seguimiento POA 2022'!Z77</f>
        <v>0.99400000000000011</v>
      </c>
      <c r="AM73" s="1224"/>
      <c r="AN73" s="693"/>
      <c r="AO73" s="693"/>
      <c r="AP73" s="693"/>
      <c r="AQ73" s="693"/>
      <c r="AR73" s="693"/>
      <c r="AS73" s="693"/>
      <c r="AT73" s="693"/>
      <c r="AU73" s="693"/>
      <c r="AV73" s="645">
        <f t="shared" ref="AV73:AV95" si="32">+O73</f>
        <v>25</v>
      </c>
      <c r="AW73" s="645"/>
      <c r="AX73" s="693"/>
      <c r="AY73" s="693"/>
      <c r="AZ73" s="693"/>
      <c r="BA73" s="693"/>
      <c r="BB73" s="693"/>
      <c r="BC73" s="693"/>
      <c r="BD73" s="693"/>
      <c r="BE73" s="693"/>
      <c r="BF73" s="693"/>
      <c r="BG73" s="645">
        <f t="shared" ref="BG73:BG95" si="33">+P73</f>
        <v>25</v>
      </c>
      <c r="BH73" s="645"/>
      <c r="BI73" s="693"/>
      <c r="BJ73" s="696">
        <f>Q73+S73+U73+W73+AB73+AD73+AF73+AH73</f>
        <v>50</v>
      </c>
      <c r="BK73" s="696">
        <f>R73+T73+V73+X73+AC73+AE73+AG73+AI73</f>
        <v>52.85</v>
      </c>
      <c r="BL73" s="627">
        <f t="shared" si="15"/>
        <v>1.0569999999999999</v>
      </c>
      <c r="BM73" s="627">
        <f>(IF(AND(BK73&gt;0,$J73&gt;0),BK73/$J73,0))</f>
        <v>0.52849999999999997</v>
      </c>
      <c r="BN73" s="915">
        <f t="shared" si="22"/>
        <v>2.6425000000000001E-2</v>
      </c>
      <c r="BO73" s="1199"/>
      <c r="BP73" s="1134"/>
      <c r="BQ73" s="713"/>
      <c r="BR73" s="713"/>
    </row>
    <row r="74" spans="2:70" ht="87" customHeight="1">
      <c r="B74" s="1136"/>
      <c r="C74" s="1219"/>
      <c r="D74" s="1260"/>
      <c r="E74" s="1260"/>
      <c r="F74" s="1218"/>
      <c r="G74" s="1207"/>
      <c r="H74" s="755" t="str">
        <f>+'1.Informe Seguimiento POA 2022'!D78</f>
        <v>4.4.10 Realizar 100 actividades de implementación de los instrumentos archivísticos establecidos por norma, y de las herramientas de apoyo a la gestión documental.</v>
      </c>
      <c r="I74" s="682">
        <f>+'1.Informe Seguimiento POA 2022'!E78</f>
        <v>0.05</v>
      </c>
      <c r="J74" s="624">
        <f>+'1.Informe Seguimiento POA 2022'!F78</f>
        <v>100</v>
      </c>
      <c r="K74" s="683" t="str">
        <f>+'1.Informe Seguimiento POA 2022'!I78</f>
        <v>Gestión Documental
Direccionamiento TIC</v>
      </c>
      <c r="L74" s="683" t="str">
        <f>+'1.Informe Seguimiento POA 2022'!J78</f>
        <v>Subdirección de Gestión Documental y Recursos Físicos
Dirección de Tecnologías de la Información y Comunicaciones</v>
      </c>
      <c r="M74" s="645">
        <f>+'1.Informe Seguimiento POA 2022'!K78</f>
        <v>25</v>
      </c>
      <c r="N74" s="645">
        <f>+'1.Informe Seguimiento POA 2022'!L78</f>
        <v>25</v>
      </c>
      <c r="O74" s="645">
        <f>+'1.Informe Seguimiento POA 2022'!M78</f>
        <v>25</v>
      </c>
      <c r="P74" s="645">
        <f>+'1.Informe Seguimiento POA 2022'!N78</f>
        <v>25</v>
      </c>
      <c r="Q74" s="758">
        <v>5</v>
      </c>
      <c r="R74" s="758">
        <v>6</v>
      </c>
      <c r="S74" s="758">
        <v>7</v>
      </c>
      <c r="T74" s="758">
        <v>5</v>
      </c>
      <c r="U74" s="758">
        <v>7</v>
      </c>
      <c r="V74" s="758">
        <v>6</v>
      </c>
      <c r="W74" s="758">
        <v>6</v>
      </c>
      <c r="X74" s="758">
        <v>5</v>
      </c>
      <c r="Y74" s="896">
        <v>25</v>
      </c>
      <c r="Z74" s="896">
        <v>22</v>
      </c>
      <c r="AA74" s="994">
        <v>0.88</v>
      </c>
      <c r="AB74" s="625">
        <f>+'1.Informe Seguimiento POA 2022'!O78</f>
        <v>5</v>
      </c>
      <c r="AC74" s="625">
        <f>+'1.Informe Seguimiento POA 2022'!P78</f>
        <v>5</v>
      </c>
      <c r="AD74" s="625">
        <f>+'1.Informe Seguimiento POA 2022'!Q78</f>
        <v>7</v>
      </c>
      <c r="AE74" s="625">
        <f>+'1.Informe Seguimiento POA 2022'!R78</f>
        <v>7</v>
      </c>
      <c r="AF74" s="625">
        <f>+'1.Informe Seguimiento POA 2022'!S78</f>
        <v>7</v>
      </c>
      <c r="AG74" s="625">
        <f>+'1.Informe Seguimiento POA 2022'!T78</f>
        <v>7.35</v>
      </c>
      <c r="AH74" s="625">
        <f>+'1.Informe Seguimiento POA 2022'!U78</f>
        <v>6</v>
      </c>
      <c r="AI74" s="625">
        <f>+'1.Informe Seguimiento POA 2022'!V78</f>
        <v>6.25</v>
      </c>
      <c r="AJ74" s="645">
        <f>+'1.Informe Seguimiento POA 2022'!X78</f>
        <v>25</v>
      </c>
      <c r="AK74" s="645">
        <f>+'1.Informe Seguimiento POA 2022'!Y78</f>
        <v>25.6</v>
      </c>
      <c r="AL74" s="994">
        <f>+'1.Informe Seguimiento POA 2022'!Z78</f>
        <v>1.024</v>
      </c>
      <c r="AM74" s="1224"/>
      <c r="AN74" s="693"/>
      <c r="AO74" s="693"/>
      <c r="AP74" s="693"/>
      <c r="AQ74" s="693"/>
      <c r="AR74" s="693"/>
      <c r="AS74" s="693"/>
      <c r="AT74" s="693"/>
      <c r="AU74" s="693"/>
      <c r="AV74" s="645">
        <f t="shared" si="32"/>
        <v>25</v>
      </c>
      <c r="AW74" s="645"/>
      <c r="AX74" s="693"/>
      <c r="AY74" s="693"/>
      <c r="AZ74" s="693"/>
      <c r="BA74" s="693"/>
      <c r="BB74" s="693"/>
      <c r="BC74" s="693"/>
      <c r="BD74" s="693"/>
      <c r="BE74" s="693"/>
      <c r="BF74" s="693"/>
      <c r="BG74" s="645">
        <f t="shared" si="33"/>
        <v>25</v>
      </c>
      <c r="BH74" s="645"/>
      <c r="BI74" s="693"/>
      <c r="BJ74" s="696">
        <f>Q74+S74+U74+W74+AB74+AD74+AF74+AH74</f>
        <v>50</v>
      </c>
      <c r="BK74" s="696">
        <f>R74+T74+V74+X74+AC74+AE74+AG74+AI74</f>
        <v>47.6</v>
      </c>
      <c r="BL74" s="627">
        <f t="shared" si="15"/>
        <v>0.95200000000000007</v>
      </c>
      <c r="BM74" s="627">
        <f>(IF(AND(BK74&gt;0,$J74&gt;0),BK74/$J74,0))</f>
        <v>0.47600000000000003</v>
      </c>
      <c r="BN74" s="915">
        <f t="shared" si="22"/>
        <v>2.3800000000000002E-2</v>
      </c>
      <c r="BO74" s="1199"/>
      <c r="BP74" s="1134"/>
      <c r="BQ74" s="713"/>
      <c r="BR74" s="713"/>
    </row>
    <row r="75" spans="2:70" ht="63" customHeight="1">
      <c r="B75" s="1136"/>
      <c r="C75" s="1219"/>
      <c r="D75" s="1260"/>
      <c r="E75" s="1260"/>
      <c r="F75" s="1206" t="s">
        <v>1025</v>
      </c>
      <c r="G75" s="1206" t="s">
        <v>1021</v>
      </c>
      <c r="H75" s="755" t="str">
        <f>+'1.Informe Seguimiento POA 2022'!D79</f>
        <v>4.4.11  Representar a la Entidad en el 100% de los procesos judiciales en los cuales la sea vinculada o demandada.</v>
      </c>
      <c r="I75" s="682">
        <f>+'1.Informe Seguimiento POA 2022'!E79</f>
        <v>0.05</v>
      </c>
      <c r="J75" s="678">
        <f>+'1.Informe Seguimiento POA 2022'!F79</f>
        <v>1</v>
      </c>
      <c r="K75" s="683" t="str">
        <f>+'1.Informe Seguimiento POA 2022'!I79</f>
        <v xml:space="preserve"> Gestión Jurídica</v>
      </c>
      <c r="L75" s="683" t="str">
        <f>+'1.Informe Seguimiento POA 2022'!J79</f>
        <v>Oficina Asesora Jurídica</v>
      </c>
      <c r="M75" s="644">
        <f>+'1.Informe Seguimiento POA 2022'!K79</f>
        <v>1</v>
      </c>
      <c r="N75" s="644">
        <f>+'1.Informe Seguimiento POA 2022'!L79</f>
        <v>1</v>
      </c>
      <c r="O75" s="644">
        <f>+'1.Informe Seguimiento POA 2022'!M79</f>
        <v>1</v>
      </c>
      <c r="P75" s="644">
        <f>+'1.Informe Seguimiento POA 2022'!N79</f>
        <v>1</v>
      </c>
      <c r="Q75" s="894">
        <v>1</v>
      </c>
      <c r="R75" s="894">
        <v>1</v>
      </c>
      <c r="S75" s="894">
        <v>1</v>
      </c>
      <c r="T75" s="894">
        <v>1</v>
      </c>
      <c r="U75" s="894">
        <v>1</v>
      </c>
      <c r="V75" s="894">
        <v>1</v>
      </c>
      <c r="W75" s="894">
        <v>1</v>
      </c>
      <c r="X75" s="894">
        <v>1</v>
      </c>
      <c r="Y75" s="629">
        <v>1</v>
      </c>
      <c r="Z75" s="629">
        <v>1</v>
      </c>
      <c r="AA75" s="629">
        <v>1</v>
      </c>
      <c r="AB75" s="685">
        <f>+'1.Informe Seguimiento POA 2022'!O79</f>
        <v>1</v>
      </c>
      <c r="AC75" s="685">
        <f>+'1.Informe Seguimiento POA 2022'!P79</f>
        <v>1</v>
      </c>
      <c r="AD75" s="685">
        <f>+'1.Informe Seguimiento POA 2022'!Q79</f>
        <v>1</v>
      </c>
      <c r="AE75" s="685">
        <f>+'1.Informe Seguimiento POA 2022'!R79</f>
        <v>1</v>
      </c>
      <c r="AF75" s="685">
        <f>+'1.Informe Seguimiento POA 2022'!S79</f>
        <v>1</v>
      </c>
      <c r="AG75" s="685">
        <f>+'1.Informe Seguimiento POA 2022'!T79</f>
        <v>1</v>
      </c>
      <c r="AH75" s="685">
        <f>+'1.Informe Seguimiento POA 2022'!U79</f>
        <v>1</v>
      </c>
      <c r="AI75" s="685">
        <f>+'1.Informe Seguimiento POA 2022'!V79</f>
        <v>1</v>
      </c>
      <c r="AJ75" s="629">
        <f>+'1.Informe Seguimiento POA 2022'!X79</f>
        <v>1</v>
      </c>
      <c r="AK75" s="629">
        <f>+'1.Informe Seguimiento POA 2022'!Y79</f>
        <v>1</v>
      </c>
      <c r="AL75" s="629">
        <f>+'1.Informe Seguimiento POA 2022'!Z79</f>
        <v>1</v>
      </c>
      <c r="AM75" s="1224"/>
      <c r="AN75" s="693"/>
      <c r="AO75" s="693"/>
      <c r="AP75" s="693"/>
      <c r="AQ75" s="693"/>
      <c r="AR75" s="693"/>
      <c r="AS75" s="693"/>
      <c r="AT75" s="693"/>
      <c r="AU75" s="693"/>
      <c r="AV75" s="678">
        <f t="shared" si="32"/>
        <v>1</v>
      </c>
      <c r="AW75" s="678"/>
      <c r="AX75" s="693"/>
      <c r="AY75" s="693"/>
      <c r="AZ75" s="693"/>
      <c r="BA75" s="693"/>
      <c r="BB75" s="693"/>
      <c r="BC75" s="693"/>
      <c r="BD75" s="693"/>
      <c r="BE75" s="693"/>
      <c r="BF75" s="693"/>
      <c r="BG75" s="678">
        <f t="shared" si="33"/>
        <v>1</v>
      </c>
      <c r="BH75" s="678"/>
      <c r="BI75" s="693"/>
      <c r="BJ75" s="628">
        <f t="shared" ref="BJ75:BK77" si="34">IFERROR(AVERAGE(Q75,S75,U75,W75,AB75,AD75,AF75,AH75),0)</f>
        <v>1</v>
      </c>
      <c r="BK75" s="628">
        <f t="shared" si="34"/>
        <v>1</v>
      </c>
      <c r="BL75" s="627">
        <f t="shared" si="15"/>
        <v>1</v>
      </c>
      <c r="BM75" s="627">
        <f t="shared" ref="BM75:BM82" si="35">(IF(AND(BK75&gt;0,$J75&gt;0),BK75/$J75,0)/4)*2</f>
        <v>0.5</v>
      </c>
      <c r="BN75" s="915">
        <f t="shared" si="22"/>
        <v>2.5000000000000001E-2</v>
      </c>
      <c r="BO75" s="1199"/>
      <c r="BP75" s="1134"/>
      <c r="BQ75" s="713"/>
      <c r="BR75" s="713"/>
    </row>
    <row r="76" spans="2:70" ht="54.75" customHeight="1">
      <c r="B76" s="1136"/>
      <c r="C76" s="1219"/>
      <c r="D76" s="1260"/>
      <c r="E76" s="1260"/>
      <c r="F76" s="1219"/>
      <c r="G76" s="1219"/>
      <c r="H76" s="755" t="str">
        <f>+'1.Informe Seguimiento POA 2022'!D80</f>
        <v xml:space="preserve">4.4.12 Defender judicialmente a la Entidad en el 100% de las acciones de tutela en las cuales sea vinculada o accionada </v>
      </c>
      <c r="I76" s="682">
        <f>+'1.Informe Seguimiento POA 2022'!E80</f>
        <v>0.05</v>
      </c>
      <c r="J76" s="678">
        <f>+'1.Informe Seguimiento POA 2022'!F80</f>
        <v>1</v>
      </c>
      <c r="K76" s="683" t="str">
        <f>+'1.Informe Seguimiento POA 2022'!I80</f>
        <v xml:space="preserve"> Gestión Jurídica</v>
      </c>
      <c r="L76" s="683" t="str">
        <f>+'1.Informe Seguimiento POA 2022'!J80</f>
        <v>Oficina Asesora Jurídica</v>
      </c>
      <c r="M76" s="644">
        <f>+'1.Informe Seguimiento POA 2022'!K80</f>
        <v>1</v>
      </c>
      <c r="N76" s="644">
        <f>+'1.Informe Seguimiento POA 2022'!L80</f>
        <v>1</v>
      </c>
      <c r="O76" s="644">
        <f>+'1.Informe Seguimiento POA 2022'!M80</f>
        <v>1</v>
      </c>
      <c r="P76" s="644">
        <f>+'1.Informe Seguimiento POA 2022'!N80</f>
        <v>1</v>
      </c>
      <c r="Q76" s="894">
        <v>1</v>
      </c>
      <c r="R76" s="894">
        <v>1</v>
      </c>
      <c r="S76" s="894">
        <v>1</v>
      </c>
      <c r="T76" s="894">
        <v>1</v>
      </c>
      <c r="U76" s="894">
        <v>1</v>
      </c>
      <c r="V76" s="894">
        <v>1</v>
      </c>
      <c r="W76" s="894">
        <v>1</v>
      </c>
      <c r="X76" s="894">
        <v>1</v>
      </c>
      <c r="Y76" s="629">
        <v>1</v>
      </c>
      <c r="Z76" s="629">
        <v>1</v>
      </c>
      <c r="AA76" s="629">
        <v>1</v>
      </c>
      <c r="AB76" s="685">
        <f>+'1.Informe Seguimiento POA 2022'!O80</f>
        <v>1</v>
      </c>
      <c r="AC76" s="685">
        <f>+'1.Informe Seguimiento POA 2022'!P80</f>
        <v>1</v>
      </c>
      <c r="AD76" s="685">
        <f>+'1.Informe Seguimiento POA 2022'!Q80</f>
        <v>1</v>
      </c>
      <c r="AE76" s="685">
        <f>+'1.Informe Seguimiento POA 2022'!R80</f>
        <v>1</v>
      </c>
      <c r="AF76" s="685">
        <f>+'1.Informe Seguimiento POA 2022'!S80</f>
        <v>1</v>
      </c>
      <c r="AG76" s="685">
        <f>+'1.Informe Seguimiento POA 2022'!T80</f>
        <v>1</v>
      </c>
      <c r="AH76" s="685">
        <f>+'1.Informe Seguimiento POA 2022'!U80</f>
        <v>1</v>
      </c>
      <c r="AI76" s="685">
        <f>+'1.Informe Seguimiento POA 2022'!V80</f>
        <v>1</v>
      </c>
      <c r="AJ76" s="629">
        <f>+'1.Informe Seguimiento POA 2022'!X80</f>
        <v>1</v>
      </c>
      <c r="AK76" s="629">
        <f>+'1.Informe Seguimiento POA 2022'!Y80</f>
        <v>1</v>
      </c>
      <c r="AL76" s="629">
        <f>+'1.Informe Seguimiento POA 2022'!Z80</f>
        <v>1</v>
      </c>
      <c r="AM76" s="1224"/>
      <c r="AN76" s="693"/>
      <c r="AO76" s="693"/>
      <c r="AP76" s="693"/>
      <c r="AQ76" s="693"/>
      <c r="AR76" s="693"/>
      <c r="AS76" s="693"/>
      <c r="AT76" s="693"/>
      <c r="AU76" s="693"/>
      <c r="AV76" s="678">
        <f t="shared" si="32"/>
        <v>1</v>
      </c>
      <c r="AW76" s="678"/>
      <c r="AX76" s="693"/>
      <c r="AY76" s="693"/>
      <c r="AZ76" s="693"/>
      <c r="BA76" s="693"/>
      <c r="BB76" s="693"/>
      <c r="BC76" s="693"/>
      <c r="BD76" s="693"/>
      <c r="BE76" s="693"/>
      <c r="BF76" s="693"/>
      <c r="BG76" s="678">
        <f t="shared" si="33"/>
        <v>1</v>
      </c>
      <c r="BH76" s="678"/>
      <c r="BI76" s="693"/>
      <c r="BJ76" s="628">
        <f t="shared" si="34"/>
        <v>1</v>
      </c>
      <c r="BK76" s="628">
        <f t="shared" si="34"/>
        <v>1</v>
      </c>
      <c r="BL76" s="627">
        <f t="shared" si="15"/>
        <v>1</v>
      </c>
      <c r="BM76" s="627">
        <f t="shared" si="35"/>
        <v>0.5</v>
      </c>
      <c r="BN76" s="915">
        <f t="shared" si="22"/>
        <v>2.5000000000000001E-2</v>
      </c>
      <c r="BO76" s="1199"/>
      <c r="BP76" s="1134"/>
      <c r="BQ76" s="713"/>
      <c r="BR76" s="713"/>
    </row>
    <row r="77" spans="2:70" ht="78.75" customHeight="1">
      <c r="B77" s="1136"/>
      <c r="C77" s="1219"/>
      <c r="D77" s="1260"/>
      <c r="E77" s="1260"/>
      <c r="F77" s="1219"/>
      <c r="G77" s="1219"/>
      <c r="H77" s="755" t="str">
        <f>+'1.Informe Seguimiento POA 2022'!D81</f>
        <v>4.4.13 Emitir oportunamente el 100% de los conceptos jurídicos solicitados por el Despacho del Personero de Bogotá o sus delegados.</v>
      </c>
      <c r="I77" s="682">
        <f>+'1.Informe Seguimiento POA 2022'!E81</f>
        <v>0.05</v>
      </c>
      <c r="J77" s="678">
        <f>+'1.Informe Seguimiento POA 2022'!F81</f>
        <v>1</v>
      </c>
      <c r="K77" s="683" t="str">
        <f>+'1.Informe Seguimiento POA 2022'!I81</f>
        <v xml:space="preserve"> Gestión Jurídica</v>
      </c>
      <c r="L77" s="683" t="str">
        <f>+'1.Informe Seguimiento POA 2022'!J81</f>
        <v>Oficina Asesora Jurídica</v>
      </c>
      <c r="M77" s="644">
        <f>+'1.Informe Seguimiento POA 2022'!K81</f>
        <v>1</v>
      </c>
      <c r="N77" s="644">
        <f>+'1.Informe Seguimiento POA 2022'!L81</f>
        <v>1</v>
      </c>
      <c r="O77" s="644">
        <f>+'1.Informe Seguimiento POA 2022'!M81</f>
        <v>1</v>
      </c>
      <c r="P77" s="644">
        <f>+'1.Informe Seguimiento POA 2022'!N81</f>
        <v>1</v>
      </c>
      <c r="Q77" s="894">
        <v>1</v>
      </c>
      <c r="R77" s="894">
        <v>1</v>
      </c>
      <c r="S77" s="894">
        <v>1</v>
      </c>
      <c r="T77" s="894">
        <v>1</v>
      </c>
      <c r="U77" s="894">
        <v>1</v>
      </c>
      <c r="V77" s="894">
        <v>1</v>
      </c>
      <c r="W77" s="894">
        <v>1</v>
      </c>
      <c r="X77" s="894">
        <v>1</v>
      </c>
      <c r="Y77" s="629">
        <v>1</v>
      </c>
      <c r="Z77" s="629">
        <v>1</v>
      </c>
      <c r="AA77" s="629">
        <v>1</v>
      </c>
      <c r="AB77" s="685">
        <f>+'1.Informe Seguimiento POA 2022'!O81</f>
        <v>1</v>
      </c>
      <c r="AC77" s="685">
        <f>+'1.Informe Seguimiento POA 2022'!P81</f>
        <v>1</v>
      </c>
      <c r="AD77" s="685">
        <f>+'1.Informe Seguimiento POA 2022'!Q81</f>
        <v>1</v>
      </c>
      <c r="AE77" s="685">
        <f>+'1.Informe Seguimiento POA 2022'!R81</f>
        <v>1</v>
      </c>
      <c r="AF77" s="685">
        <f>+'1.Informe Seguimiento POA 2022'!S81</f>
        <v>1</v>
      </c>
      <c r="AG77" s="685">
        <f>+'1.Informe Seguimiento POA 2022'!T81</f>
        <v>1</v>
      </c>
      <c r="AH77" s="685">
        <f>+'1.Informe Seguimiento POA 2022'!U81</f>
        <v>1</v>
      </c>
      <c r="AI77" s="685">
        <f>+'1.Informe Seguimiento POA 2022'!V81</f>
        <v>1</v>
      </c>
      <c r="AJ77" s="629">
        <f>+'1.Informe Seguimiento POA 2022'!X81</f>
        <v>1</v>
      </c>
      <c r="AK77" s="629">
        <f>+'1.Informe Seguimiento POA 2022'!Y81</f>
        <v>1</v>
      </c>
      <c r="AL77" s="629">
        <f>+'1.Informe Seguimiento POA 2022'!Z81</f>
        <v>1</v>
      </c>
      <c r="AM77" s="1224"/>
      <c r="AN77" s="693"/>
      <c r="AO77" s="693"/>
      <c r="AP77" s="693"/>
      <c r="AQ77" s="693"/>
      <c r="AR77" s="693"/>
      <c r="AS77" s="693"/>
      <c r="AT77" s="693"/>
      <c r="AU77" s="693"/>
      <c r="AV77" s="678">
        <f t="shared" si="32"/>
        <v>1</v>
      </c>
      <c r="AW77" s="678"/>
      <c r="AX77" s="693"/>
      <c r="AY77" s="693"/>
      <c r="AZ77" s="693"/>
      <c r="BA77" s="693"/>
      <c r="BB77" s="693"/>
      <c r="BC77" s="693"/>
      <c r="BD77" s="693"/>
      <c r="BE77" s="693"/>
      <c r="BF77" s="693"/>
      <c r="BG77" s="678">
        <f t="shared" si="33"/>
        <v>1</v>
      </c>
      <c r="BH77" s="678"/>
      <c r="BI77" s="693"/>
      <c r="BJ77" s="628">
        <f t="shared" si="34"/>
        <v>1</v>
      </c>
      <c r="BK77" s="628">
        <f t="shared" si="34"/>
        <v>1</v>
      </c>
      <c r="BL77" s="627">
        <f t="shared" si="15"/>
        <v>1</v>
      </c>
      <c r="BM77" s="627">
        <f t="shared" si="35"/>
        <v>0.5</v>
      </c>
      <c r="BN77" s="915">
        <f t="shared" si="22"/>
        <v>2.5000000000000001E-2</v>
      </c>
      <c r="BO77" s="1199"/>
      <c r="BP77" s="1134"/>
      <c r="BQ77" s="713"/>
      <c r="BR77" s="713"/>
    </row>
    <row r="78" spans="2:70" ht="76.5" customHeight="1">
      <c r="B78" s="1136"/>
      <c r="C78" s="1219"/>
      <c r="D78" s="1260"/>
      <c r="E78" s="1260"/>
      <c r="F78" s="1219"/>
      <c r="G78" s="1219"/>
      <c r="H78" s="1268" t="str">
        <f>+'1.Informe Seguimiento POA 2022'!D82</f>
        <v>4.4.14 Registrar el 100% de los reportes de las sanciones disciplinarias de los servidores públicos distritales.</v>
      </c>
      <c r="I78" s="1270">
        <f>+'1.Informe Seguimiento POA 2022'!E82</f>
        <v>0.05</v>
      </c>
      <c r="J78" s="678">
        <f>+'1.Informe Seguimiento POA 2022'!F82</f>
        <v>1</v>
      </c>
      <c r="K78" s="683" t="str">
        <f>+'1.Informe Seguimiento POA 2022'!I82</f>
        <v xml:space="preserve"> Gestión Jurídica</v>
      </c>
      <c r="L78" s="683" t="str">
        <f>+'1.Informe Seguimiento POA 2022'!J82</f>
        <v>Oficina Asesora Jurídica</v>
      </c>
      <c r="M78" s="644">
        <f>+'1.Informe Seguimiento POA 2022'!K82</f>
        <v>1</v>
      </c>
      <c r="N78" s="644">
        <f>+'1.Informe Seguimiento POA 2022'!L82</f>
        <v>1</v>
      </c>
      <c r="O78" s="644">
        <f>+'1.Informe Seguimiento POA 2022'!M82</f>
        <v>1</v>
      </c>
      <c r="P78" s="644">
        <f>+'1.Informe Seguimiento POA 2022'!N82</f>
        <v>1</v>
      </c>
      <c r="Q78" s="894">
        <v>1</v>
      </c>
      <c r="R78" s="894">
        <v>1</v>
      </c>
      <c r="S78" s="894">
        <v>1</v>
      </c>
      <c r="T78" s="894">
        <v>1</v>
      </c>
      <c r="U78" s="894">
        <v>1</v>
      </c>
      <c r="V78" s="894">
        <v>1</v>
      </c>
      <c r="W78" s="894">
        <v>1</v>
      </c>
      <c r="X78" s="894">
        <v>1</v>
      </c>
      <c r="Y78" s="629">
        <v>1</v>
      </c>
      <c r="Z78" s="629">
        <v>1</v>
      </c>
      <c r="AA78" s="629">
        <v>1</v>
      </c>
      <c r="AB78" s="685">
        <f>+'1.Informe Seguimiento POA 2022'!O82</f>
        <v>1</v>
      </c>
      <c r="AC78" s="685">
        <f>+'1.Informe Seguimiento POA 2022'!P82</f>
        <v>1</v>
      </c>
      <c r="AD78" s="685">
        <f>+'1.Informe Seguimiento POA 2022'!Q82</f>
        <v>1</v>
      </c>
      <c r="AE78" s="685">
        <f>+'1.Informe Seguimiento POA 2022'!R82</f>
        <v>1</v>
      </c>
      <c r="AF78" s="685">
        <f>+'1.Informe Seguimiento POA 2022'!S82</f>
        <v>1</v>
      </c>
      <c r="AG78" s="685">
        <f>+'1.Informe Seguimiento POA 2022'!T82</f>
        <v>1</v>
      </c>
      <c r="AH78" s="685">
        <f>+'1.Informe Seguimiento POA 2022'!U82</f>
        <v>1</v>
      </c>
      <c r="AI78" s="685">
        <f>+'1.Informe Seguimiento POA 2022'!V82</f>
        <v>1</v>
      </c>
      <c r="AJ78" s="629">
        <f>+'1.Informe Seguimiento POA 2022'!X82</f>
        <v>1</v>
      </c>
      <c r="AK78" s="629">
        <f>+'1.Informe Seguimiento POA 2022'!Y82</f>
        <v>1</v>
      </c>
      <c r="AL78" s="629">
        <f>+'1.Informe Seguimiento POA 2022'!Z82</f>
        <v>1</v>
      </c>
      <c r="AM78" s="1224"/>
      <c r="AN78" s="693"/>
      <c r="AO78" s="693"/>
      <c r="AP78" s="693"/>
      <c r="AQ78" s="693"/>
      <c r="AR78" s="693"/>
      <c r="AS78" s="693"/>
      <c r="AT78" s="693"/>
      <c r="AU78" s="693"/>
      <c r="AV78" s="678">
        <f t="shared" si="32"/>
        <v>1</v>
      </c>
      <c r="AW78" s="678"/>
      <c r="AX78" s="693"/>
      <c r="AY78" s="693"/>
      <c r="AZ78" s="693"/>
      <c r="BA78" s="693"/>
      <c r="BB78" s="693"/>
      <c r="BC78" s="693"/>
      <c r="BD78" s="693"/>
      <c r="BE78" s="693"/>
      <c r="BF78" s="693"/>
      <c r="BG78" s="678">
        <f t="shared" si="33"/>
        <v>1</v>
      </c>
      <c r="BH78" s="678"/>
      <c r="BI78" s="693"/>
      <c r="BJ78" s="628">
        <f t="shared" ref="BJ78" si="36">IFERROR(AVERAGE(Q78,S78,U78,W78,AB78,AD78,AF78),0)</f>
        <v>1</v>
      </c>
      <c r="BK78" s="628">
        <f t="shared" ref="BK78" si="37">IFERROR(AVERAGE(R78,T78,V78,X78,AC78,AE78,AG78),0)</f>
        <v>1</v>
      </c>
      <c r="BL78" s="627">
        <f t="shared" si="15"/>
        <v>1</v>
      </c>
      <c r="BM78" s="627">
        <f t="shared" si="35"/>
        <v>0.5</v>
      </c>
      <c r="BN78" s="1195">
        <f>AVERAGE((IF(AND(BM78&gt;0,I78&gt;0),BM78*I78,0)),(IF(AND(BM79&gt;0,I78&gt;0),BM79*I78,0)))</f>
        <v>2.5000000000000001E-2</v>
      </c>
      <c r="BO78" s="1199"/>
      <c r="BP78" s="1134"/>
      <c r="BQ78" s="713"/>
      <c r="BR78" s="713"/>
    </row>
    <row r="79" spans="2:70" ht="76.5" customHeight="1">
      <c r="B79" s="1136"/>
      <c r="C79" s="1219"/>
      <c r="D79" s="1260"/>
      <c r="E79" s="1260"/>
      <c r="F79" s="1207"/>
      <c r="G79" s="1219"/>
      <c r="H79" s="1269"/>
      <c r="I79" s="1271"/>
      <c r="J79" s="678">
        <f>+'1.Informe Seguimiento POA 2022'!F83</f>
        <v>1</v>
      </c>
      <c r="K79" s="683" t="str">
        <f>+'1.Informe Seguimiento POA 2022'!I83</f>
        <v xml:space="preserve"> Gestión Jurídica</v>
      </c>
      <c r="L79" s="683" t="str">
        <f>+'1.Informe Seguimiento POA 2022'!J83</f>
        <v>Oficina Asesora Jurídica</v>
      </c>
      <c r="M79" s="644">
        <f>+'1.Informe Seguimiento POA 2022'!K83</f>
        <v>1</v>
      </c>
      <c r="N79" s="644">
        <f>+'1.Informe Seguimiento POA 2022'!L83</f>
        <v>1</v>
      </c>
      <c r="O79" s="644">
        <f>+'1.Informe Seguimiento POA 2022'!M83</f>
        <v>1</v>
      </c>
      <c r="P79" s="644">
        <f>+'1.Informe Seguimiento POA 2022'!N83</f>
        <v>1</v>
      </c>
      <c r="Q79" s="894">
        <v>1</v>
      </c>
      <c r="R79" s="894">
        <v>1</v>
      </c>
      <c r="S79" s="894">
        <v>1</v>
      </c>
      <c r="T79" s="894">
        <v>1</v>
      </c>
      <c r="U79" s="894">
        <v>1</v>
      </c>
      <c r="V79" s="894">
        <v>1</v>
      </c>
      <c r="W79" s="894">
        <v>1</v>
      </c>
      <c r="X79" s="894">
        <v>1</v>
      </c>
      <c r="Y79" s="629">
        <v>1</v>
      </c>
      <c r="Z79" s="629">
        <v>1</v>
      </c>
      <c r="AA79" s="629">
        <v>1</v>
      </c>
      <c r="AB79" s="685">
        <f>+'1.Informe Seguimiento POA 2022'!O83</f>
        <v>1</v>
      </c>
      <c r="AC79" s="685">
        <f>+'1.Informe Seguimiento POA 2022'!P83</f>
        <v>1</v>
      </c>
      <c r="AD79" s="685">
        <f>+'1.Informe Seguimiento POA 2022'!Q83</f>
        <v>1</v>
      </c>
      <c r="AE79" s="685">
        <f>+'1.Informe Seguimiento POA 2022'!R83</f>
        <v>1</v>
      </c>
      <c r="AF79" s="685">
        <f>+'1.Informe Seguimiento POA 2022'!S83</f>
        <v>1</v>
      </c>
      <c r="AG79" s="685">
        <f>+'1.Informe Seguimiento POA 2022'!T83</f>
        <v>1</v>
      </c>
      <c r="AH79" s="685">
        <f>+'1.Informe Seguimiento POA 2022'!U83</f>
        <v>1</v>
      </c>
      <c r="AI79" s="685">
        <f>+'1.Informe Seguimiento POA 2022'!V83</f>
        <v>1</v>
      </c>
      <c r="AJ79" s="629">
        <f>+'1.Informe Seguimiento POA 2022'!X83</f>
        <v>1</v>
      </c>
      <c r="AK79" s="629">
        <f>+'1.Informe Seguimiento POA 2022'!Y83</f>
        <v>1</v>
      </c>
      <c r="AL79" s="629">
        <f>+'1.Informe Seguimiento POA 2022'!Z83</f>
        <v>1</v>
      </c>
      <c r="AM79" s="1224"/>
      <c r="AN79" s="693"/>
      <c r="AO79" s="693"/>
      <c r="AP79" s="693"/>
      <c r="AQ79" s="693"/>
      <c r="AR79" s="693"/>
      <c r="AS79" s="693"/>
      <c r="AT79" s="693"/>
      <c r="AU79" s="693"/>
      <c r="AV79" s="678">
        <f t="shared" si="32"/>
        <v>1</v>
      </c>
      <c r="AW79" s="678"/>
      <c r="AX79" s="693"/>
      <c r="AY79" s="693"/>
      <c r="AZ79" s="693"/>
      <c r="BA79" s="693"/>
      <c r="BB79" s="693"/>
      <c r="BC79" s="693"/>
      <c r="BD79" s="693"/>
      <c r="BE79" s="693"/>
      <c r="BF79" s="693"/>
      <c r="BG79" s="678">
        <f t="shared" si="33"/>
        <v>1</v>
      </c>
      <c r="BH79" s="678"/>
      <c r="BI79" s="693"/>
      <c r="BJ79" s="628">
        <f>IFERROR(AVERAGE(Q79,S79,U79,W79,AB79,AD79,AF79,AH79),0)</f>
        <v>1</v>
      </c>
      <c r="BK79" s="628">
        <f>IFERROR(AVERAGE(R79,T79,V79,X79,AC79,AE79,AG79,AI79),0)</f>
        <v>1</v>
      </c>
      <c r="BL79" s="627">
        <f t="shared" si="15"/>
        <v>1</v>
      </c>
      <c r="BM79" s="627">
        <f t="shared" si="35"/>
        <v>0.5</v>
      </c>
      <c r="BN79" s="1272"/>
      <c r="BO79" s="1199"/>
      <c r="BP79" s="1134"/>
      <c r="BQ79" s="713"/>
      <c r="BR79" s="713"/>
    </row>
    <row r="80" spans="2:70" ht="76.5" customHeight="1">
      <c r="B80" s="1136"/>
      <c r="C80" s="1219"/>
      <c r="D80" s="1260"/>
      <c r="E80" s="1260"/>
      <c r="F80" s="1206" t="s">
        <v>1037</v>
      </c>
      <c r="G80" s="1218" t="s">
        <v>1028</v>
      </c>
      <c r="H80" s="1275" t="str">
        <f>+'1.Informe Seguimiento POA 2022'!D84</f>
        <v>4.4.15 Elaborar el 95% de los contratos en cada una de las modalidades de selección en los tiempos óptimos</v>
      </c>
      <c r="I80" s="1270">
        <f>+'1.Informe Seguimiento POA 2022'!E84</f>
        <v>0.1</v>
      </c>
      <c r="J80" s="678">
        <f>+'1.Informe Seguimiento POA 2022'!F84</f>
        <v>0.95</v>
      </c>
      <c r="K80" s="683" t="str">
        <f>+'1.Informe Seguimiento POA 2022'!I84</f>
        <v>Gestión Contractual</v>
      </c>
      <c r="L80" s="683" t="str">
        <f>+'1.Informe Seguimiento POA 2022'!J84</f>
        <v>Subdirección de Gestión Contractual
Dirección Administrativa y Financiera</v>
      </c>
      <c r="M80" s="644">
        <f>+'1.Informe Seguimiento POA 2022'!K84</f>
        <v>0.6</v>
      </c>
      <c r="N80" s="644">
        <f>+'1.Informe Seguimiento POA 2022'!L84</f>
        <v>0.8</v>
      </c>
      <c r="O80" s="644">
        <f>+'1.Informe Seguimiento POA 2022'!M84</f>
        <v>0.9</v>
      </c>
      <c r="P80" s="644">
        <f>+'1.Informe Seguimiento POA 2022'!N84</f>
        <v>0.95</v>
      </c>
      <c r="Q80" s="894">
        <v>0</v>
      </c>
      <c r="R80" s="894">
        <v>0</v>
      </c>
      <c r="S80" s="894">
        <v>0</v>
      </c>
      <c r="T80" s="894">
        <v>0</v>
      </c>
      <c r="U80" s="894">
        <v>0.6</v>
      </c>
      <c r="V80" s="894">
        <v>0.505</v>
      </c>
      <c r="W80" s="894">
        <v>0.6</v>
      </c>
      <c r="X80" s="894">
        <v>0.84199999999999997</v>
      </c>
      <c r="Y80" s="629">
        <v>0.6</v>
      </c>
      <c r="Z80" s="629">
        <v>0.67300000000000004</v>
      </c>
      <c r="AA80" s="629">
        <v>1.1216666666666668</v>
      </c>
      <c r="AB80" s="685">
        <f>+'1.Informe Seguimiento POA 2022'!O84</f>
        <v>0.8</v>
      </c>
      <c r="AC80" s="685">
        <f>+'1.Informe Seguimiento POA 2022'!P84</f>
        <v>1</v>
      </c>
      <c r="AD80" s="685">
        <f>+'1.Informe Seguimiento POA 2022'!Q84</f>
        <v>0</v>
      </c>
      <c r="AE80" s="685">
        <f>+'1.Informe Seguimiento POA 2022'!R84</f>
        <v>1</v>
      </c>
      <c r="AF80" s="685">
        <f>+'1.Informe Seguimiento POA 2022'!S84</f>
        <v>0.80000000000000016</v>
      </c>
      <c r="AG80" s="685">
        <f>+'1.Informe Seguimiento POA 2022'!T84</f>
        <v>0.94899999999999995</v>
      </c>
      <c r="AH80" s="685">
        <f>+'1.Informe Seguimiento POA 2022'!U84</f>
        <v>0.80000000000000016</v>
      </c>
      <c r="AI80" s="685">
        <f>+'1.Informe Seguimiento POA 2022'!V84</f>
        <v>0.98799999999999999</v>
      </c>
      <c r="AJ80" s="629">
        <f>+'1.Informe Seguimiento POA 2022'!X84</f>
        <v>0.8</v>
      </c>
      <c r="AK80" s="629">
        <f>+'1.Informe Seguimiento POA 2022'!Y84</f>
        <v>0.97599999999999998</v>
      </c>
      <c r="AL80" s="629">
        <f>+'1.Informe Seguimiento POA 2022'!Z84</f>
        <v>1.22</v>
      </c>
      <c r="AM80" s="1224"/>
      <c r="AN80" s="693"/>
      <c r="AO80" s="693"/>
      <c r="AP80" s="693"/>
      <c r="AQ80" s="693"/>
      <c r="AR80" s="693"/>
      <c r="AS80" s="693"/>
      <c r="AT80" s="693"/>
      <c r="AU80" s="693"/>
      <c r="AV80" s="678">
        <f t="shared" si="32"/>
        <v>0.9</v>
      </c>
      <c r="AW80" s="678"/>
      <c r="AX80" s="693"/>
      <c r="AY80" s="693"/>
      <c r="AZ80" s="693"/>
      <c r="BA80" s="693"/>
      <c r="BB80" s="693"/>
      <c r="BC80" s="693"/>
      <c r="BD80" s="693"/>
      <c r="BE80" s="693"/>
      <c r="BF80" s="693"/>
      <c r="BG80" s="678">
        <f t="shared" si="33"/>
        <v>0.95</v>
      </c>
      <c r="BH80" s="678"/>
      <c r="BI80" s="693"/>
      <c r="BJ80" s="628">
        <f>+AJ80</f>
        <v>0.8</v>
      </c>
      <c r="BK80" s="628">
        <f>+AK80</f>
        <v>0.97599999999999998</v>
      </c>
      <c r="BL80" s="627">
        <f t="shared" si="15"/>
        <v>1.22</v>
      </c>
      <c r="BM80" s="627">
        <f t="shared" si="35"/>
        <v>0.51368421052631585</v>
      </c>
      <c r="BN80" s="1195">
        <f>AVERAGE((IF(AND(BM80&gt;0,I80&gt;0),BM80*I80,0)),(IF(AND(BM81&gt;0,I80&gt;0),BM81*I80,0)),(IF(AND(BM82&gt;0,I80&gt;0),BM82*I80,0)))</f>
        <v>4.6333333333333337E-2</v>
      </c>
      <c r="BO80" s="1199"/>
      <c r="BP80" s="1134"/>
      <c r="BQ80" s="713"/>
      <c r="BR80" s="713"/>
    </row>
    <row r="81" spans="2:70" ht="76.5" customHeight="1">
      <c r="B81" s="1136"/>
      <c r="C81" s="1219"/>
      <c r="D81" s="1260"/>
      <c r="E81" s="1260"/>
      <c r="F81" s="1219"/>
      <c r="G81" s="1218"/>
      <c r="H81" s="1276"/>
      <c r="I81" s="1279"/>
      <c r="J81" s="678">
        <f>+'1.Informe Seguimiento POA 2022'!F85</f>
        <v>0.95</v>
      </c>
      <c r="K81" s="683" t="str">
        <f>+'1.Informe Seguimiento POA 2022'!I85</f>
        <v>Gestión Contractual</v>
      </c>
      <c r="L81" s="683" t="str">
        <f>+'1.Informe Seguimiento POA 2022'!J85</f>
        <v>Subdirección de Gestión Contractual
Dirección Administrativa y Financiera</v>
      </c>
      <c r="M81" s="644">
        <f>+'1.Informe Seguimiento POA 2022'!K85</f>
        <v>0.6</v>
      </c>
      <c r="N81" s="644">
        <f>+'1.Informe Seguimiento POA 2022'!L85</f>
        <v>0.8</v>
      </c>
      <c r="O81" s="644">
        <f>+'1.Informe Seguimiento POA 2022'!M85</f>
        <v>0.9</v>
      </c>
      <c r="P81" s="644">
        <f>+'1.Informe Seguimiento POA 2022'!N85</f>
        <v>0.95</v>
      </c>
      <c r="Q81" s="894">
        <v>0</v>
      </c>
      <c r="R81" s="894">
        <v>0</v>
      </c>
      <c r="S81" s="894">
        <v>0</v>
      </c>
      <c r="T81" s="894">
        <v>0</v>
      </c>
      <c r="U81" s="894">
        <v>0.6</v>
      </c>
      <c r="V81" s="894">
        <v>0.58299999999999996</v>
      </c>
      <c r="W81" s="894">
        <v>0.6</v>
      </c>
      <c r="X81" s="894">
        <v>0.86599999999999999</v>
      </c>
      <c r="Y81" s="629">
        <v>0.6</v>
      </c>
      <c r="Z81" s="629">
        <v>0.72499999999999998</v>
      </c>
      <c r="AA81" s="629">
        <v>1.2083333333333333</v>
      </c>
      <c r="AB81" s="685">
        <f>+'1.Informe Seguimiento POA 2022'!O85</f>
        <v>0</v>
      </c>
      <c r="AC81" s="685">
        <f>+'1.Informe Seguimiento POA 2022'!P85</f>
        <v>1</v>
      </c>
      <c r="AD81" s="685">
        <f>+'1.Informe Seguimiento POA 2022'!Q85</f>
        <v>0.8</v>
      </c>
      <c r="AE81" s="685">
        <f>+'1.Informe Seguimiento POA 2022'!R85</f>
        <v>0.8</v>
      </c>
      <c r="AF81" s="685">
        <f>+'1.Informe Seguimiento POA 2022'!S85</f>
        <v>0.80000000000000016</v>
      </c>
      <c r="AG81" s="685">
        <f>+'1.Informe Seguimiento POA 2022'!T85</f>
        <v>0.86599999999999999</v>
      </c>
      <c r="AH81" s="685">
        <f>+'1.Informe Seguimiento POA 2022'!U85</f>
        <v>0.8</v>
      </c>
      <c r="AI81" s="685">
        <f>+'1.Informe Seguimiento POA 2022'!V85</f>
        <v>0.9</v>
      </c>
      <c r="AJ81" s="629">
        <f>+'1.Informe Seguimiento POA 2022'!X85</f>
        <v>0.8</v>
      </c>
      <c r="AK81" s="629">
        <f>+'1.Informe Seguimiento POA 2022'!Y85</f>
        <v>0.875</v>
      </c>
      <c r="AL81" s="629">
        <f>+'1.Informe Seguimiento POA 2022'!Z85</f>
        <v>1.09375</v>
      </c>
      <c r="AM81" s="1224"/>
      <c r="AN81" s="693"/>
      <c r="AO81" s="693"/>
      <c r="AP81" s="693"/>
      <c r="AQ81" s="693"/>
      <c r="AR81" s="693"/>
      <c r="AS81" s="693"/>
      <c r="AT81" s="693"/>
      <c r="AU81" s="693"/>
      <c r="AV81" s="678">
        <f t="shared" si="32"/>
        <v>0.9</v>
      </c>
      <c r="AW81" s="678"/>
      <c r="AX81" s="693"/>
      <c r="AY81" s="693"/>
      <c r="AZ81" s="693"/>
      <c r="BA81" s="693"/>
      <c r="BB81" s="693"/>
      <c r="BC81" s="693"/>
      <c r="BD81" s="693"/>
      <c r="BE81" s="693"/>
      <c r="BF81" s="693"/>
      <c r="BG81" s="678">
        <f t="shared" si="33"/>
        <v>0.95</v>
      </c>
      <c r="BH81" s="678"/>
      <c r="BI81" s="693"/>
      <c r="BJ81" s="628">
        <f t="shared" ref="BJ81:BJ82" si="38">+AJ81</f>
        <v>0.8</v>
      </c>
      <c r="BK81" s="628">
        <f t="shared" ref="BK81:BK82" si="39">+AK81</f>
        <v>0.875</v>
      </c>
      <c r="BL81" s="627">
        <f t="shared" si="15"/>
        <v>1.09375</v>
      </c>
      <c r="BM81" s="627">
        <f t="shared" si="35"/>
        <v>0.46052631578947373</v>
      </c>
      <c r="BN81" s="1196"/>
      <c r="BO81" s="1199"/>
      <c r="BP81" s="1134"/>
      <c r="BQ81" s="713"/>
      <c r="BR81" s="713"/>
    </row>
    <row r="82" spans="2:70" ht="76.5" customHeight="1">
      <c r="B82" s="1136"/>
      <c r="C82" s="1207"/>
      <c r="D82" s="1261"/>
      <c r="E82" s="1261"/>
      <c r="F82" s="1207"/>
      <c r="G82" s="1218"/>
      <c r="H82" s="1277"/>
      <c r="I82" s="1280"/>
      <c r="J82" s="678">
        <f>+'1.Informe Seguimiento POA 2022'!F86</f>
        <v>0.95</v>
      </c>
      <c r="K82" s="683" t="str">
        <f>+'1.Informe Seguimiento POA 2022'!I86</f>
        <v>Gestión Contractual</v>
      </c>
      <c r="L82" s="683" t="str">
        <f>+'1.Informe Seguimiento POA 2022'!J86</f>
        <v>Subdirección de Gestión Contractual
Dirección Administrativa y Financiera</v>
      </c>
      <c r="M82" s="644">
        <f>+'1.Informe Seguimiento POA 2022'!K86</f>
        <v>0.6</v>
      </c>
      <c r="N82" s="644">
        <f>+'1.Informe Seguimiento POA 2022'!L86</f>
        <v>0.8</v>
      </c>
      <c r="O82" s="644">
        <f>+'1.Informe Seguimiento POA 2022'!M86</f>
        <v>0.9</v>
      </c>
      <c r="P82" s="644">
        <f>+'1.Informe Seguimiento POA 2022'!N86</f>
        <v>0.95</v>
      </c>
      <c r="Q82" s="894">
        <v>0</v>
      </c>
      <c r="R82" s="894">
        <v>0</v>
      </c>
      <c r="S82" s="894">
        <v>0</v>
      </c>
      <c r="T82" s="894">
        <v>0</v>
      </c>
      <c r="U82" s="894">
        <v>0.6</v>
      </c>
      <c r="V82" s="894">
        <v>0.6</v>
      </c>
      <c r="W82" s="894">
        <v>0.6</v>
      </c>
      <c r="X82" s="894">
        <v>0.6</v>
      </c>
      <c r="Y82" s="629">
        <v>0.6</v>
      </c>
      <c r="Z82" s="629">
        <v>0.6</v>
      </c>
      <c r="AA82" s="629">
        <v>1</v>
      </c>
      <c r="AB82" s="685">
        <f>+'1.Informe Seguimiento POA 2022'!O86</f>
        <v>0.8</v>
      </c>
      <c r="AC82" s="685">
        <f>+'1.Informe Seguimiento POA 2022'!P86</f>
        <v>0.8</v>
      </c>
      <c r="AD82" s="685">
        <f>+'1.Informe Seguimiento POA 2022'!Q86</f>
        <v>0.8</v>
      </c>
      <c r="AE82" s="685">
        <f>+'1.Informe Seguimiento POA 2022'!R86</f>
        <v>0.76600000000000001</v>
      </c>
      <c r="AF82" s="685">
        <f>+'1.Informe Seguimiento POA 2022'!S86</f>
        <v>0.80000000000000016</v>
      </c>
      <c r="AG82" s="685">
        <f>+'1.Informe Seguimiento POA 2022'!T86</f>
        <v>0.8</v>
      </c>
      <c r="AH82" s="685">
        <f>+'1.Informe Seguimiento POA 2022'!U86</f>
        <v>0.80000000000000016</v>
      </c>
      <c r="AI82" s="685">
        <f>+'1.Informe Seguimiento POA 2022'!V86</f>
        <v>0.8</v>
      </c>
      <c r="AJ82" s="629">
        <f>+'1.Informe Seguimiento POA 2022'!X86</f>
        <v>0.79999999999999993</v>
      </c>
      <c r="AK82" s="629">
        <f>+'1.Informe Seguimiento POA 2022'!Y86</f>
        <v>0.79</v>
      </c>
      <c r="AL82" s="629">
        <f>+'1.Informe Seguimiento POA 2022'!Z86</f>
        <v>0.98750000000000016</v>
      </c>
      <c r="AM82" s="1225"/>
      <c r="AN82" s="693"/>
      <c r="AO82" s="693"/>
      <c r="AP82" s="693"/>
      <c r="AQ82" s="693"/>
      <c r="AR82" s="693"/>
      <c r="AS82" s="693"/>
      <c r="AT82" s="693"/>
      <c r="AU82" s="693"/>
      <c r="AV82" s="678">
        <f t="shared" si="32"/>
        <v>0.9</v>
      </c>
      <c r="AW82" s="678"/>
      <c r="AX82" s="693"/>
      <c r="AY82" s="693"/>
      <c r="AZ82" s="693"/>
      <c r="BA82" s="693"/>
      <c r="BB82" s="693"/>
      <c r="BC82" s="693"/>
      <c r="BD82" s="693"/>
      <c r="BE82" s="693"/>
      <c r="BF82" s="693"/>
      <c r="BG82" s="678">
        <f t="shared" si="33"/>
        <v>0.95</v>
      </c>
      <c r="BH82" s="678"/>
      <c r="BI82" s="693"/>
      <c r="BJ82" s="628">
        <f t="shared" si="38"/>
        <v>0.79999999999999993</v>
      </c>
      <c r="BK82" s="628">
        <f t="shared" si="39"/>
        <v>0.79</v>
      </c>
      <c r="BL82" s="627">
        <f t="shared" si="15"/>
        <v>0.98750000000000016</v>
      </c>
      <c r="BM82" s="627">
        <f t="shared" si="35"/>
        <v>0.41578947368421054</v>
      </c>
      <c r="BN82" s="1197"/>
      <c r="BO82" s="1200"/>
      <c r="BP82" s="1134"/>
      <c r="BQ82" s="713"/>
      <c r="BR82" s="713"/>
    </row>
    <row r="83" spans="2:70" ht="73.5" customHeight="1">
      <c r="B83" s="1136"/>
      <c r="C83" s="1211" t="str">
        <f>+'Matriz PEI 2021-2024'!C24</f>
        <v>4.5. Desarrollar el 100% de las acciones relacionadas con el fomento de la Cultura del Autocontrol, la Autorregulación y la Autogestión institucional.</v>
      </c>
      <c r="D83" s="1262">
        <f>+'Matriz PEI 2021-2024'!E24</f>
        <v>1</v>
      </c>
      <c r="E83" s="1262">
        <f>+'Matriz PEI 2021-2024'!D24</f>
        <v>0.14000000000000001</v>
      </c>
      <c r="F83" s="1211" t="s">
        <v>1038</v>
      </c>
      <c r="G83" s="1211" t="s">
        <v>1039</v>
      </c>
      <c r="H83" s="630" t="str">
        <f>+'1.Informe Seguimiento POA 2022'!D87</f>
        <v xml:space="preserve">4.5.1 Emitir 96 solicitudes de aplicación de medidas de preservación del orden interno, con el fin de prevenir la materialización de conductas con alcance disciplinario. </v>
      </c>
      <c r="I83" s="124">
        <f>+'1.Informe Seguimiento POA 2022'!E87</f>
        <v>0.05</v>
      </c>
      <c r="J83" s="631">
        <f>+'1.Informe Seguimiento POA 2022'!F87</f>
        <v>148</v>
      </c>
      <c r="K83" s="632" t="str">
        <f>+'1.Informe Seguimiento POA 2022'!I87</f>
        <v>Control Disciplinario Interno</v>
      </c>
      <c r="L83" s="633" t="str">
        <f>+'1.Informe Seguimiento POA 2022'!J87</f>
        <v>Oficina Control Interno Disciplinario</v>
      </c>
      <c r="M83" s="651">
        <f>+'1.Informe Seguimiento POA 2022'!K87</f>
        <v>24</v>
      </c>
      <c r="N83" s="651">
        <f>+'1.Informe Seguimiento POA 2022'!L87</f>
        <v>52</v>
      </c>
      <c r="O83" s="651">
        <f>+'1.Informe Seguimiento POA 2022'!M87</f>
        <v>36</v>
      </c>
      <c r="P83" s="651">
        <f>+'1.Informe Seguimiento POA 2022'!N87</f>
        <v>36</v>
      </c>
      <c r="Q83" s="895">
        <v>6</v>
      </c>
      <c r="R83" s="895">
        <v>10</v>
      </c>
      <c r="S83" s="895">
        <v>6</v>
      </c>
      <c r="T83" s="895">
        <v>9</v>
      </c>
      <c r="U83" s="895">
        <v>6</v>
      </c>
      <c r="V83" s="895">
        <v>9</v>
      </c>
      <c r="W83" s="895">
        <v>6</v>
      </c>
      <c r="X83" s="895">
        <v>7</v>
      </c>
      <c r="Y83" s="635">
        <v>24</v>
      </c>
      <c r="Z83" s="635">
        <v>35</v>
      </c>
      <c r="AA83" s="636">
        <v>1.4583333333333333</v>
      </c>
      <c r="AB83" s="651">
        <f>+'1.Informe Seguimiento POA 2022'!O87</f>
        <v>6</v>
      </c>
      <c r="AC83" s="651">
        <f>+'1.Informe Seguimiento POA 2022'!P87</f>
        <v>26</v>
      </c>
      <c r="AD83" s="651">
        <f>+'1.Informe Seguimiento POA 2022'!Q87</f>
        <v>6</v>
      </c>
      <c r="AE83" s="651">
        <f>+'1.Informe Seguimiento POA 2022'!R87</f>
        <v>14</v>
      </c>
      <c r="AF83" s="651">
        <f>+'1.Informe Seguimiento POA 2022'!S87</f>
        <v>21</v>
      </c>
      <c r="AG83" s="651">
        <f>+'1.Informe Seguimiento POA 2022'!T87</f>
        <v>16</v>
      </c>
      <c r="AH83" s="651">
        <f>+'1.Informe Seguimiento POA 2022'!U87</f>
        <v>19</v>
      </c>
      <c r="AI83" s="651">
        <f>+'1.Informe Seguimiento POA 2022'!V87</f>
        <v>13</v>
      </c>
      <c r="AJ83" s="635">
        <f>+'1.Informe Seguimiento POA 2022'!X87</f>
        <v>52</v>
      </c>
      <c r="AK83" s="635">
        <f>+'1.Informe Seguimiento POA 2022'!Y87</f>
        <v>69</v>
      </c>
      <c r="AL83" s="636">
        <f>+'1.Informe Seguimiento POA 2022'!Z87</f>
        <v>1.3269230769230769</v>
      </c>
      <c r="AM83" s="1220">
        <f>'1.Informe Seguimiento POA 2022'!AC87</f>
        <v>0.29831081081081084</v>
      </c>
      <c r="AN83" s="636"/>
      <c r="AO83" s="636"/>
      <c r="AP83" s="636"/>
      <c r="AQ83" s="636"/>
      <c r="AR83" s="636"/>
      <c r="AS83" s="636"/>
      <c r="AT83" s="636"/>
      <c r="AU83" s="636"/>
      <c r="AV83" s="635">
        <f t="shared" si="32"/>
        <v>36</v>
      </c>
      <c r="AW83" s="635"/>
      <c r="AX83" s="636"/>
      <c r="AY83" s="636"/>
      <c r="AZ83" s="636"/>
      <c r="BA83" s="636"/>
      <c r="BB83" s="636"/>
      <c r="BC83" s="636"/>
      <c r="BD83" s="636"/>
      <c r="BE83" s="636"/>
      <c r="BF83" s="636"/>
      <c r="BG83" s="635">
        <f t="shared" si="33"/>
        <v>36</v>
      </c>
      <c r="BH83" s="635"/>
      <c r="BI83" s="636"/>
      <c r="BJ83" s="635">
        <f t="shared" ref="BJ83:BJ88" si="40">Q83+S83+U83+W83+AB83+AD83+AF83+AH83</f>
        <v>76</v>
      </c>
      <c r="BK83" s="635">
        <f>R83+T83+V83+X83+AC83+AE83+AI83</f>
        <v>88</v>
      </c>
      <c r="BL83" s="698">
        <f t="shared" si="15"/>
        <v>1.1578947368421053</v>
      </c>
      <c r="BM83" s="698">
        <f t="shared" ref="BM83:BM88" si="41">IF(AND(BK83&gt;0,$J83&gt;0),BK83/$J83,0)</f>
        <v>0.59459459459459463</v>
      </c>
      <c r="BN83" s="920">
        <f t="shared" ref="BN83:BN95" si="42">IF(AND(BM83&gt;0,I83&gt;0),BM83*I83,0)</f>
        <v>2.9729729729729731E-2</v>
      </c>
      <c r="BO83" s="1208">
        <f>SUM(BN83:BN88)</f>
        <v>0.5707297297297298</v>
      </c>
      <c r="BP83" s="1134"/>
      <c r="BQ83" s="705"/>
      <c r="BR83" s="705"/>
    </row>
    <row r="84" spans="2:70" ht="86.25" customHeight="1">
      <c r="B84" s="1136"/>
      <c r="C84" s="1212"/>
      <c r="D84" s="1263"/>
      <c r="E84" s="1263"/>
      <c r="F84" s="1212"/>
      <c r="G84" s="1212"/>
      <c r="H84" s="630" t="str">
        <f>+'1.Informe Seguimiento POA 2022'!D88</f>
        <v>4.5.2 Realizar 20 jornadas de sensibilización a funcionarios de la Personería de Bogotá D.C. sobre la prevención de las faltas disciplinarias más recurrentes en la Entidad.</v>
      </c>
      <c r="I84" s="124">
        <f>+'1.Informe Seguimiento POA 2022'!E88</f>
        <v>0.05</v>
      </c>
      <c r="J84" s="631">
        <f>+'1.Informe Seguimiento POA 2022'!F88</f>
        <v>20</v>
      </c>
      <c r="K84" s="632" t="str">
        <f>+'1.Informe Seguimiento POA 2022'!I88</f>
        <v>Control Disciplinario Interno</v>
      </c>
      <c r="L84" s="633" t="str">
        <f>+'1.Informe Seguimiento POA 2022'!J88</f>
        <v>Oficina Control Interno Disciplinario</v>
      </c>
      <c r="M84" s="651">
        <f>+'1.Informe Seguimiento POA 2022'!K88</f>
        <v>2</v>
      </c>
      <c r="N84" s="651">
        <f>+'1.Informe Seguimiento POA 2022'!L88</f>
        <v>6</v>
      </c>
      <c r="O84" s="651">
        <f>+'1.Informe Seguimiento POA 2022'!M88</f>
        <v>6</v>
      </c>
      <c r="P84" s="651">
        <f>+'1.Informe Seguimiento POA 2022'!N88</f>
        <v>6</v>
      </c>
      <c r="Q84" s="895">
        <v>0</v>
      </c>
      <c r="R84" s="895">
        <v>0</v>
      </c>
      <c r="S84" s="895">
        <v>1</v>
      </c>
      <c r="T84" s="895">
        <v>1</v>
      </c>
      <c r="U84" s="895">
        <v>1</v>
      </c>
      <c r="V84" s="895">
        <v>1</v>
      </c>
      <c r="W84" s="895">
        <v>0</v>
      </c>
      <c r="X84" s="895">
        <v>0</v>
      </c>
      <c r="Y84" s="635">
        <v>2</v>
      </c>
      <c r="Z84" s="635">
        <v>2</v>
      </c>
      <c r="AA84" s="636">
        <v>1</v>
      </c>
      <c r="AB84" s="651">
        <f>+'1.Informe Seguimiento POA 2022'!O88</f>
        <v>0</v>
      </c>
      <c r="AC84" s="651">
        <f>+'1.Informe Seguimiento POA 2022'!P88</f>
        <v>1</v>
      </c>
      <c r="AD84" s="651">
        <f>+'1.Informe Seguimiento POA 2022'!Q88</f>
        <v>2</v>
      </c>
      <c r="AE84" s="651">
        <f>+'1.Informe Seguimiento POA 2022'!R88</f>
        <v>1</v>
      </c>
      <c r="AF84" s="651">
        <f>+'1.Informe Seguimiento POA 2022'!S88</f>
        <v>3</v>
      </c>
      <c r="AG84" s="651">
        <f>+'1.Informe Seguimiento POA 2022'!T88</f>
        <v>2</v>
      </c>
      <c r="AH84" s="651">
        <f>+'1.Informe Seguimiento POA 2022'!U88</f>
        <v>1</v>
      </c>
      <c r="AI84" s="651">
        <f>+'1.Informe Seguimiento POA 2022'!V88</f>
        <v>2</v>
      </c>
      <c r="AJ84" s="635">
        <f>+'1.Informe Seguimiento POA 2022'!X88</f>
        <v>6</v>
      </c>
      <c r="AK84" s="635">
        <f>+'1.Informe Seguimiento POA 2022'!Y88</f>
        <v>6</v>
      </c>
      <c r="AL84" s="636">
        <f>+'1.Informe Seguimiento POA 2022'!Z88</f>
        <v>1</v>
      </c>
      <c r="AM84" s="1221"/>
      <c r="AN84" s="636"/>
      <c r="AO84" s="636"/>
      <c r="AP84" s="636"/>
      <c r="AQ84" s="636"/>
      <c r="AR84" s="636"/>
      <c r="AS84" s="636"/>
      <c r="AT84" s="636"/>
      <c r="AU84" s="636"/>
      <c r="AV84" s="635">
        <f t="shared" si="32"/>
        <v>6</v>
      </c>
      <c r="AW84" s="635"/>
      <c r="AX84" s="636"/>
      <c r="AY84" s="636"/>
      <c r="AZ84" s="636"/>
      <c r="BA84" s="636"/>
      <c r="BB84" s="636"/>
      <c r="BC84" s="636"/>
      <c r="BD84" s="636"/>
      <c r="BE84" s="636"/>
      <c r="BF84" s="636"/>
      <c r="BG84" s="635">
        <f t="shared" si="33"/>
        <v>6</v>
      </c>
      <c r="BH84" s="635"/>
      <c r="BI84" s="636"/>
      <c r="BJ84" s="635">
        <f t="shared" si="40"/>
        <v>8</v>
      </c>
      <c r="BK84" s="635">
        <f>R84+T84+V84+X84+AC84+AE84+AG84+AI84</f>
        <v>8</v>
      </c>
      <c r="BL84" s="698">
        <f t="shared" si="15"/>
        <v>1</v>
      </c>
      <c r="BM84" s="993">
        <f t="shared" si="41"/>
        <v>0.4</v>
      </c>
      <c r="BN84" s="920">
        <f t="shared" si="42"/>
        <v>2.0000000000000004E-2</v>
      </c>
      <c r="BO84" s="1209"/>
      <c r="BP84" s="1134"/>
      <c r="BQ84" s="706"/>
      <c r="BR84" s="706"/>
    </row>
    <row r="85" spans="2:70" ht="96.75" customHeight="1">
      <c r="B85" s="1136"/>
      <c r="C85" s="1212"/>
      <c r="D85" s="1263"/>
      <c r="E85" s="1263"/>
      <c r="F85" s="1212"/>
      <c r="G85" s="1212"/>
      <c r="H85" s="630" t="str">
        <f>+'1.Informe Seguimiento POA 2022'!D89</f>
        <v>4.5.3 Decidir de fondo 400 procesos disciplinarios que se encuentren en términos o con periodos vencidos, dando prelación a aquellos con mayor antigüedad o aquellos próximos a prescribir o caducar.</v>
      </c>
      <c r="I85" s="124">
        <f>+'1.Informe Seguimiento POA 2022'!E89</f>
        <v>0.2</v>
      </c>
      <c r="J85" s="631">
        <f>+'1.Informe Seguimiento POA 2022'!F89</f>
        <v>400</v>
      </c>
      <c r="K85" s="632" t="str">
        <f>+'1.Informe Seguimiento POA 2022'!I89</f>
        <v>Control Disciplinario Interno</v>
      </c>
      <c r="L85" s="633" t="str">
        <f>+'1.Informe Seguimiento POA 2022'!J89</f>
        <v>Oficina Control Interno Disciplinario</v>
      </c>
      <c r="M85" s="651">
        <f>+'1.Informe Seguimiento POA 2022'!K89</f>
        <v>100</v>
      </c>
      <c r="N85" s="651">
        <f>+'1.Informe Seguimiento POA 2022'!L89</f>
        <v>100</v>
      </c>
      <c r="O85" s="651">
        <f>+'1.Informe Seguimiento POA 2022'!M89</f>
        <v>100</v>
      </c>
      <c r="P85" s="651">
        <f>+'1.Informe Seguimiento POA 2022'!N89</f>
        <v>100</v>
      </c>
      <c r="Q85" s="895">
        <v>23</v>
      </c>
      <c r="R85" s="895">
        <v>38</v>
      </c>
      <c r="S85" s="895">
        <v>30</v>
      </c>
      <c r="T85" s="895">
        <v>30</v>
      </c>
      <c r="U85" s="895">
        <v>30</v>
      </c>
      <c r="V85" s="895">
        <v>48</v>
      </c>
      <c r="W85" s="895">
        <v>17</v>
      </c>
      <c r="X85" s="895">
        <v>56</v>
      </c>
      <c r="Y85" s="635">
        <v>100</v>
      </c>
      <c r="Z85" s="635">
        <v>172</v>
      </c>
      <c r="AA85" s="636">
        <v>1.72</v>
      </c>
      <c r="AB85" s="651">
        <f>+'1.Informe Seguimiento POA 2022'!O89</f>
        <v>23</v>
      </c>
      <c r="AC85" s="651">
        <f>+'1.Informe Seguimiento POA 2022'!P89</f>
        <v>30</v>
      </c>
      <c r="AD85" s="651">
        <f>+'1.Informe Seguimiento POA 2022'!Q89</f>
        <v>30</v>
      </c>
      <c r="AE85" s="651">
        <f>+'1.Informe Seguimiento POA 2022'!R89</f>
        <v>46</v>
      </c>
      <c r="AF85" s="651">
        <f>+'1.Informe Seguimiento POA 2022'!S89</f>
        <v>30</v>
      </c>
      <c r="AG85" s="651">
        <f>+'1.Informe Seguimiento POA 2022'!T89</f>
        <v>51</v>
      </c>
      <c r="AH85" s="651">
        <f>+'1.Informe Seguimiento POA 2022'!U89</f>
        <v>17</v>
      </c>
      <c r="AI85" s="651">
        <f>+'1.Informe Seguimiento POA 2022'!V89</f>
        <v>43</v>
      </c>
      <c r="AJ85" s="635">
        <f>+'1.Informe Seguimiento POA 2022'!X89</f>
        <v>100</v>
      </c>
      <c r="AK85" s="635">
        <f>+'1.Informe Seguimiento POA 2022'!Y89</f>
        <v>170</v>
      </c>
      <c r="AL85" s="636">
        <f>+'1.Informe Seguimiento POA 2022'!Z89</f>
        <v>1.7</v>
      </c>
      <c r="AM85" s="1221"/>
      <c r="AN85" s="636"/>
      <c r="AO85" s="636"/>
      <c r="AP85" s="636"/>
      <c r="AQ85" s="636"/>
      <c r="AR85" s="636"/>
      <c r="AS85" s="636"/>
      <c r="AT85" s="636"/>
      <c r="AU85" s="636"/>
      <c r="AV85" s="635">
        <f t="shared" si="32"/>
        <v>100</v>
      </c>
      <c r="AW85" s="635"/>
      <c r="AX85" s="636"/>
      <c r="AY85" s="636"/>
      <c r="AZ85" s="636"/>
      <c r="BA85" s="636"/>
      <c r="BB85" s="636"/>
      <c r="BC85" s="636"/>
      <c r="BD85" s="636"/>
      <c r="BE85" s="636"/>
      <c r="BF85" s="636"/>
      <c r="BG85" s="635">
        <f t="shared" si="33"/>
        <v>100</v>
      </c>
      <c r="BH85" s="635"/>
      <c r="BI85" s="636"/>
      <c r="BJ85" s="635">
        <f t="shared" si="40"/>
        <v>200</v>
      </c>
      <c r="BK85" s="635">
        <f>R85+T85+V85+X85+AC85+AE85+AG85+AI85</f>
        <v>342</v>
      </c>
      <c r="BL85" s="698">
        <f t="shared" si="15"/>
        <v>1.71</v>
      </c>
      <c r="BM85" s="993">
        <f t="shared" si="41"/>
        <v>0.85499999999999998</v>
      </c>
      <c r="BN85" s="920">
        <f t="shared" si="42"/>
        <v>0.17100000000000001</v>
      </c>
      <c r="BO85" s="1209"/>
      <c r="BP85" s="1134"/>
      <c r="BQ85" s="706"/>
      <c r="BR85" s="706"/>
    </row>
    <row r="86" spans="2:70" ht="69.75" customHeight="1">
      <c r="B86" s="1136"/>
      <c r="C86" s="1212"/>
      <c r="D86" s="1263"/>
      <c r="E86" s="1263"/>
      <c r="F86" s="1212"/>
      <c r="G86" s="1212"/>
      <c r="H86" s="630" t="str">
        <f>+'1.Informe Seguimiento POA 2022'!D90</f>
        <v>4.5.4 Ejecutar  4 programas anuales de auditorias, aprobados por el Comité Institucional de Coordinación del Sistema de Control Interno.</v>
      </c>
      <c r="I86" s="124">
        <f>+'1.Informe Seguimiento POA 2022'!E90</f>
        <v>0.5</v>
      </c>
      <c r="J86" s="631">
        <f>+'1.Informe Seguimiento POA 2022'!F90</f>
        <v>4</v>
      </c>
      <c r="K86" s="632" t="str">
        <f>+'1.Informe Seguimiento POA 2022'!I90</f>
        <v>Evaluación y Seguimiento</v>
      </c>
      <c r="L86" s="633" t="str">
        <f>+'1.Informe Seguimiento POA 2022'!J90</f>
        <v>Oficina de Control Interno</v>
      </c>
      <c r="M86" s="651">
        <f>+'1.Informe Seguimiento POA 2022'!K90</f>
        <v>1</v>
      </c>
      <c r="N86" s="651">
        <f>+'1.Informe Seguimiento POA 2022'!L90</f>
        <v>1</v>
      </c>
      <c r="O86" s="651">
        <f>+'1.Informe Seguimiento POA 2022'!M90</f>
        <v>1</v>
      </c>
      <c r="P86" s="651">
        <f>+'1.Informe Seguimiento POA 2022'!N90</f>
        <v>1</v>
      </c>
      <c r="Q86" s="897">
        <v>0.51</v>
      </c>
      <c r="R86" s="897">
        <v>0.51</v>
      </c>
      <c r="S86" s="897">
        <v>0.12</v>
      </c>
      <c r="T86" s="897">
        <v>0.12</v>
      </c>
      <c r="U86" s="897">
        <v>0.26</v>
      </c>
      <c r="V86" s="897">
        <v>0.26</v>
      </c>
      <c r="W86" s="897">
        <v>0.11</v>
      </c>
      <c r="X86" s="897">
        <v>0.11</v>
      </c>
      <c r="Y86" s="635">
        <v>1</v>
      </c>
      <c r="Z86" s="692">
        <v>1</v>
      </c>
      <c r="AA86" s="636">
        <v>1</v>
      </c>
      <c r="AB86" s="691">
        <f>+'1.Informe Seguimiento POA 2022'!O90</f>
        <v>0.35</v>
      </c>
      <c r="AC86" s="691">
        <f>+'1.Informe Seguimiento POA 2022'!P90</f>
        <v>0.35</v>
      </c>
      <c r="AD86" s="691">
        <f>+'1.Informe Seguimiento POA 2022'!Q90</f>
        <v>0.15</v>
      </c>
      <c r="AE86" s="691">
        <f>+'1.Informe Seguimiento POA 2022'!R90</f>
        <v>0.15</v>
      </c>
      <c r="AF86" s="691">
        <f>+'1.Informe Seguimiento POA 2022'!S90</f>
        <v>0.44000000000000006</v>
      </c>
      <c r="AG86" s="691">
        <f>+'1.Informe Seguimiento POA 2022'!T90</f>
        <v>0.44000000000000006</v>
      </c>
      <c r="AH86" s="691">
        <f>+'1.Informe Seguimiento POA 2022'!U90</f>
        <v>0.06</v>
      </c>
      <c r="AI86" s="691">
        <f>+'1.Informe Seguimiento POA 2022'!V90</f>
        <v>0.06</v>
      </c>
      <c r="AJ86" s="635">
        <f>+'1.Informe Seguimiento POA 2022'!X90</f>
        <v>1</v>
      </c>
      <c r="AK86" s="692">
        <f>+'1.Informe Seguimiento POA 2022'!Y90</f>
        <v>1</v>
      </c>
      <c r="AL86" s="636">
        <f>+'1.Informe Seguimiento POA 2022'!Z90</f>
        <v>1</v>
      </c>
      <c r="AM86" s="1221"/>
      <c r="AN86" s="695"/>
      <c r="AO86" s="695"/>
      <c r="AP86" s="695"/>
      <c r="AQ86" s="695"/>
      <c r="AR86" s="695"/>
      <c r="AS86" s="695"/>
      <c r="AT86" s="695"/>
      <c r="AU86" s="695"/>
      <c r="AV86" s="692">
        <f t="shared" si="32"/>
        <v>1</v>
      </c>
      <c r="AW86" s="692"/>
      <c r="AX86" s="695"/>
      <c r="AY86" s="695"/>
      <c r="AZ86" s="695"/>
      <c r="BA86" s="695"/>
      <c r="BB86" s="695"/>
      <c r="BC86" s="695"/>
      <c r="BD86" s="695"/>
      <c r="BE86" s="695"/>
      <c r="BF86" s="695"/>
      <c r="BG86" s="692">
        <f t="shared" si="33"/>
        <v>1</v>
      </c>
      <c r="BH86" s="692"/>
      <c r="BI86" s="695"/>
      <c r="BJ86" s="692">
        <f t="shared" si="40"/>
        <v>2</v>
      </c>
      <c r="BK86" s="692">
        <f>R86+T86+V86+X86+AC86+AE86+AG86+AI86</f>
        <v>2</v>
      </c>
      <c r="BL86" s="698">
        <f t="shared" si="15"/>
        <v>1</v>
      </c>
      <c r="BM86" s="993">
        <f t="shared" si="41"/>
        <v>0.5</v>
      </c>
      <c r="BN86" s="920">
        <f t="shared" si="42"/>
        <v>0.25</v>
      </c>
      <c r="BO86" s="1209"/>
      <c r="BP86" s="1134"/>
      <c r="BQ86" s="706"/>
      <c r="BR86" s="706"/>
    </row>
    <row r="87" spans="2:70" ht="56.25" customHeight="1">
      <c r="B87" s="1136"/>
      <c r="C87" s="1212"/>
      <c r="D87" s="1263"/>
      <c r="E87" s="1263"/>
      <c r="F87" s="1212"/>
      <c r="G87" s="1212"/>
      <c r="H87" s="630" t="str">
        <f>+'1.Informe Seguimiento POA 2022'!D91</f>
        <v>4.5.5 Desarrollar 4 estrategias de sensibilización acerca de la cultura del control.</v>
      </c>
      <c r="I87" s="124">
        <f>+'1.Informe Seguimiento POA 2022'!E91</f>
        <v>0.1</v>
      </c>
      <c r="J87" s="631">
        <f>+'1.Informe Seguimiento POA 2022'!F91</f>
        <v>4</v>
      </c>
      <c r="K87" s="632" t="str">
        <f>+'1.Informe Seguimiento POA 2022'!I91</f>
        <v>Evaluación y Seguimiento</v>
      </c>
      <c r="L87" s="633" t="str">
        <f>+'1.Informe Seguimiento POA 2022'!J91</f>
        <v>Oficina de Control Interno</v>
      </c>
      <c r="M87" s="651">
        <f>+'1.Informe Seguimiento POA 2022'!K91</f>
        <v>1</v>
      </c>
      <c r="N87" s="651">
        <f>+'1.Informe Seguimiento POA 2022'!L91</f>
        <v>1</v>
      </c>
      <c r="O87" s="651">
        <f>+'1.Informe Seguimiento POA 2022'!M91</f>
        <v>1</v>
      </c>
      <c r="P87" s="651">
        <f>+'1.Informe Seguimiento POA 2022'!N91</f>
        <v>1</v>
      </c>
      <c r="Q87" s="895">
        <v>0</v>
      </c>
      <c r="R87" s="895">
        <v>0</v>
      </c>
      <c r="S87" s="895">
        <v>0</v>
      </c>
      <c r="T87" s="895">
        <v>0</v>
      </c>
      <c r="U87" s="895">
        <v>0</v>
      </c>
      <c r="V87" s="895">
        <v>0</v>
      </c>
      <c r="W87" s="895">
        <v>1</v>
      </c>
      <c r="X87" s="895">
        <v>1</v>
      </c>
      <c r="Y87" s="635">
        <v>1</v>
      </c>
      <c r="Z87" s="635">
        <v>1</v>
      </c>
      <c r="AA87" s="636">
        <v>1</v>
      </c>
      <c r="AB87" s="651">
        <f>+'1.Informe Seguimiento POA 2022'!O91</f>
        <v>0</v>
      </c>
      <c r="AC87" s="651">
        <f>+'1.Informe Seguimiento POA 2022'!P91</f>
        <v>0</v>
      </c>
      <c r="AD87" s="651">
        <f>+'1.Informe Seguimiento POA 2022'!Q91</f>
        <v>0</v>
      </c>
      <c r="AE87" s="651">
        <f>+'1.Informe Seguimiento POA 2022'!R91</f>
        <v>0</v>
      </c>
      <c r="AF87" s="651">
        <f>+'1.Informe Seguimiento POA 2022'!S91</f>
        <v>0</v>
      </c>
      <c r="AG87" s="651">
        <f>+'1.Informe Seguimiento POA 2022'!T91</f>
        <v>0</v>
      </c>
      <c r="AH87" s="651">
        <f>+'1.Informe Seguimiento POA 2022'!U91</f>
        <v>1</v>
      </c>
      <c r="AI87" s="651">
        <f>+'1.Informe Seguimiento POA 2022'!V91</f>
        <v>1</v>
      </c>
      <c r="AJ87" s="635">
        <f>+'1.Informe Seguimiento POA 2022'!X91</f>
        <v>1</v>
      </c>
      <c r="AK87" s="635">
        <f>+'1.Informe Seguimiento POA 2022'!Y91</f>
        <v>1</v>
      </c>
      <c r="AL87" s="636">
        <f>+'1.Informe Seguimiento POA 2022'!Z91</f>
        <v>1</v>
      </c>
      <c r="AM87" s="1221"/>
      <c r="AN87" s="636"/>
      <c r="AO87" s="636"/>
      <c r="AP87" s="636"/>
      <c r="AQ87" s="636"/>
      <c r="AR87" s="636"/>
      <c r="AS87" s="636"/>
      <c r="AT87" s="636"/>
      <c r="AU87" s="636"/>
      <c r="AV87" s="635">
        <f t="shared" si="32"/>
        <v>1</v>
      </c>
      <c r="AW87" s="635"/>
      <c r="AX87" s="636"/>
      <c r="AY87" s="636"/>
      <c r="AZ87" s="636"/>
      <c r="BA87" s="636"/>
      <c r="BB87" s="636"/>
      <c r="BC87" s="636"/>
      <c r="BD87" s="636"/>
      <c r="BE87" s="636"/>
      <c r="BF87" s="636"/>
      <c r="BG87" s="635">
        <f t="shared" si="33"/>
        <v>1</v>
      </c>
      <c r="BH87" s="635"/>
      <c r="BI87" s="636"/>
      <c r="BJ87" s="692">
        <f t="shared" si="40"/>
        <v>2</v>
      </c>
      <c r="BK87" s="692">
        <f>R87+T87+V87+X87+AC87+AE87+AG87+AI87</f>
        <v>2</v>
      </c>
      <c r="BL87" s="698">
        <f t="shared" si="15"/>
        <v>1</v>
      </c>
      <c r="BM87" s="993">
        <f t="shared" si="41"/>
        <v>0.5</v>
      </c>
      <c r="BN87" s="920">
        <f t="shared" si="42"/>
        <v>0.05</v>
      </c>
      <c r="BO87" s="1209"/>
      <c r="BP87" s="1134"/>
      <c r="BQ87" s="706"/>
      <c r="BR87" s="706"/>
    </row>
    <row r="88" spans="2:70" ht="61.5" customHeight="1">
      <c r="B88" s="1136"/>
      <c r="C88" s="1213"/>
      <c r="D88" s="1264"/>
      <c r="E88" s="1264"/>
      <c r="F88" s="1217"/>
      <c r="G88" s="1217"/>
      <c r="H88" s="630" t="str">
        <f>+'1.Informe Seguimiento POA 2022'!D92</f>
        <v>4.5.6 Realizar 4 jornadas de sensibilización a Directivos y Referentes de proceso sobre la Séptima Dimensión.</v>
      </c>
      <c r="I88" s="124">
        <f>+'1.Informe Seguimiento POA 2022'!E92</f>
        <v>0.1</v>
      </c>
      <c r="J88" s="631">
        <f>+'1.Informe Seguimiento POA 2022'!F92</f>
        <v>4</v>
      </c>
      <c r="K88" s="632" t="str">
        <f>+'1.Informe Seguimiento POA 2022'!I92</f>
        <v>Evaluación y Seguimiento</v>
      </c>
      <c r="L88" s="633" t="str">
        <f>+'1.Informe Seguimiento POA 2022'!J92</f>
        <v>Oficina de Control Interno</v>
      </c>
      <c r="M88" s="651">
        <f>+'1.Informe Seguimiento POA 2022'!K92</f>
        <v>1</v>
      </c>
      <c r="N88" s="651">
        <f>+'1.Informe Seguimiento POA 2022'!L92</f>
        <v>1</v>
      </c>
      <c r="O88" s="651">
        <f>+'1.Informe Seguimiento POA 2022'!M92</f>
        <v>1</v>
      </c>
      <c r="P88" s="651">
        <f>+'1.Informe Seguimiento POA 2022'!N92</f>
        <v>1</v>
      </c>
      <c r="Q88" s="895">
        <v>0</v>
      </c>
      <c r="R88" s="895">
        <v>0</v>
      </c>
      <c r="S88" s="895">
        <v>0</v>
      </c>
      <c r="T88" s="895">
        <v>0</v>
      </c>
      <c r="U88" s="895">
        <v>0</v>
      </c>
      <c r="V88" s="895">
        <v>0</v>
      </c>
      <c r="W88" s="895">
        <v>1</v>
      </c>
      <c r="X88" s="895">
        <v>1</v>
      </c>
      <c r="Y88" s="635">
        <v>1</v>
      </c>
      <c r="Z88" s="635">
        <v>1</v>
      </c>
      <c r="AA88" s="636">
        <v>1</v>
      </c>
      <c r="AB88" s="651">
        <f>+'1.Informe Seguimiento POA 2022'!O92</f>
        <v>0</v>
      </c>
      <c r="AC88" s="651">
        <f>+'1.Informe Seguimiento POA 2022'!P92</f>
        <v>0</v>
      </c>
      <c r="AD88" s="651">
        <f>+'1.Informe Seguimiento POA 2022'!Q92</f>
        <v>1</v>
      </c>
      <c r="AE88" s="651">
        <f>+'1.Informe Seguimiento POA 2022'!R92</f>
        <v>1</v>
      </c>
      <c r="AF88" s="651">
        <f>+'1.Informe Seguimiento POA 2022'!S92</f>
        <v>0</v>
      </c>
      <c r="AG88" s="651">
        <f>+'1.Informe Seguimiento POA 2022'!T92</f>
        <v>0</v>
      </c>
      <c r="AH88" s="651">
        <f>+'1.Informe Seguimiento POA 2022'!U92</f>
        <v>0</v>
      </c>
      <c r="AI88" s="651">
        <f>+'1.Informe Seguimiento POA 2022'!V92</f>
        <v>0</v>
      </c>
      <c r="AJ88" s="635">
        <f>+'1.Informe Seguimiento POA 2022'!X92</f>
        <v>1</v>
      </c>
      <c r="AK88" s="635">
        <f>+'1.Informe Seguimiento POA 2022'!Y92</f>
        <v>1</v>
      </c>
      <c r="AL88" s="636">
        <f>+'1.Informe Seguimiento POA 2022'!Z92</f>
        <v>1</v>
      </c>
      <c r="AM88" s="1222"/>
      <c r="AN88" s="636"/>
      <c r="AO88" s="636"/>
      <c r="AP88" s="636"/>
      <c r="AQ88" s="636"/>
      <c r="AR88" s="636"/>
      <c r="AS88" s="636"/>
      <c r="AT88" s="636"/>
      <c r="AU88" s="636"/>
      <c r="AV88" s="635">
        <f t="shared" si="32"/>
        <v>1</v>
      </c>
      <c r="AW88" s="635"/>
      <c r="AX88" s="636"/>
      <c r="AY88" s="636"/>
      <c r="AZ88" s="636"/>
      <c r="BA88" s="636"/>
      <c r="BB88" s="636"/>
      <c r="BC88" s="636"/>
      <c r="BD88" s="636"/>
      <c r="BE88" s="636"/>
      <c r="BF88" s="636"/>
      <c r="BG88" s="635">
        <f t="shared" si="33"/>
        <v>1</v>
      </c>
      <c r="BH88" s="635"/>
      <c r="BI88" s="636"/>
      <c r="BJ88" s="692">
        <f t="shared" si="40"/>
        <v>2</v>
      </c>
      <c r="BK88" s="692">
        <f>R88+T88+V88+X88+AC88+AE88+AG88+AI88</f>
        <v>2</v>
      </c>
      <c r="BL88" s="698">
        <f t="shared" si="15"/>
        <v>1</v>
      </c>
      <c r="BM88" s="993">
        <f t="shared" si="41"/>
        <v>0.5</v>
      </c>
      <c r="BN88" s="920">
        <f t="shared" si="42"/>
        <v>0.05</v>
      </c>
      <c r="BO88" s="1210"/>
      <c r="BP88" s="1134"/>
      <c r="BQ88" s="706"/>
      <c r="BR88" s="706"/>
    </row>
    <row r="89" spans="2:70" ht="60" customHeight="1">
      <c r="B89" s="1136"/>
      <c r="C89" s="1206" t="str">
        <f>+'Matriz PEI 2021-2024'!C25</f>
        <v>4.6. Desarrollar el 100% de las estrategias de comunicación organizacional y de medios que contribuyan al logro de los objetivos institucionales y al posicionamiento de la Entidad.</v>
      </c>
      <c r="D89" s="1257">
        <f>+'Matriz PEI 2021-2024'!E25</f>
        <v>1</v>
      </c>
      <c r="E89" s="1257">
        <f>+'Matriz PEI 2021-2024'!D25</f>
        <v>0.14000000000000001</v>
      </c>
      <c r="F89" s="1206" t="s">
        <v>953</v>
      </c>
      <c r="G89" s="1206" t="s">
        <v>954</v>
      </c>
      <c r="H89" s="1002" t="str">
        <f>+'1.Informe Seguimiento POA 2022'!D93</f>
        <v>4.6.1  Desarrollar el 100% de los productos para comunicación y divulgación externa que promuevan y difundan la gestión institucional</v>
      </c>
      <c r="I89" s="1000">
        <f>+'1.Informe Seguimiento POA 2022'!E93</f>
        <v>0.5</v>
      </c>
      <c r="J89" s="678">
        <f>+'1.Informe Seguimiento POA 2022'!F93</f>
        <v>1</v>
      </c>
      <c r="K89" s="683" t="str">
        <f>+'1.Informe Seguimiento POA 2022'!I93</f>
        <v>Comunicación Estratégica</v>
      </c>
      <c r="L89" s="683" t="str">
        <f>+'1.Informe Seguimiento POA 2022'!J93</f>
        <v>Oficina Asesora de Comunicaciones</v>
      </c>
      <c r="M89" s="644">
        <f>+'1.Informe Seguimiento POA 2022'!K93</f>
        <v>1</v>
      </c>
      <c r="N89" s="644">
        <f>+'1.Informe Seguimiento POA 2022'!L93</f>
        <v>1</v>
      </c>
      <c r="O89" s="644">
        <f>+'1.Informe Seguimiento POA 2022'!M93</f>
        <v>1</v>
      </c>
      <c r="P89" s="644">
        <f>+'1.Informe Seguimiento POA 2022'!N93</f>
        <v>1</v>
      </c>
      <c r="Q89" s="894">
        <v>1</v>
      </c>
      <c r="R89" s="894">
        <v>1</v>
      </c>
      <c r="S89" s="894">
        <v>1</v>
      </c>
      <c r="T89" s="894">
        <v>1</v>
      </c>
      <c r="U89" s="894">
        <v>1</v>
      </c>
      <c r="V89" s="894">
        <v>1</v>
      </c>
      <c r="W89" s="894">
        <v>1</v>
      </c>
      <c r="X89" s="894">
        <v>1</v>
      </c>
      <c r="Y89" s="629">
        <v>1</v>
      </c>
      <c r="Z89" s="629">
        <v>1</v>
      </c>
      <c r="AA89" s="629">
        <v>1</v>
      </c>
      <c r="AB89" s="685">
        <f>+'1.Informe Seguimiento POA 2022'!O93</f>
        <v>1</v>
      </c>
      <c r="AC89" s="685">
        <f>+'1.Informe Seguimiento POA 2022'!P93</f>
        <v>1</v>
      </c>
      <c r="AD89" s="685">
        <f>+'1.Informe Seguimiento POA 2022'!Q93</f>
        <v>1</v>
      </c>
      <c r="AE89" s="685">
        <f>+'1.Informe Seguimiento POA 2022'!R93</f>
        <v>1</v>
      </c>
      <c r="AF89" s="685">
        <f>+'1.Informe Seguimiento POA 2022'!S93</f>
        <v>1</v>
      </c>
      <c r="AG89" s="685">
        <f>+'1.Informe Seguimiento POA 2022'!T93</f>
        <v>1</v>
      </c>
      <c r="AH89" s="685">
        <f>+'1.Informe Seguimiento POA 2022'!U93</f>
        <v>1</v>
      </c>
      <c r="AI89" s="685">
        <f>+'1.Informe Seguimiento POA 2022'!V93</f>
        <v>1</v>
      </c>
      <c r="AJ89" s="629">
        <f>+'1.Informe Seguimiento POA 2022'!X93</f>
        <v>1</v>
      </c>
      <c r="AK89" s="629">
        <f>+'1.Informe Seguimiento POA 2022'!Y93</f>
        <v>1</v>
      </c>
      <c r="AL89" s="629">
        <f>+'1.Informe Seguimiento POA 2022'!Z93</f>
        <v>1</v>
      </c>
      <c r="AM89" s="1223">
        <f>'1.Informe Seguimiento POA 2022'!AC93</f>
        <v>0.5</v>
      </c>
      <c r="AN89" s="693"/>
      <c r="AO89" s="693"/>
      <c r="AP89" s="693"/>
      <c r="AQ89" s="693"/>
      <c r="AR89" s="693"/>
      <c r="AS89" s="693"/>
      <c r="AT89" s="693"/>
      <c r="AU89" s="693"/>
      <c r="AV89" s="678">
        <f t="shared" si="32"/>
        <v>1</v>
      </c>
      <c r="AW89" s="678"/>
      <c r="AX89" s="693"/>
      <c r="AY89" s="693"/>
      <c r="AZ89" s="693"/>
      <c r="BA89" s="693"/>
      <c r="BB89" s="693"/>
      <c r="BC89" s="693"/>
      <c r="BD89" s="693"/>
      <c r="BE89" s="693"/>
      <c r="BF89" s="693"/>
      <c r="BG89" s="678">
        <f t="shared" si="33"/>
        <v>1</v>
      </c>
      <c r="BH89" s="678"/>
      <c r="BI89" s="693"/>
      <c r="BJ89" s="628">
        <f>IFERROR(AVERAGE(Q89,S89,U89,W89,AB89,AD89,AF89,AH89),0)</f>
        <v>1</v>
      </c>
      <c r="BK89" s="628">
        <f>IFERROR(AVERAGE(R89,T89,V89,X89,AC89,AE89,AG89,AI89),0)</f>
        <v>1</v>
      </c>
      <c r="BL89" s="627">
        <f t="shared" si="15"/>
        <v>1</v>
      </c>
      <c r="BM89" s="627">
        <f>(IF(AND(BK89&gt;0,$J89&gt;0),BK89/$J89,0)/4)*2</f>
        <v>0.5</v>
      </c>
      <c r="BN89" s="915">
        <f t="shared" si="42"/>
        <v>0.25</v>
      </c>
      <c r="BO89" s="1310">
        <f>SUM(BN89:BN90)</f>
        <v>0.5</v>
      </c>
      <c r="BP89" s="1134"/>
      <c r="BQ89" s="707"/>
      <c r="BR89" s="707"/>
    </row>
    <row r="90" spans="2:70" ht="69.75" customHeight="1">
      <c r="B90" s="1136"/>
      <c r="C90" s="1247"/>
      <c r="D90" s="1258"/>
      <c r="E90" s="1258"/>
      <c r="F90" s="1207"/>
      <c r="G90" s="1207"/>
      <c r="H90" s="1002" t="str">
        <f>+'1.Informe Seguimiento POA 2022'!D94</f>
        <v>4.6.2 Desarrollar el 100% de los productos para comunicación y divulgación interna que contribuyan a la consecución de objetivos institucionales</v>
      </c>
      <c r="I90" s="1000">
        <f>+'1.Informe Seguimiento POA 2022'!E94</f>
        <v>0.5</v>
      </c>
      <c r="J90" s="678">
        <f>+'1.Informe Seguimiento POA 2022'!F94</f>
        <v>1</v>
      </c>
      <c r="K90" s="683" t="str">
        <f>+'1.Informe Seguimiento POA 2022'!I94</f>
        <v>Comunicación Estratégica</v>
      </c>
      <c r="L90" s="683" t="str">
        <f>+'1.Informe Seguimiento POA 2022'!J94</f>
        <v>Oficina Asesora de Comunicaciones</v>
      </c>
      <c r="M90" s="644">
        <f>+'1.Informe Seguimiento POA 2022'!K94</f>
        <v>1</v>
      </c>
      <c r="N90" s="644">
        <f>+'1.Informe Seguimiento POA 2022'!L94</f>
        <v>1</v>
      </c>
      <c r="O90" s="644">
        <f>+'1.Informe Seguimiento POA 2022'!M94</f>
        <v>1</v>
      </c>
      <c r="P90" s="644">
        <f>+'1.Informe Seguimiento POA 2022'!N94</f>
        <v>1</v>
      </c>
      <c r="Q90" s="894">
        <v>1</v>
      </c>
      <c r="R90" s="894">
        <v>1</v>
      </c>
      <c r="S90" s="894">
        <v>1</v>
      </c>
      <c r="T90" s="894">
        <v>1</v>
      </c>
      <c r="U90" s="894">
        <v>1</v>
      </c>
      <c r="V90" s="894">
        <v>1</v>
      </c>
      <c r="W90" s="894">
        <v>1</v>
      </c>
      <c r="X90" s="894">
        <v>1</v>
      </c>
      <c r="Y90" s="629">
        <v>1</v>
      </c>
      <c r="Z90" s="629">
        <v>1</v>
      </c>
      <c r="AA90" s="629">
        <v>1</v>
      </c>
      <c r="AB90" s="685">
        <f>+'1.Informe Seguimiento POA 2022'!O94</f>
        <v>1</v>
      </c>
      <c r="AC90" s="685">
        <f>+'1.Informe Seguimiento POA 2022'!P94</f>
        <v>1</v>
      </c>
      <c r="AD90" s="685">
        <f>+'1.Informe Seguimiento POA 2022'!Q94</f>
        <v>1</v>
      </c>
      <c r="AE90" s="685">
        <f>+'1.Informe Seguimiento POA 2022'!R94</f>
        <v>1</v>
      </c>
      <c r="AF90" s="685">
        <f>+'1.Informe Seguimiento POA 2022'!S94</f>
        <v>1</v>
      </c>
      <c r="AG90" s="685">
        <f>+'1.Informe Seguimiento POA 2022'!T94</f>
        <v>1</v>
      </c>
      <c r="AH90" s="685">
        <f>+'1.Informe Seguimiento POA 2022'!U94</f>
        <v>1</v>
      </c>
      <c r="AI90" s="685">
        <f>+'1.Informe Seguimiento POA 2022'!V94</f>
        <v>1</v>
      </c>
      <c r="AJ90" s="629">
        <f>+'1.Informe Seguimiento POA 2022'!X94</f>
        <v>1</v>
      </c>
      <c r="AK90" s="629">
        <f>+'1.Informe Seguimiento POA 2022'!Y94</f>
        <v>1</v>
      </c>
      <c r="AL90" s="629">
        <f>+'1.Informe Seguimiento POA 2022'!Z94</f>
        <v>1</v>
      </c>
      <c r="AM90" s="1225"/>
      <c r="AN90" s="693"/>
      <c r="AO90" s="693"/>
      <c r="AP90" s="693"/>
      <c r="AQ90" s="693"/>
      <c r="AR90" s="693"/>
      <c r="AS90" s="693"/>
      <c r="AT90" s="693"/>
      <c r="AU90" s="693"/>
      <c r="AV90" s="678">
        <f t="shared" si="32"/>
        <v>1</v>
      </c>
      <c r="AW90" s="678"/>
      <c r="AX90" s="693"/>
      <c r="AY90" s="693"/>
      <c r="AZ90" s="693"/>
      <c r="BA90" s="693"/>
      <c r="BB90" s="693"/>
      <c r="BC90" s="693"/>
      <c r="BD90" s="693"/>
      <c r="BE90" s="693"/>
      <c r="BF90" s="693"/>
      <c r="BG90" s="678">
        <f t="shared" si="33"/>
        <v>1</v>
      </c>
      <c r="BH90" s="678"/>
      <c r="BI90" s="693"/>
      <c r="BJ90" s="628">
        <f>IFERROR(AVERAGE(Q90,S90,U90,W90,AB90,AD90,AF90,AH90),0)</f>
        <v>1</v>
      </c>
      <c r="BK90" s="628">
        <f>IFERROR(AVERAGE(R90,T90,V90,X90,AC90,AE90,AG90,AI90),0)</f>
        <v>1</v>
      </c>
      <c r="BL90" s="627">
        <f t="shared" si="15"/>
        <v>1</v>
      </c>
      <c r="BM90" s="627">
        <f>(IF(AND(BK90&gt;0,$J90&gt;0),BK90/$J90,0)/4)*2</f>
        <v>0.5</v>
      </c>
      <c r="BN90" s="915">
        <f t="shared" si="42"/>
        <v>0.25</v>
      </c>
      <c r="BO90" s="1311"/>
      <c r="BP90" s="1134"/>
      <c r="BQ90" s="708"/>
      <c r="BR90" s="708"/>
    </row>
    <row r="91" spans="2:70" ht="114" customHeight="1">
      <c r="B91" s="1137"/>
      <c r="C91" s="653" t="str">
        <f>+'Matriz PEI 2021-2024'!C26</f>
        <v>4.7. Articular el 100% de las acciones de trabajo interinstitucional y cooperación nacional e internacional que permita aunar esfuerzos para el cumplimiento de la misión institucional.</v>
      </c>
      <c r="D91" s="654">
        <f>+'Matriz PEI 2021-2024'!E26</f>
        <v>1</v>
      </c>
      <c r="E91" s="654">
        <f>+'Matriz PEI 2021-2024'!D26</f>
        <v>0.14000000000000001</v>
      </c>
      <c r="F91" s="653" t="s">
        <v>955</v>
      </c>
      <c r="G91" s="653" t="s">
        <v>956</v>
      </c>
      <c r="H91" s="630" t="str">
        <f>+'1.Informe Seguimiento POA 2022'!D95</f>
        <v>4.7.1 Gestionar 3 acuerdos interinstitucionales o de cooperación nacional y/o internacional para garantizar el enfoque social, en el marco de un estado pluralista, para el fortalecimiento de la prestación del servicio al usuario</v>
      </c>
      <c r="I91" s="124">
        <f>+'1.Informe Seguimiento POA 2022'!E95</f>
        <v>1</v>
      </c>
      <c r="J91" s="631">
        <f>+'1.Informe Seguimiento POA 2022'!F95</f>
        <v>3</v>
      </c>
      <c r="K91" s="632" t="str">
        <f>+'1.Informe Seguimiento POA 2022'!I95</f>
        <v>Servicio al Usuario</v>
      </c>
      <c r="L91" s="633" t="str">
        <f>+'1.Informe Seguimiento POA 2022'!J95</f>
        <v>Secretaría General</v>
      </c>
      <c r="M91" s="651">
        <f>+'1.Informe Seguimiento POA 2022'!K95</f>
        <v>1</v>
      </c>
      <c r="N91" s="651">
        <f>+'1.Informe Seguimiento POA 2022'!L95</f>
        <v>1</v>
      </c>
      <c r="O91" s="651">
        <f>+'1.Informe Seguimiento POA 2022'!M95</f>
        <v>1</v>
      </c>
      <c r="P91" s="651">
        <f>+'1.Informe Seguimiento POA 2022'!N95</f>
        <v>0</v>
      </c>
      <c r="Q91" s="895">
        <v>0</v>
      </c>
      <c r="R91" s="895">
        <v>0</v>
      </c>
      <c r="S91" s="895">
        <v>0</v>
      </c>
      <c r="T91" s="895">
        <v>0</v>
      </c>
      <c r="U91" s="895">
        <v>0</v>
      </c>
      <c r="V91" s="895">
        <v>0</v>
      </c>
      <c r="W91" s="895">
        <v>1</v>
      </c>
      <c r="X91" s="895">
        <v>2</v>
      </c>
      <c r="Y91" s="635">
        <v>1</v>
      </c>
      <c r="Z91" s="635">
        <v>2</v>
      </c>
      <c r="AA91" s="636">
        <v>2</v>
      </c>
      <c r="AB91" s="651">
        <f>+'1.Informe Seguimiento POA 2022'!O95</f>
        <v>0</v>
      </c>
      <c r="AC91" s="651">
        <f>+'1.Informe Seguimiento POA 2022'!P95</f>
        <v>0</v>
      </c>
      <c r="AD91" s="651">
        <f>+'1.Informe Seguimiento POA 2022'!Q95</f>
        <v>0</v>
      </c>
      <c r="AE91" s="651">
        <f>+'1.Informe Seguimiento POA 2022'!R95</f>
        <v>0</v>
      </c>
      <c r="AF91" s="651">
        <f>+'1.Informe Seguimiento POA 2022'!S95</f>
        <v>0</v>
      </c>
      <c r="AG91" s="651">
        <f>+'1.Informe Seguimiento POA 2022'!T95</f>
        <v>0</v>
      </c>
      <c r="AH91" s="651">
        <f>+'1.Informe Seguimiento POA 2022'!U95</f>
        <v>1</v>
      </c>
      <c r="AI91" s="651">
        <f>+'1.Informe Seguimiento POA 2022'!V95</f>
        <v>2</v>
      </c>
      <c r="AJ91" s="635">
        <f>+'1.Informe Seguimiento POA 2022'!X95</f>
        <v>1</v>
      </c>
      <c r="AK91" s="635">
        <f>+'1.Informe Seguimiento POA 2022'!Y95</f>
        <v>2</v>
      </c>
      <c r="AL91" s="636">
        <f>+'1.Informe Seguimiento POA 2022'!Z95</f>
        <v>2</v>
      </c>
      <c r="AM91" s="636">
        <f>'1.Informe Seguimiento POA 2022'!AC95</f>
        <v>0.66666666666666663</v>
      </c>
      <c r="AN91" s="636"/>
      <c r="AO91" s="636"/>
      <c r="AP91" s="636"/>
      <c r="AQ91" s="636"/>
      <c r="AR91" s="636"/>
      <c r="AS91" s="636"/>
      <c r="AT91" s="636"/>
      <c r="AU91" s="636"/>
      <c r="AV91" s="635">
        <f t="shared" si="32"/>
        <v>1</v>
      </c>
      <c r="AW91" s="635"/>
      <c r="AX91" s="636"/>
      <c r="AY91" s="636"/>
      <c r="AZ91" s="636"/>
      <c r="BA91" s="636"/>
      <c r="BB91" s="636"/>
      <c r="BC91" s="636"/>
      <c r="BD91" s="636"/>
      <c r="BE91" s="636"/>
      <c r="BF91" s="636"/>
      <c r="BG91" s="635">
        <f t="shared" si="33"/>
        <v>0</v>
      </c>
      <c r="BH91" s="635"/>
      <c r="BI91" s="636"/>
      <c r="BJ91" s="692">
        <f>Q91+S91+U91+W91+AB91+AD91+AF91+AH91</f>
        <v>2</v>
      </c>
      <c r="BK91" s="692">
        <f>R91+T91+V91+X91+AC91+AE91+AG91+AI91</f>
        <v>4</v>
      </c>
      <c r="BL91" s="698">
        <f t="shared" si="15"/>
        <v>2</v>
      </c>
      <c r="BM91" s="636">
        <f>IF(AND(BK91&gt;0,$J91&gt;0),BK91/$J91,0)</f>
        <v>1.3333333333333333</v>
      </c>
      <c r="BN91" s="920">
        <f t="shared" si="42"/>
        <v>1.3333333333333333</v>
      </c>
      <c r="BO91" s="701">
        <f>+BN91</f>
        <v>1.3333333333333333</v>
      </c>
      <c r="BP91" s="1135"/>
      <c r="BQ91" s="707"/>
      <c r="BR91" s="707"/>
    </row>
    <row r="92" spans="2:70" ht="93.75" customHeight="1">
      <c r="B92" s="1116" t="str">
        <f>+'Matriz PEI 2021-2024'!B27</f>
        <v xml:space="preserve">5. Incorporar una cultura del conocimiento y la innovación a través de actividades que permitan el desarrollo de ideas, lecciones aprendidas e investigaciones para mejorar los resultados de la gestión institucional. </v>
      </c>
      <c r="C92" s="1281" t="str">
        <f>+'Matriz PEI 2021-2024'!C27</f>
        <v>5.1 Generar el 100% de productos de nuevo conocimiento o transformar los existentes, alineados con proyectos resultados de la investigación, desarrollo e innovación (I+D+I) en la Entidad.</v>
      </c>
      <c r="D92" s="1299">
        <f>+'Matriz PEI 2021-2024'!E27</f>
        <v>1</v>
      </c>
      <c r="E92" s="1299">
        <f>+'Matriz PEI 2021-2024'!D27</f>
        <v>0.4</v>
      </c>
      <c r="F92" s="1301" t="s">
        <v>983</v>
      </c>
      <c r="G92" s="1281" t="s">
        <v>957</v>
      </c>
      <c r="H92" s="1002" t="str">
        <f>+'1.Informe Seguimiento POA 2022'!D96</f>
        <v xml:space="preserve">5.1.1 Elaborar cuatro (4) proyectos de investigación, desarrollo e innovación I+D+I para la Entidad </v>
      </c>
      <c r="I92" s="1000">
        <f>+'1.Informe Seguimiento POA 2022'!E96</f>
        <v>0.5</v>
      </c>
      <c r="J92" s="624">
        <f>+'1.Informe Seguimiento POA 2022'!F96</f>
        <v>4</v>
      </c>
      <c r="K92" s="683" t="str">
        <f>+'1.Informe Seguimiento POA 2022'!I96</f>
        <v xml:space="preserve">Gestión del Conocimiento e Innovación </v>
      </c>
      <c r="L92" s="683" t="str">
        <f>+'1.Informe Seguimiento POA 2022'!J96</f>
        <v xml:space="preserve">Dirección de Gestión del Conocimiento e Innovación </v>
      </c>
      <c r="M92" s="645">
        <f>+'1.Informe Seguimiento POA 2022'!K96</f>
        <v>1</v>
      </c>
      <c r="N92" s="645">
        <f>+'1.Informe Seguimiento POA 2022'!L96</f>
        <v>1</v>
      </c>
      <c r="O92" s="645">
        <f>+'1.Informe Seguimiento POA 2022'!M96</f>
        <v>1</v>
      </c>
      <c r="P92" s="645">
        <f>+'1.Informe Seguimiento POA 2022'!N96</f>
        <v>1</v>
      </c>
      <c r="Q92" s="758">
        <v>0</v>
      </c>
      <c r="R92" s="758">
        <v>0</v>
      </c>
      <c r="S92" s="758">
        <v>0</v>
      </c>
      <c r="T92" s="758">
        <v>0</v>
      </c>
      <c r="U92" s="758">
        <v>0</v>
      </c>
      <c r="V92" s="758">
        <v>0</v>
      </c>
      <c r="W92" s="758">
        <v>1</v>
      </c>
      <c r="X92" s="758">
        <v>1</v>
      </c>
      <c r="Y92" s="896">
        <v>1</v>
      </c>
      <c r="Z92" s="896">
        <v>1</v>
      </c>
      <c r="AA92" s="994">
        <v>1</v>
      </c>
      <c r="AB92" s="625">
        <f>+'1.Informe Seguimiento POA 2022'!O96</f>
        <v>0</v>
      </c>
      <c r="AC92" s="625">
        <f>+'1.Informe Seguimiento POA 2022'!P96</f>
        <v>0</v>
      </c>
      <c r="AD92" s="625">
        <f>+'1.Informe Seguimiento POA 2022'!Q96</f>
        <v>0</v>
      </c>
      <c r="AE92" s="625">
        <f>+'1.Informe Seguimiento POA 2022'!R96</f>
        <v>0</v>
      </c>
      <c r="AF92" s="625">
        <f>+'1.Informe Seguimiento POA 2022'!S96</f>
        <v>0</v>
      </c>
      <c r="AG92" s="625">
        <f>+'1.Informe Seguimiento POA 2022'!T96</f>
        <v>0</v>
      </c>
      <c r="AH92" s="625">
        <f>+'1.Informe Seguimiento POA 2022'!U96</f>
        <v>1</v>
      </c>
      <c r="AI92" s="625">
        <f>+'1.Informe Seguimiento POA 2022'!V96</f>
        <v>1</v>
      </c>
      <c r="AJ92" s="645">
        <f>+'1.Informe Seguimiento POA 2022'!X96</f>
        <v>1</v>
      </c>
      <c r="AK92" s="645">
        <f>+'1.Informe Seguimiento POA 2022'!Y96</f>
        <v>1</v>
      </c>
      <c r="AL92" s="994">
        <f>+'1.Informe Seguimiento POA 2022'!Z96</f>
        <v>1</v>
      </c>
      <c r="AM92" s="1308">
        <f>'1.Informe Seguimiento POA 2022'!AC96</f>
        <v>0.375</v>
      </c>
      <c r="AN92" s="693"/>
      <c r="AO92" s="693"/>
      <c r="AP92" s="693"/>
      <c r="AQ92" s="693"/>
      <c r="AR92" s="693"/>
      <c r="AS92" s="693"/>
      <c r="AT92" s="693"/>
      <c r="AU92" s="693"/>
      <c r="AV92" s="645">
        <f t="shared" si="32"/>
        <v>1</v>
      </c>
      <c r="AW92" s="645"/>
      <c r="AX92" s="693"/>
      <c r="AY92" s="693"/>
      <c r="AZ92" s="693"/>
      <c r="BA92" s="693"/>
      <c r="BB92" s="693"/>
      <c r="BC92" s="693"/>
      <c r="BD92" s="693"/>
      <c r="BE92" s="693"/>
      <c r="BF92" s="693"/>
      <c r="BG92" s="645">
        <f t="shared" si="33"/>
        <v>1</v>
      </c>
      <c r="BH92" s="645"/>
      <c r="BI92" s="693"/>
      <c r="BJ92" s="696">
        <f>Q92+S92+U92+W92+AB92+AD92+AF92+AH92</f>
        <v>2</v>
      </c>
      <c r="BK92" s="696">
        <f>R92+T92+V92+X92+AC92+AE92+AG92+BJ92</f>
        <v>3</v>
      </c>
      <c r="BL92" s="627">
        <f t="shared" si="15"/>
        <v>1.5</v>
      </c>
      <c r="BM92" s="627">
        <f>(IF(AND(BK92&gt;0,$J92&gt;0),BK92/$J92,0))</f>
        <v>0.75</v>
      </c>
      <c r="BN92" s="656">
        <f t="shared" si="42"/>
        <v>0.375</v>
      </c>
      <c r="BO92" s="1119">
        <f>+BN92+BN93</f>
        <v>0.625</v>
      </c>
      <c r="BP92" s="1119">
        <f>(IF(AND(BO92&gt;0,E92&gt;0),BO92*E92))+(IF(AND(BO94&gt;0,E94&gt;0),BO94*E94))+(IF(AND(BO95&gt;0,E95&gt;0),BO95*E95))</f>
        <v>0.55374999999999996</v>
      </c>
      <c r="BQ92" s="709"/>
      <c r="BR92" s="709"/>
    </row>
    <row r="93" spans="2:70" ht="93.75" customHeight="1">
      <c r="B93" s="1117"/>
      <c r="C93" s="1282"/>
      <c r="D93" s="1300"/>
      <c r="E93" s="1300"/>
      <c r="F93" s="1302"/>
      <c r="G93" s="1282"/>
      <c r="H93" s="1002" t="str">
        <f>+'1.Informe Seguimiento POA 2022'!D97</f>
        <v>5.1.2. Entregar dos (2) productos resultado de los proyectos de investigación, desarrollo e innovación (I+D+I) realizados en la Entidad para la comunidad</v>
      </c>
      <c r="I93" s="1000">
        <f>+'1.Informe Seguimiento POA 2022'!E97</f>
        <v>0.5</v>
      </c>
      <c r="J93" s="624">
        <f>+'1.Informe Seguimiento POA 2022'!F97</f>
        <v>2</v>
      </c>
      <c r="K93" s="683" t="str">
        <f>+'1.Informe Seguimiento POA 2022'!I97</f>
        <v xml:space="preserve">Gestión del Conocimiento e Innovación </v>
      </c>
      <c r="L93" s="683" t="str">
        <f>+'1.Informe Seguimiento POA 2022'!J97</f>
        <v xml:space="preserve">Dirección de Gestión del Conocimiento e Innovación </v>
      </c>
      <c r="M93" s="645">
        <f>+'1.Informe Seguimiento POA 2022'!K97</f>
        <v>0</v>
      </c>
      <c r="N93" s="645">
        <f>+'1.Informe Seguimiento POA 2022'!L97</f>
        <v>1</v>
      </c>
      <c r="O93" s="645">
        <f>+'1.Informe Seguimiento POA 2022'!M97</f>
        <v>1</v>
      </c>
      <c r="P93" s="645">
        <f>+'1.Informe Seguimiento POA 2022'!N97</f>
        <v>0</v>
      </c>
      <c r="Q93" s="758">
        <v>0</v>
      </c>
      <c r="R93" s="758">
        <v>0</v>
      </c>
      <c r="S93" s="758">
        <v>0</v>
      </c>
      <c r="T93" s="758">
        <v>0</v>
      </c>
      <c r="U93" s="758">
        <v>0</v>
      </c>
      <c r="V93" s="758">
        <v>0</v>
      </c>
      <c r="W93" s="758">
        <v>0</v>
      </c>
      <c r="X93" s="758">
        <v>0</v>
      </c>
      <c r="Y93" s="896">
        <v>0</v>
      </c>
      <c r="Z93" s="896">
        <v>0</v>
      </c>
      <c r="AA93" s="994">
        <v>0</v>
      </c>
      <c r="AB93" s="625">
        <f>+'1.Informe Seguimiento POA 2022'!O97</f>
        <v>0</v>
      </c>
      <c r="AC93" s="625">
        <f>+'1.Informe Seguimiento POA 2022'!P97</f>
        <v>0</v>
      </c>
      <c r="AD93" s="625">
        <f>+'1.Informe Seguimiento POA 2022'!Q97</f>
        <v>0</v>
      </c>
      <c r="AE93" s="625">
        <f>+'1.Informe Seguimiento POA 2022'!R97</f>
        <v>0</v>
      </c>
      <c r="AF93" s="625">
        <f>+'1.Informe Seguimiento POA 2022'!S97</f>
        <v>0</v>
      </c>
      <c r="AG93" s="625">
        <f>+'1.Informe Seguimiento POA 2022'!T97</f>
        <v>0</v>
      </c>
      <c r="AH93" s="625">
        <f>+'1.Informe Seguimiento POA 2022'!U97</f>
        <v>1</v>
      </c>
      <c r="AI93" s="625">
        <f>+'1.Informe Seguimiento POA 2022'!V97</f>
        <v>1</v>
      </c>
      <c r="AJ93" s="645">
        <f>+'1.Informe Seguimiento POA 2022'!X97</f>
        <v>1</v>
      </c>
      <c r="AK93" s="645">
        <f>+'1.Informe Seguimiento POA 2022'!Y97</f>
        <v>1</v>
      </c>
      <c r="AL93" s="994">
        <f>+'1.Informe Seguimiento POA 2022'!Z97</f>
        <v>1</v>
      </c>
      <c r="AM93" s="1309"/>
      <c r="AN93" s="693"/>
      <c r="AO93" s="693"/>
      <c r="AP93" s="693"/>
      <c r="AQ93" s="693"/>
      <c r="AR93" s="693"/>
      <c r="AS93" s="693"/>
      <c r="AT93" s="693"/>
      <c r="AU93" s="693"/>
      <c r="AV93" s="645">
        <f t="shared" si="32"/>
        <v>1</v>
      </c>
      <c r="AW93" s="645"/>
      <c r="AX93" s="693"/>
      <c r="AY93" s="693"/>
      <c r="AZ93" s="693"/>
      <c r="BA93" s="693"/>
      <c r="BB93" s="693"/>
      <c r="BC93" s="693"/>
      <c r="BD93" s="693"/>
      <c r="BE93" s="693"/>
      <c r="BF93" s="693"/>
      <c r="BG93" s="645">
        <f t="shared" si="33"/>
        <v>0</v>
      </c>
      <c r="BH93" s="645"/>
      <c r="BI93" s="693"/>
      <c r="BJ93" s="696">
        <f>Q93+S93+U93+W93+AB93+AD93+AF93+AH93</f>
        <v>1</v>
      </c>
      <c r="BK93" s="696">
        <f>R93+T93+V93+X93+AC93+AE93+AG93+AI93</f>
        <v>1</v>
      </c>
      <c r="BL93" s="627">
        <f t="shared" si="15"/>
        <v>1</v>
      </c>
      <c r="BM93" s="627">
        <f>(IF(AND(BK93&gt;0,$J93&gt;0),BK93/$J93,0))</f>
        <v>0.5</v>
      </c>
      <c r="BN93" s="656">
        <f t="shared" si="42"/>
        <v>0.25</v>
      </c>
      <c r="BO93" s="1153"/>
      <c r="BP93" s="1120"/>
      <c r="BQ93" s="709"/>
      <c r="BR93" s="709"/>
    </row>
    <row r="94" spans="2:70" ht="102" customHeight="1">
      <c r="B94" s="1117"/>
      <c r="C94" s="657" t="str">
        <f>+'Matriz PEI 2021-2024'!C28</f>
        <v>5.2 Formular el 100% de herramientas y acciones que permitan categorizar, preservar y utilizar el conocimiento para la toma de decisiones y compartir fácilmente los datos y la información de la Entidad.</v>
      </c>
      <c r="D94" s="655">
        <f>+'Matriz PEI 2021-2024'!E28</f>
        <v>1</v>
      </c>
      <c r="E94" s="655">
        <f>+'Matriz PEI 2021-2024'!D28</f>
        <v>0.3</v>
      </c>
      <c r="F94" s="679" t="s">
        <v>958</v>
      </c>
      <c r="G94" s="657" t="s">
        <v>959</v>
      </c>
      <c r="H94" s="1002" t="str">
        <f>+'1.Informe Seguimiento POA 2022'!D98</f>
        <v xml:space="preserve">5.2.1 Construir ocho (8) informes de investigación e innovación que reflejen la analítica institucional </v>
      </c>
      <c r="I94" s="1000">
        <f>+'1.Informe Seguimiento POA 2022'!E98</f>
        <v>1</v>
      </c>
      <c r="J94" s="624">
        <f>+'1.Informe Seguimiento POA 2022'!F98</f>
        <v>8</v>
      </c>
      <c r="K94" s="683" t="str">
        <f>+'1.Informe Seguimiento POA 2022'!I98</f>
        <v xml:space="preserve">Gestión del Conocimiento e Innovación </v>
      </c>
      <c r="L94" s="683" t="str">
        <f>+'1.Informe Seguimiento POA 2022'!J98</f>
        <v xml:space="preserve">Dirección de Gestión del Conocimiento e Innovación </v>
      </c>
      <c r="M94" s="645">
        <f>+'1.Informe Seguimiento POA 2022'!K98</f>
        <v>2</v>
      </c>
      <c r="N94" s="645">
        <f>+'1.Informe Seguimiento POA 2022'!L98</f>
        <v>2</v>
      </c>
      <c r="O94" s="645">
        <f>+'1.Informe Seguimiento POA 2022'!M98</f>
        <v>3</v>
      </c>
      <c r="P94" s="645">
        <f>+'1.Informe Seguimiento POA 2022'!N98</f>
        <v>1</v>
      </c>
      <c r="Q94" s="758">
        <v>0</v>
      </c>
      <c r="R94" s="758">
        <v>0</v>
      </c>
      <c r="S94" s="758">
        <v>1</v>
      </c>
      <c r="T94" s="758">
        <v>1</v>
      </c>
      <c r="U94" s="758">
        <v>0</v>
      </c>
      <c r="V94" s="758">
        <v>0</v>
      </c>
      <c r="W94" s="758">
        <v>1</v>
      </c>
      <c r="X94" s="758">
        <v>1</v>
      </c>
      <c r="Y94" s="896">
        <v>2</v>
      </c>
      <c r="Z94" s="896">
        <v>2</v>
      </c>
      <c r="AA94" s="994">
        <v>1</v>
      </c>
      <c r="AB94" s="625">
        <f>+'1.Informe Seguimiento POA 2022'!O98</f>
        <v>0</v>
      </c>
      <c r="AC94" s="625">
        <f>+'1.Informe Seguimiento POA 2022'!P98</f>
        <v>0</v>
      </c>
      <c r="AD94" s="625">
        <f>+'1.Informe Seguimiento POA 2022'!Q98</f>
        <v>1</v>
      </c>
      <c r="AE94" s="625">
        <f>+'1.Informe Seguimiento POA 2022'!R98</f>
        <v>1</v>
      </c>
      <c r="AF94" s="625">
        <f>+'1.Informe Seguimiento POA 2022'!S98</f>
        <v>0</v>
      </c>
      <c r="AG94" s="625">
        <f>+'1.Informe Seguimiento POA 2022'!T98</f>
        <v>0</v>
      </c>
      <c r="AH94" s="625">
        <f>+'1.Informe Seguimiento POA 2022'!U98</f>
        <v>1</v>
      </c>
      <c r="AI94" s="625">
        <f>+'1.Informe Seguimiento POA 2022'!V98</f>
        <v>1</v>
      </c>
      <c r="AJ94" s="645">
        <f>+'1.Informe Seguimiento POA 2022'!X98</f>
        <v>2</v>
      </c>
      <c r="AK94" s="645">
        <f>+'1.Informe Seguimiento POA 2022'!Y98</f>
        <v>2</v>
      </c>
      <c r="AL94" s="994">
        <f>+'1.Informe Seguimiento POA 2022'!Z98</f>
        <v>1</v>
      </c>
      <c r="AM94" s="939">
        <f>'1.Informe Seguimiento POA 2022'!AC98</f>
        <v>0.25</v>
      </c>
      <c r="AN94" s="693"/>
      <c r="AO94" s="693"/>
      <c r="AP94" s="693"/>
      <c r="AQ94" s="693"/>
      <c r="AR94" s="693"/>
      <c r="AS94" s="693"/>
      <c r="AT94" s="693"/>
      <c r="AU94" s="693"/>
      <c r="AV94" s="645">
        <f t="shared" si="32"/>
        <v>3</v>
      </c>
      <c r="AW94" s="645"/>
      <c r="AX94" s="693"/>
      <c r="AY94" s="693"/>
      <c r="AZ94" s="693"/>
      <c r="BA94" s="693"/>
      <c r="BB94" s="693"/>
      <c r="BC94" s="693"/>
      <c r="BD94" s="693"/>
      <c r="BE94" s="693"/>
      <c r="BF94" s="693"/>
      <c r="BG94" s="645">
        <f t="shared" si="33"/>
        <v>1</v>
      </c>
      <c r="BH94" s="645"/>
      <c r="BI94" s="693"/>
      <c r="BJ94" s="696">
        <f>Q94+S94+U94+W94+AB94+AD94+AF94+AH94</f>
        <v>4</v>
      </c>
      <c r="BK94" s="696">
        <f>R94+T94+V94+X94+AC94+AE94+AG94+AI94</f>
        <v>4</v>
      </c>
      <c r="BL94" s="627">
        <f t="shared" ref="BL94:BL95" si="43">IF(AND(BJ94&gt;0),BK94/BJ94,"No programado")</f>
        <v>1</v>
      </c>
      <c r="BM94" s="627">
        <f>(IF(AND(BK94&gt;0,$J94&gt;0),BK94/$J94,0))</f>
        <v>0.5</v>
      </c>
      <c r="BN94" s="656">
        <f t="shared" si="42"/>
        <v>0.5</v>
      </c>
      <c r="BO94" s="702">
        <f>+BN94</f>
        <v>0.5</v>
      </c>
      <c r="BP94" s="1120"/>
      <c r="BQ94" s="709"/>
      <c r="BR94" s="709"/>
    </row>
    <row r="95" spans="2:70" ht="124.5" customHeight="1" thickBot="1">
      <c r="B95" s="1118"/>
      <c r="C95" s="658" t="str">
        <f>+'Matriz PEI 2021-2024'!C29</f>
        <v xml:space="preserve">5.3 Desarrollar el 100% de espacios y mecanismos para la difusión del conocimiento, mediante la creación de alianzas efectivas y apropiación de la memoria institucional a través del proceso de enseñanza-aprendizaje organizacional. </v>
      </c>
      <c r="D95" s="655">
        <f>+'Matriz PEI 2021-2024'!E29</f>
        <v>1</v>
      </c>
      <c r="E95" s="655">
        <f>+'Matriz PEI 2021-2024'!D29</f>
        <v>0.3</v>
      </c>
      <c r="F95" s="679" t="s">
        <v>960</v>
      </c>
      <c r="G95" s="658" t="s">
        <v>961</v>
      </c>
      <c r="H95" s="1002" t="str">
        <f>+'1.Informe Seguimiento POA 2022'!D99</f>
        <v>5.3.1 Desarrollar ochenta (80) actividades de apropiación social del conocimiento para la creación de la cultura de la investigación e innovación.</v>
      </c>
      <c r="I95" s="1000">
        <f>+'1.Informe Seguimiento POA 2022'!E99</f>
        <v>1</v>
      </c>
      <c r="J95" s="624">
        <f>+'1.Informe Seguimiento POA 2022'!F99</f>
        <v>80</v>
      </c>
      <c r="K95" s="683" t="str">
        <f>+'1.Informe Seguimiento POA 2022'!I99</f>
        <v xml:space="preserve">Gestión del Conocimiento e Innovación </v>
      </c>
      <c r="L95" s="683" t="str">
        <f>+'1.Informe Seguimiento POA 2022'!J99</f>
        <v xml:space="preserve">Dirección de Gestión del Conocimiento e Innovación </v>
      </c>
      <c r="M95" s="645">
        <f>+'1.Informe Seguimiento POA 2022'!K99</f>
        <v>3</v>
      </c>
      <c r="N95" s="645">
        <f>+'1.Informe Seguimiento POA 2022'!L99</f>
        <v>38</v>
      </c>
      <c r="O95" s="645">
        <f>+'1.Informe Seguimiento POA 2022'!M99</f>
        <v>39</v>
      </c>
      <c r="P95" s="645">
        <f>+'1.Informe Seguimiento POA 2022'!N99</f>
        <v>0</v>
      </c>
      <c r="Q95" s="758">
        <v>0</v>
      </c>
      <c r="R95" s="758">
        <v>1</v>
      </c>
      <c r="S95" s="758">
        <v>1</v>
      </c>
      <c r="T95" s="758">
        <v>2</v>
      </c>
      <c r="U95" s="758">
        <v>1</v>
      </c>
      <c r="V95" s="758">
        <v>0</v>
      </c>
      <c r="W95" s="758">
        <v>1</v>
      </c>
      <c r="X95" s="758">
        <v>0</v>
      </c>
      <c r="Y95" s="896">
        <v>3</v>
      </c>
      <c r="Z95" s="896">
        <v>3</v>
      </c>
      <c r="AA95" s="994">
        <v>1</v>
      </c>
      <c r="AB95" s="625">
        <f>+'1.Informe Seguimiento POA 2022'!O99</f>
        <v>6</v>
      </c>
      <c r="AC95" s="625">
        <f>+'1.Informe Seguimiento POA 2022'!P99</f>
        <v>9</v>
      </c>
      <c r="AD95" s="625">
        <f>+'1.Informe Seguimiento POA 2022'!Q99</f>
        <v>12</v>
      </c>
      <c r="AE95" s="625">
        <f>+'1.Informe Seguimiento POA 2022'!R99</f>
        <v>12</v>
      </c>
      <c r="AF95" s="625">
        <f>+'1.Informe Seguimiento POA 2022'!S99</f>
        <v>12</v>
      </c>
      <c r="AG95" s="625">
        <f>+'1.Informe Seguimiento POA 2022'!T99</f>
        <v>10</v>
      </c>
      <c r="AH95" s="625">
        <f>+'1.Informe Seguimiento POA 2022'!U99</f>
        <v>8</v>
      </c>
      <c r="AI95" s="625">
        <f>+'1.Informe Seguimiento POA 2022'!V99</f>
        <v>7</v>
      </c>
      <c r="AJ95" s="645">
        <f>+'1.Informe Seguimiento POA 2022'!X99</f>
        <v>38</v>
      </c>
      <c r="AK95" s="645">
        <f>+'1.Informe Seguimiento POA 2022'!Y99</f>
        <v>38</v>
      </c>
      <c r="AL95" s="994">
        <f>+'1.Informe Seguimiento POA 2022'!Z99</f>
        <v>1</v>
      </c>
      <c r="AM95" s="939">
        <f>'1.Informe Seguimiento POA 2022'!AC99</f>
        <v>0.47499999999999998</v>
      </c>
      <c r="AN95" s="693"/>
      <c r="AO95" s="693"/>
      <c r="AP95" s="693"/>
      <c r="AQ95" s="693"/>
      <c r="AR95" s="693"/>
      <c r="AS95" s="693"/>
      <c r="AT95" s="693"/>
      <c r="AU95" s="693"/>
      <c r="AV95" s="645">
        <f t="shared" si="32"/>
        <v>39</v>
      </c>
      <c r="AW95" s="645"/>
      <c r="AX95" s="693"/>
      <c r="AY95" s="693"/>
      <c r="AZ95" s="693"/>
      <c r="BA95" s="693"/>
      <c r="BB95" s="693"/>
      <c r="BC95" s="693"/>
      <c r="BD95" s="693"/>
      <c r="BE95" s="693"/>
      <c r="BF95" s="693"/>
      <c r="BG95" s="645">
        <f t="shared" si="33"/>
        <v>0</v>
      </c>
      <c r="BH95" s="645"/>
      <c r="BI95" s="693"/>
      <c r="BJ95" s="696">
        <f>Q95+S95+U95+W95+AB95+AD95+AF95+AH95</f>
        <v>41</v>
      </c>
      <c r="BK95" s="696">
        <f>R95+T95+V95+X95+AC95+AE95+AG95+AI95</f>
        <v>41</v>
      </c>
      <c r="BL95" s="627">
        <f t="shared" si="43"/>
        <v>1</v>
      </c>
      <c r="BM95" s="627">
        <f>(IF(AND(BK95&gt;0,$J95&gt;0),BK95/$J95,0))</f>
        <v>0.51249999999999996</v>
      </c>
      <c r="BN95" s="656">
        <f t="shared" si="42"/>
        <v>0.51249999999999996</v>
      </c>
      <c r="BO95" s="702">
        <f>+BN95</f>
        <v>0.51249999999999996</v>
      </c>
      <c r="BP95" s="1153"/>
      <c r="BQ95" s="709"/>
      <c r="BR95" s="709"/>
    </row>
    <row r="96" spans="2:70" ht="18" thickBot="1">
      <c r="B96" s="659"/>
      <c r="C96" s="660"/>
      <c r="D96" s="660"/>
      <c r="E96" s="661"/>
      <c r="F96" s="661"/>
      <c r="G96" s="661"/>
      <c r="H96" s="660"/>
      <c r="I96" s="660"/>
      <c r="J96" s="660"/>
      <c r="K96" s="660"/>
      <c r="L96" s="660"/>
      <c r="M96" s="660"/>
      <c r="N96" s="660"/>
      <c r="O96" s="660"/>
      <c r="P96" s="660"/>
      <c r="Q96" s="660"/>
      <c r="R96" s="660"/>
      <c r="S96" s="660"/>
      <c r="T96" s="660"/>
      <c r="U96" s="660"/>
      <c r="V96" s="660"/>
      <c r="W96" s="660"/>
      <c r="X96" s="660"/>
      <c r="Y96" s="660"/>
      <c r="Z96" s="660"/>
      <c r="AA96" s="660"/>
      <c r="AB96" s="662"/>
      <c r="AC96" s="662"/>
      <c r="AD96" s="662"/>
      <c r="AE96" s="662"/>
      <c r="AF96" s="662"/>
      <c r="AG96" s="662"/>
      <c r="AH96" s="662"/>
      <c r="AI96" s="662"/>
      <c r="AJ96" s="662"/>
      <c r="AK96" s="662"/>
      <c r="AL96" s="662"/>
      <c r="AM96" s="952">
        <f>AVERAGE(AM9:AM95)</f>
        <v>0.40223469126116729</v>
      </c>
      <c r="AN96" s="662"/>
      <c r="AO96" s="662"/>
      <c r="AP96" s="662"/>
      <c r="AQ96" s="662"/>
      <c r="AR96" s="662"/>
      <c r="AS96" s="662"/>
      <c r="AT96" s="662"/>
      <c r="AU96" s="662"/>
      <c r="AV96" s="662"/>
      <c r="AW96" s="662"/>
      <c r="AX96" s="662"/>
      <c r="AY96" s="662"/>
      <c r="AZ96" s="662"/>
      <c r="BA96" s="662"/>
      <c r="BB96" s="662"/>
      <c r="BC96" s="662"/>
      <c r="BD96" s="662"/>
      <c r="BE96" s="662"/>
      <c r="BF96" s="662"/>
      <c r="BG96" s="662"/>
      <c r="BH96" s="662"/>
      <c r="BI96" s="662"/>
      <c r="BJ96" s="662"/>
      <c r="BK96" s="662"/>
      <c r="BL96" s="662"/>
      <c r="BM96" s="717">
        <f>AVERAGE(BM9:BM95)</f>
        <v>0.59433865354400961</v>
      </c>
      <c r="BN96" s="660"/>
      <c r="BO96" s="718">
        <f>AVERAGE(BO9:BO95)</f>
        <v>0.6393884170075077</v>
      </c>
      <c r="BP96" s="717">
        <f>AVERAGE(BP9:BP95)</f>
        <v>0.64039782604109052</v>
      </c>
      <c r="BQ96" s="710"/>
      <c r="BR96" s="710"/>
    </row>
    <row r="97" spans="2:25" ht="13.5" customHeight="1">
      <c r="B97" s="35"/>
      <c r="C97" s="35"/>
      <c r="D97" s="35"/>
      <c r="E97" s="36"/>
      <c r="F97" s="36"/>
      <c r="G97" s="36"/>
      <c r="H97" s="35"/>
      <c r="I97" s="36"/>
      <c r="J97" s="36"/>
      <c r="K97" s="35"/>
      <c r="L97" s="35"/>
      <c r="M97" s="35"/>
      <c r="N97" s="35"/>
      <c r="O97" s="35"/>
      <c r="P97" s="35"/>
      <c r="Q97" s="35"/>
      <c r="R97" s="35"/>
      <c r="S97" s="35"/>
      <c r="T97" s="35"/>
      <c r="U97" s="35"/>
      <c r="V97" s="35"/>
      <c r="W97" s="35"/>
      <c r="X97" s="35"/>
      <c r="Y97" s="35"/>
    </row>
    <row r="98" spans="2:25" ht="15" customHeight="1">
      <c r="B98" s="35"/>
      <c r="C98" s="35"/>
      <c r="D98" s="35"/>
      <c r="E98" s="36"/>
      <c r="F98" s="36"/>
      <c r="G98" s="36"/>
      <c r="H98" s="35"/>
      <c r="I98" s="36"/>
      <c r="J98" s="36"/>
      <c r="K98" s="35"/>
      <c r="L98" s="35"/>
      <c r="M98" s="35"/>
      <c r="N98" s="35"/>
      <c r="O98" s="35"/>
      <c r="P98" s="35"/>
      <c r="Q98" s="35"/>
      <c r="R98" s="35"/>
      <c r="S98" s="35"/>
      <c r="T98" s="35"/>
      <c r="U98" s="35"/>
      <c r="V98" s="35"/>
      <c r="W98" s="35"/>
      <c r="X98" s="35"/>
      <c r="Y98" s="35"/>
    </row>
    <row r="99" spans="2:25" ht="15" customHeight="1">
      <c r="B99" s="35"/>
      <c r="C99" s="35"/>
      <c r="D99" s="35"/>
      <c r="E99" s="36"/>
      <c r="F99" s="36"/>
      <c r="G99" s="36"/>
      <c r="H99" s="35"/>
      <c r="I99" s="36"/>
      <c r="J99" s="36"/>
      <c r="K99" s="1038"/>
      <c r="L99" s="1038"/>
      <c r="M99" s="1038"/>
      <c r="N99" s="1038"/>
      <c r="O99" s="1038"/>
      <c r="P99" s="1038"/>
      <c r="Q99" s="1038"/>
      <c r="R99" s="1038"/>
      <c r="S99" s="1038"/>
      <c r="T99" s="1038"/>
      <c r="U99" s="1038"/>
      <c r="V99" s="1038"/>
      <c r="W99" s="1038"/>
      <c r="X99" s="1038"/>
      <c r="Y99" s="1038"/>
    </row>
    <row r="100" spans="2:25" ht="15" customHeight="1">
      <c r="B100" s="35"/>
      <c r="C100" s="35" t="s">
        <v>1026</v>
      </c>
      <c r="D100" s="35"/>
      <c r="E100" s="36"/>
      <c r="F100" s="36"/>
      <c r="G100" s="36"/>
      <c r="H100" s="35"/>
      <c r="I100" s="36"/>
      <c r="J100" s="36"/>
      <c r="K100" s="35"/>
      <c r="L100" s="35"/>
      <c r="M100" s="35"/>
      <c r="N100" s="35"/>
      <c r="O100" s="35"/>
      <c r="P100" s="35"/>
      <c r="Q100" s="35"/>
      <c r="R100" s="35"/>
      <c r="S100" s="35"/>
      <c r="T100" s="35"/>
      <c r="U100" s="35"/>
      <c r="V100" s="35"/>
      <c r="W100" s="35"/>
      <c r="X100" s="35"/>
      <c r="Y100" s="35"/>
    </row>
    <row r="101" spans="2:25" ht="15" customHeight="1">
      <c r="B101" s="35"/>
      <c r="C101" s="35"/>
      <c r="D101" s="35"/>
      <c r="E101" s="36"/>
      <c r="F101" s="36"/>
      <c r="G101" s="36"/>
      <c r="H101" s="35"/>
      <c r="I101" s="36"/>
      <c r="J101" s="36"/>
      <c r="K101" s="1038"/>
      <c r="L101" s="1038"/>
      <c r="M101" s="1038"/>
      <c r="N101" s="1038"/>
      <c r="O101" s="1038"/>
      <c r="P101" s="1038"/>
      <c r="Q101" s="1038"/>
      <c r="R101" s="1038"/>
      <c r="S101" s="1038"/>
      <c r="T101" s="1038"/>
      <c r="U101" s="1038"/>
      <c r="V101" s="1038"/>
      <c r="W101" s="1038"/>
      <c r="X101" s="1038"/>
      <c r="Y101" s="1038"/>
    </row>
  </sheetData>
  <sheetProtection algorithmName="SHA-512" hashValue="v00YjbdBt0aBJA6UdWGCjbT5oLQwF3NtEpYMebDvQW+b21E3UFkkv8tX9OWcTacrlXguglWJXUBxLcNX2m/JDg==" saltValue="2X/LKtpnN0cgH7jYTHWO3Q==" spinCount="100000" sheet="1" objects="1" scenarios="1"/>
  <mergeCells count="181">
    <mergeCell ref="C89:C90"/>
    <mergeCell ref="D89:D90"/>
    <mergeCell ref="BO89:BO90"/>
    <mergeCell ref="F75:F79"/>
    <mergeCell ref="G75:G79"/>
    <mergeCell ref="F80:F82"/>
    <mergeCell ref="G80:G82"/>
    <mergeCell ref="E9:E19"/>
    <mergeCell ref="F9:F18"/>
    <mergeCell ref="D92:D93"/>
    <mergeCell ref="E92:E93"/>
    <mergeCell ref="F92:F93"/>
    <mergeCell ref="G92:G93"/>
    <mergeCell ref="BO92:BO93"/>
    <mergeCell ref="AM9:AM19"/>
    <mergeCell ref="AM20:AM25"/>
    <mergeCell ref="AM26:AM28"/>
    <mergeCell ref="AM29:AM30"/>
    <mergeCell ref="AM31:AM32"/>
    <mergeCell ref="AM33:AM35"/>
    <mergeCell ref="AM36:AM37"/>
    <mergeCell ref="AM38:AM39"/>
    <mergeCell ref="AM41:AM43"/>
    <mergeCell ref="BO9:BO19"/>
    <mergeCell ref="E20:E25"/>
    <mergeCell ref="F20:F25"/>
    <mergeCell ref="G20:G25"/>
    <mergeCell ref="AM92:AM93"/>
    <mergeCell ref="C2:L2"/>
    <mergeCell ref="C51:C56"/>
    <mergeCell ref="BO51:BO56"/>
    <mergeCell ref="E51:E56"/>
    <mergeCell ref="E38:E39"/>
    <mergeCell ref="C41:C43"/>
    <mergeCell ref="D41:D43"/>
    <mergeCell ref="E41:E43"/>
    <mergeCell ref="F41:F43"/>
    <mergeCell ref="C26:C28"/>
    <mergeCell ref="E26:E28"/>
    <mergeCell ref="F26:F28"/>
    <mergeCell ref="G26:G28"/>
    <mergeCell ref="BO26:BO28"/>
    <mergeCell ref="D20:D25"/>
    <mergeCell ref="G33:G35"/>
    <mergeCell ref="F29:F30"/>
    <mergeCell ref="G29:G30"/>
    <mergeCell ref="D26:D28"/>
    <mergeCell ref="F33:F35"/>
    <mergeCell ref="F31:F32"/>
    <mergeCell ref="G31:G32"/>
    <mergeCell ref="C9:C19"/>
    <mergeCell ref="D9:D19"/>
    <mergeCell ref="B92:B95"/>
    <mergeCell ref="D83:D88"/>
    <mergeCell ref="E83:E88"/>
    <mergeCell ref="E89:E90"/>
    <mergeCell ref="C57:C64"/>
    <mergeCell ref="BO57:BO64"/>
    <mergeCell ref="H78:H79"/>
    <mergeCell ref="I78:I79"/>
    <mergeCell ref="BN78:BN79"/>
    <mergeCell ref="E57:E64"/>
    <mergeCell ref="B44:B91"/>
    <mergeCell ref="C44:C50"/>
    <mergeCell ref="D44:D50"/>
    <mergeCell ref="E44:E50"/>
    <mergeCell ref="F44:F50"/>
    <mergeCell ref="C65:C82"/>
    <mergeCell ref="D65:D82"/>
    <mergeCell ref="H80:H82"/>
    <mergeCell ref="D51:D56"/>
    <mergeCell ref="D57:D64"/>
    <mergeCell ref="C83:C88"/>
    <mergeCell ref="I80:I82"/>
    <mergeCell ref="F73:F74"/>
    <mergeCell ref="C92:C93"/>
    <mergeCell ref="B36:B43"/>
    <mergeCell ref="C36:C37"/>
    <mergeCell ref="D36:D37"/>
    <mergeCell ref="E36:E37"/>
    <mergeCell ref="C38:C39"/>
    <mergeCell ref="D38:D39"/>
    <mergeCell ref="E65:E82"/>
    <mergeCell ref="F83:F88"/>
    <mergeCell ref="G83:G88"/>
    <mergeCell ref="Q7:R7"/>
    <mergeCell ref="B29:B35"/>
    <mergeCell ref="C29:C30"/>
    <mergeCell ref="E29:E30"/>
    <mergeCell ref="D29:D30"/>
    <mergeCell ref="D31:D32"/>
    <mergeCell ref="D33:D35"/>
    <mergeCell ref="C33:C35"/>
    <mergeCell ref="E33:E35"/>
    <mergeCell ref="C31:C32"/>
    <mergeCell ref="E31:E32"/>
    <mergeCell ref="B9:B28"/>
    <mergeCell ref="G9:G18"/>
    <mergeCell ref="C20:C25"/>
    <mergeCell ref="K6:K8"/>
    <mergeCell ref="L6:L8"/>
    <mergeCell ref="B6:B8"/>
    <mergeCell ref="C6:C8"/>
    <mergeCell ref="D6:D8"/>
    <mergeCell ref="E6:E8"/>
    <mergeCell ref="F6:F8"/>
    <mergeCell ref="G6:G8"/>
    <mergeCell ref="H6:H8"/>
    <mergeCell ref="I6:I8"/>
    <mergeCell ref="AT7:AU7"/>
    <mergeCell ref="AV7:AV8"/>
    <mergeCell ref="AW7:AW8"/>
    <mergeCell ref="AX7:AX8"/>
    <mergeCell ref="AY7:AZ7"/>
    <mergeCell ref="BA7:BB7"/>
    <mergeCell ref="AJ7:AJ8"/>
    <mergeCell ref="AK7:AK8"/>
    <mergeCell ref="AY6:BI6"/>
    <mergeCell ref="AP7:AQ7"/>
    <mergeCell ref="AR7:AS7"/>
    <mergeCell ref="AM7:AM8"/>
    <mergeCell ref="AN7:AO7"/>
    <mergeCell ref="BC7:BD7"/>
    <mergeCell ref="BE7:BF7"/>
    <mergeCell ref="BG7:BG8"/>
    <mergeCell ref="BH7:BH8"/>
    <mergeCell ref="BI7:BI8"/>
    <mergeCell ref="AF7:AG7"/>
    <mergeCell ref="AH7:AI7"/>
    <mergeCell ref="AL7:AL8"/>
    <mergeCell ref="S7:T7"/>
    <mergeCell ref="U7:V7"/>
    <mergeCell ref="W7:X7"/>
    <mergeCell ref="Y7:Y8"/>
    <mergeCell ref="Z7:Z8"/>
    <mergeCell ref="AA7:AA8"/>
    <mergeCell ref="AD7:AE7"/>
    <mergeCell ref="J6:J8"/>
    <mergeCell ref="AN6:AX6"/>
    <mergeCell ref="F89:F90"/>
    <mergeCell ref="G89:G90"/>
    <mergeCell ref="BO83:BO88"/>
    <mergeCell ref="G44:G50"/>
    <mergeCell ref="BO44:BO50"/>
    <mergeCell ref="F60:F63"/>
    <mergeCell ref="G60:G63"/>
    <mergeCell ref="F65:F66"/>
    <mergeCell ref="G65:G66"/>
    <mergeCell ref="F67:F69"/>
    <mergeCell ref="G67:G69"/>
    <mergeCell ref="G73:G74"/>
    <mergeCell ref="AM44:AM50"/>
    <mergeCell ref="AM51:AM56"/>
    <mergeCell ref="AM57:AM64"/>
    <mergeCell ref="AM65:AM82"/>
    <mergeCell ref="AM83:AM88"/>
    <mergeCell ref="AM89:AM90"/>
    <mergeCell ref="AB6:AM6"/>
    <mergeCell ref="M6:P6"/>
    <mergeCell ref="Q6:AA6"/>
    <mergeCell ref="AB7:AC7"/>
    <mergeCell ref="BP92:BP95"/>
    <mergeCell ref="BP7:BP8"/>
    <mergeCell ref="BJ6:BP6"/>
    <mergeCell ref="BP9:BP28"/>
    <mergeCell ref="BO29:BO30"/>
    <mergeCell ref="BO31:BO32"/>
    <mergeCell ref="BO33:BO35"/>
    <mergeCell ref="BP29:BP35"/>
    <mergeCell ref="BP36:BP43"/>
    <mergeCell ref="BP44:BP91"/>
    <mergeCell ref="BN7:BN8"/>
    <mergeCell ref="BO7:BO8"/>
    <mergeCell ref="BJ7:BK7"/>
    <mergeCell ref="BO20:BO25"/>
    <mergeCell ref="BN80:BN82"/>
    <mergeCell ref="BO65:BO82"/>
    <mergeCell ref="BO36:BO37"/>
    <mergeCell ref="BO38:BO39"/>
    <mergeCell ref="BO41:BO43"/>
    <mergeCell ref="BM7:BM8"/>
  </mergeCells>
  <conditionalFormatting sqref="BL9:BL28">
    <cfRule type="expression" dxfId="839" priority="31">
      <formula>#REF!="Pesos ($)"</formula>
    </cfRule>
    <cfRule type="expression" dxfId="838" priority="32">
      <formula>OR(LEFT(#REF!,9)="Número de",#REF!="Otra")</formula>
    </cfRule>
    <cfRule type="expression" dxfId="837" priority="33">
      <formula>#REF!="Porcentaje"</formula>
    </cfRule>
  </conditionalFormatting>
  <conditionalFormatting sqref="BL92:BL95">
    <cfRule type="expression" dxfId="836" priority="1">
      <formula>#REF!="Pesos ($)"</formula>
    </cfRule>
    <cfRule type="expression" dxfId="835" priority="2">
      <formula>OR(LEFT(#REF!,9)="Número de",#REF!="Otra")</formula>
    </cfRule>
    <cfRule type="expression" dxfId="834" priority="3">
      <formula>#REF!="Porcentaje"</formula>
    </cfRule>
  </conditionalFormatting>
  <conditionalFormatting sqref="BL36">
    <cfRule type="expression" dxfId="833" priority="28">
      <formula>#REF!="Pesos ($)"</formula>
    </cfRule>
    <cfRule type="expression" dxfId="832" priority="29">
      <formula>OR(LEFT(#REF!,9)="Número de",#REF!="Otra")</formula>
    </cfRule>
    <cfRule type="expression" dxfId="831" priority="30">
      <formula>#REF!="Porcentaje"</formula>
    </cfRule>
  </conditionalFormatting>
  <conditionalFormatting sqref="BL37">
    <cfRule type="expression" dxfId="830" priority="25">
      <formula>#REF!="Pesos ($)"</formula>
    </cfRule>
    <cfRule type="expression" dxfId="829" priority="26">
      <formula>OR(LEFT(#REF!,9)="Número de",#REF!="Otra")</formula>
    </cfRule>
    <cfRule type="expression" dxfId="828" priority="27">
      <formula>#REF!="Porcentaje"</formula>
    </cfRule>
  </conditionalFormatting>
  <conditionalFormatting sqref="BL38:BL43">
    <cfRule type="expression" dxfId="827" priority="22">
      <formula>#REF!="Pesos ($)"</formula>
    </cfRule>
    <cfRule type="expression" dxfId="826" priority="23">
      <formula>OR(LEFT(#REF!,9)="Número de",#REF!="Otra")</formula>
    </cfRule>
    <cfRule type="expression" dxfId="825" priority="24">
      <formula>#REF!="Porcentaje"</formula>
    </cfRule>
  </conditionalFormatting>
  <conditionalFormatting sqref="BL51:BL56">
    <cfRule type="expression" dxfId="824" priority="19">
      <formula>#REF!="Pesos ($)"</formula>
    </cfRule>
    <cfRule type="expression" dxfId="823" priority="20">
      <formula>OR(LEFT(#REF!,9)="Número de",#REF!="Otra")</formula>
    </cfRule>
    <cfRule type="expression" dxfId="822" priority="21">
      <formula>#REF!="Porcentaje"</formula>
    </cfRule>
  </conditionalFormatting>
  <conditionalFormatting sqref="BL65:BL72">
    <cfRule type="expression" dxfId="821" priority="16">
      <formula>#REF!="Pesos ($)"</formula>
    </cfRule>
    <cfRule type="expression" dxfId="820" priority="17">
      <formula>OR(LEFT(#REF!,9)="Número de",#REF!="Otra")</formula>
    </cfRule>
    <cfRule type="expression" dxfId="819" priority="18">
      <formula>#REF!="Porcentaje"</formula>
    </cfRule>
  </conditionalFormatting>
  <conditionalFormatting sqref="BL73:BL74">
    <cfRule type="expression" dxfId="818" priority="13">
      <formula>#REF!="Pesos ($)"</formula>
    </cfRule>
    <cfRule type="expression" dxfId="817" priority="14">
      <formula>OR(LEFT(#REF!,9)="Número de",#REF!="Otra")</formula>
    </cfRule>
    <cfRule type="expression" dxfId="816" priority="15">
      <formula>#REF!="Porcentaje"</formula>
    </cfRule>
  </conditionalFormatting>
  <conditionalFormatting sqref="BL75:BL78">
    <cfRule type="expression" dxfId="815" priority="10">
      <formula>#REF!="Pesos ($)"</formula>
    </cfRule>
    <cfRule type="expression" dxfId="814" priority="11">
      <formula>OR(LEFT(#REF!,9)="Número de",#REF!="Otra")</formula>
    </cfRule>
    <cfRule type="expression" dxfId="813" priority="12">
      <formula>#REF!="Porcentaje"</formula>
    </cfRule>
  </conditionalFormatting>
  <conditionalFormatting sqref="BL79:BL82">
    <cfRule type="expression" dxfId="812" priority="7">
      <formula>#REF!="Pesos ($)"</formula>
    </cfRule>
    <cfRule type="expression" dxfId="811" priority="8">
      <formula>OR(LEFT(#REF!,9)="Número de",#REF!="Otra")</formula>
    </cfRule>
    <cfRule type="expression" dxfId="810" priority="9">
      <formula>#REF!="Porcentaje"</formula>
    </cfRule>
  </conditionalFormatting>
  <conditionalFormatting sqref="BL89:BL90">
    <cfRule type="expression" dxfId="809" priority="4">
      <formula>#REF!="Pesos ($)"</formula>
    </cfRule>
    <cfRule type="expression" dxfId="808" priority="5">
      <formula>OR(LEFT(#REF!,9)="Número de",#REF!="Otra")</formula>
    </cfRule>
    <cfRule type="expression" dxfId="807" priority="6">
      <formula>#REF!="Porcentaje"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9764-1B2B-49AA-B427-DA9EAA569A99}">
  <sheetPr>
    <tabColor rgb="FF0099FF"/>
  </sheetPr>
  <dimension ref="B2:N41"/>
  <sheetViews>
    <sheetView zoomScale="55" zoomScaleNormal="55" workbookViewId="0">
      <selection activeCell="B2" sqref="B2:B5"/>
    </sheetView>
  </sheetViews>
  <sheetFormatPr baseColWidth="10" defaultColWidth="11.44140625" defaultRowHeight="15"/>
  <cols>
    <col min="1" max="1" width="4.6640625" style="1680" customWidth="1"/>
    <col min="2" max="2" width="38.5546875" style="1680" customWidth="1"/>
    <col min="3" max="3" width="47.88671875" style="1680" customWidth="1"/>
    <col min="4" max="4" width="21.5546875" style="1680" customWidth="1"/>
    <col min="5" max="5" width="19.44140625" style="1680" customWidth="1"/>
    <col min="6" max="6" width="12.44140625" style="1680" customWidth="1"/>
    <col min="7" max="7" width="36.88671875" style="1680" customWidth="1"/>
    <col min="8" max="8" width="19" style="1680" customWidth="1"/>
    <col min="9" max="9" width="18.6640625" style="1680" customWidth="1"/>
    <col min="10" max="10" width="18" style="1680" customWidth="1"/>
    <col min="11" max="11" width="18.88671875" style="1680" customWidth="1"/>
    <col min="12" max="12" width="16.6640625" style="1680" hidden="1" customWidth="1"/>
    <col min="13" max="13" width="31.88671875" style="1680" customWidth="1"/>
    <col min="14" max="14" width="30.109375" style="1680" customWidth="1"/>
    <col min="15" max="85" width="15.6640625" style="1680" customWidth="1"/>
    <col min="86" max="16384" width="11.44140625" style="1680"/>
  </cols>
  <sheetData>
    <row r="2" spans="2:14" s="1680" customFormat="1" ht="15.6" customHeight="1">
      <c r="B2" s="1674" t="s">
        <v>679</v>
      </c>
      <c r="C2" s="1675" t="s">
        <v>963</v>
      </c>
      <c r="D2" s="1676"/>
      <c r="E2" s="1676"/>
      <c r="F2" s="1676"/>
      <c r="G2" s="1676"/>
      <c r="H2" s="1676"/>
      <c r="I2" s="1676"/>
      <c r="J2" s="1676"/>
      <c r="K2" s="1676"/>
      <c r="L2" s="1677"/>
      <c r="M2" s="1678" t="s">
        <v>978</v>
      </c>
      <c r="N2" s="1679" t="s">
        <v>979</v>
      </c>
    </row>
    <row r="3" spans="2:14" s="1680" customFormat="1" ht="31.2">
      <c r="B3" s="1681"/>
      <c r="C3" s="1682"/>
      <c r="D3" s="1683"/>
      <c r="E3" s="1683"/>
      <c r="F3" s="1683"/>
      <c r="G3" s="1683"/>
      <c r="H3" s="1683"/>
      <c r="I3" s="1683"/>
      <c r="J3" s="1683"/>
      <c r="K3" s="1683"/>
      <c r="L3" s="1684"/>
      <c r="M3" s="1685" t="s">
        <v>1048</v>
      </c>
      <c r="N3" s="1685" t="s">
        <v>980</v>
      </c>
    </row>
    <row r="4" spans="2:14" s="1680" customFormat="1" ht="15.6" customHeight="1">
      <c r="B4" s="1681"/>
      <c r="C4" s="1682"/>
      <c r="D4" s="1683"/>
      <c r="E4" s="1683"/>
      <c r="F4" s="1683"/>
      <c r="G4" s="1683"/>
      <c r="H4" s="1683"/>
      <c r="I4" s="1683"/>
      <c r="J4" s="1683"/>
      <c r="K4" s="1683"/>
      <c r="L4" s="1684"/>
      <c r="M4" s="1686" t="s">
        <v>30</v>
      </c>
      <c r="N4" s="1687"/>
    </row>
    <row r="5" spans="2:14" s="1680" customFormat="1" ht="22.8">
      <c r="B5" s="1688"/>
      <c r="C5" s="1689" t="s">
        <v>964</v>
      </c>
      <c r="D5" s="1690"/>
      <c r="E5" s="1690"/>
      <c r="F5" s="1690"/>
      <c r="G5" s="1690"/>
      <c r="H5" s="1690"/>
      <c r="I5" s="1690"/>
      <c r="J5" s="1690"/>
      <c r="K5" s="1690"/>
      <c r="L5" s="1691"/>
      <c r="M5" s="1692">
        <v>44561</v>
      </c>
      <c r="N5" s="1693"/>
    </row>
    <row r="6" spans="2:14" s="1680" customFormat="1">
      <c r="H6" s="1694"/>
      <c r="I6" s="1694"/>
      <c r="J6" s="1694"/>
      <c r="K6" s="1694"/>
      <c r="L6" s="1694"/>
    </row>
    <row r="7" spans="2:14" s="1680" customFormat="1" ht="27.6" customHeight="1">
      <c r="B7" s="1695" t="s">
        <v>0</v>
      </c>
      <c r="C7" s="1695" t="s">
        <v>965</v>
      </c>
      <c r="D7" s="1696" t="s">
        <v>966</v>
      </c>
      <c r="E7" s="1695" t="s">
        <v>928</v>
      </c>
      <c r="F7" s="1696" t="s">
        <v>981</v>
      </c>
      <c r="G7" s="1696" t="s">
        <v>968</v>
      </c>
      <c r="H7" s="1697" t="s">
        <v>969</v>
      </c>
      <c r="I7" s="1697"/>
      <c r="J7" s="1697"/>
      <c r="K7" s="1697"/>
      <c r="L7" s="1697"/>
      <c r="M7" s="1696" t="s">
        <v>970</v>
      </c>
      <c r="N7" s="1698" t="s">
        <v>971</v>
      </c>
    </row>
    <row r="8" spans="2:14" s="1680" customFormat="1" ht="27.6" customHeight="1">
      <c r="B8" s="1695"/>
      <c r="C8" s="1695"/>
      <c r="D8" s="1699"/>
      <c r="E8" s="1695"/>
      <c r="F8" s="1699"/>
      <c r="G8" s="1699"/>
      <c r="H8" s="1700" t="s">
        <v>59</v>
      </c>
      <c r="I8" s="1700" t="s">
        <v>59</v>
      </c>
      <c r="J8" s="1700" t="s">
        <v>59</v>
      </c>
      <c r="K8" s="1700" t="s">
        <v>59</v>
      </c>
      <c r="L8" s="1700" t="s">
        <v>59</v>
      </c>
      <c r="M8" s="1701"/>
      <c r="N8" s="1702" t="s">
        <v>972</v>
      </c>
    </row>
    <row r="9" spans="2:14" s="1680" customFormat="1" ht="61.95" customHeight="1">
      <c r="B9" s="1695"/>
      <c r="C9" s="1696"/>
      <c r="D9" s="1703"/>
      <c r="E9" s="1695"/>
      <c r="F9" s="1703"/>
      <c r="G9" s="1703"/>
      <c r="H9" s="1704">
        <v>2021</v>
      </c>
      <c r="I9" s="1704">
        <v>2022</v>
      </c>
      <c r="J9" s="1704">
        <v>2023</v>
      </c>
      <c r="K9" s="1704">
        <v>2024</v>
      </c>
      <c r="L9" s="1704" t="s">
        <v>17</v>
      </c>
      <c r="M9" s="1705" t="s">
        <v>857</v>
      </c>
      <c r="N9" s="1706"/>
    </row>
    <row r="10" spans="2:14" s="1680" customFormat="1" ht="83.25" customHeight="1">
      <c r="B10" s="1707" t="s">
        <v>130</v>
      </c>
      <c r="C10" s="1708" t="str">
        <f>+'01-FR-03 POA INSTITUCIONAL'!C13</f>
        <v>1.1. Realizar 884.203 acciones que promuevan la defensa, garantía y restablecimiento de los derechos de las personas en el Distrito Capital.</v>
      </c>
      <c r="D10" s="667">
        <v>0.7</v>
      </c>
      <c r="E10" s="665">
        <f>SUM(H10:K10)</f>
        <v>884203</v>
      </c>
      <c r="F10" s="671" t="s">
        <v>156</v>
      </c>
      <c r="G10" s="1709" t="s">
        <v>88</v>
      </c>
      <c r="H10" s="1710">
        <f>+'01-FR-03 POA INSTITUCIONAL'!K13+'01-FR-03 POA INSTITUCIONAL'!K14+'01-FR-03 POA INSTITUCIONAL'!K15+'01-FR-03 POA INSTITUCIONAL'!K16+'01-FR-03 POA INSTITUCIONAL'!K17+'01-FR-03 POA INSTITUCIONAL'!K18+'01-FR-03 POA INSTITUCIONAL'!K20+'01-FR-03 POA INSTITUCIONAL'!K21+'01-FR-03 POA INSTITUCIONAL'!K22+'01-FR-03 POA INSTITUCIONAL'!K23</f>
        <v>239732</v>
      </c>
      <c r="I10" s="1710">
        <f>+'01-FR-03 POA INSTITUCIONAL'!L13+'01-FR-03 POA INSTITUCIONAL'!L14+'01-FR-03 POA INSTITUCIONAL'!L15+'01-FR-03 POA INSTITUCIONAL'!L16+'01-FR-03 POA INSTITUCIONAL'!L17+'01-FR-03 POA INSTITUCIONAL'!L18+'01-FR-03 POA INSTITUCIONAL'!L20+'01-FR-03 POA INSTITUCIONAL'!L21+'01-FR-03 POA INSTITUCIONAL'!L22+'01-FR-03 POA INSTITUCIONAL'!L23</f>
        <v>262415</v>
      </c>
      <c r="J10" s="1710">
        <f>+'01-FR-03 POA INSTITUCIONAL'!M13+'01-FR-03 POA INSTITUCIONAL'!M14+'01-FR-03 POA INSTITUCIONAL'!M15+'01-FR-03 POA INSTITUCIONAL'!M16+'01-FR-03 POA INSTITUCIONAL'!M17+'01-FR-03 POA INSTITUCIONAL'!M18+'01-FR-03 POA INSTITUCIONAL'!M20+'01-FR-03 POA INSTITUCIONAL'!M21+'01-FR-03 POA INSTITUCIONAL'!M22+'01-FR-03 POA INSTITUCIONAL'!M23</f>
        <v>257090</v>
      </c>
      <c r="K10" s="1710">
        <f>+'01-FR-03 POA INSTITUCIONAL'!N13+'01-FR-03 POA INSTITUCIONAL'!N14+'01-FR-03 POA INSTITUCIONAL'!N15+'01-FR-03 POA INSTITUCIONAL'!N16+'01-FR-03 POA INSTITUCIONAL'!N17+'01-FR-03 POA INSTITUCIONAL'!N18+'01-FR-03 POA INSTITUCIONAL'!N20+'01-FR-03 POA INSTITUCIONAL'!N21+'01-FR-03 POA INSTITUCIONAL'!N22+'01-FR-03 POA INSTITUCIONAL'!N23</f>
        <v>124966</v>
      </c>
      <c r="L10" s="666"/>
      <c r="M10" s="900">
        <f>+'3-Grado Cump Metas Estratégicas'!D11</f>
        <v>0.69146267277259543</v>
      </c>
      <c r="N10" s="1711">
        <f>+'4-Grado Cum Objetivos Est &amp; Cal'!C11</f>
        <v>0.68535995631230484</v>
      </c>
    </row>
    <row r="11" spans="2:14" s="1680" customFormat="1" ht="102" customHeight="1">
      <c r="B11" s="1707"/>
      <c r="C11" s="1708"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11" s="667">
        <v>0.2</v>
      </c>
      <c r="E11" s="665">
        <f t="shared" ref="E11:E18" si="0">SUM(H11:K11)</f>
        <v>260709</v>
      </c>
      <c r="F11" s="671" t="s">
        <v>156</v>
      </c>
      <c r="G11" s="1709" t="s">
        <v>88</v>
      </c>
      <c r="H11" s="1710">
        <f>'01-FR-03 POA INSTITUCIONAL'!K24+'01-FR-03 POA INSTITUCIONAL'!K25+'01-FR-03 POA INSTITUCIONAL'!K26+'01-FR-03 POA INSTITUCIONAL'!K27+'01-FR-03 POA INSTITUCIONAL'!K28+'01-FR-03 POA INSTITUCIONAL'!K29</f>
        <v>76600</v>
      </c>
      <c r="I11" s="1710">
        <f>'01-FR-03 POA INSTITUCIONAL'!L24+'01-FR-03 POA INSTITUCIONAL'!L25+'01-FR-03 POA INSTITUCIONAL'!L26+'01-FR-03 POA INSTITUCIONAL'!L27+'01-FR-03 POA INSTITUCIONAL'!L28+'01-FR-03 POA INSTITUCIONAL'!L29</f>
        <v>85619</v>
      </c>
      <c r="J11" s="1710">
        <f>'01-FR-03 POA INSTITUCIONAL'!M24+'01-FR-03 POA INSTITUCIONAL'!M25+'01-FR-03 POA INSTITUCIONAL'!M26+'01-FR-03 POA INSTITUCIONAL'!M27+'01-FR-03 POA INSTITUCIONAL'!M28+'01-FR-03 POA INSTITUCIONAL'!M29</f>
        <v>70424</v>
      </c>
      <c r="K11" s="1710">
        <f>'01-FR-03 POA INSTITUCIONAL'!N24+'01-FR-03 POA INSTITUCIONAL'!N25+'01-FR-03 POA INSTITUCIONAL'!N26+'01-FR-03 POA INSTITUCIONAL'!N27+'01-FR-03 POA INSTITUCIONAL'!N28+'01-FR-03 POA INSTITUCIONAL'!N29</f>
        <v>28066</v>
      </c>
      <c r="L11" s="666"/>
      <c r="M11" s="900">
        <f>+'3-Grado Cump Metas Estratégicas'!D12</f>
        <v>0.75463497231198573</v>
      </c>
      <c r="N11" s="1712"/>
    </row>
    <row r="12" spans="2:14" s="1680" customFormat="1" ht="75" customHeight="1">
      <c r="B12" s="1707"/>
      <c r="C12" s="1708" t="str">
        <f>+'01-FR-03 POA INSTITUCIONAL'!C30</f>
        <v>1.3. Construir e Implementar 35 estrategias que permitan incrementar la oferta y cobertura de los servicios prestados por la Entidad.</v>
      </c>
      <c r="D12" s="667">
        <v>0.1</v>
      </c>
      <c r="E12" s="665">
        <f t="shared" si="0"/>
        <v>35</v>
      </c>
      <c r="F12" s="671" t="s">
        <v>156</v>
      </c>
      <c r="G12" s="1709" t="s">
        <v>88</v>
      </c>
      <c r="H12" s="1710">
        <f>'01-FR-03 POA INSTITUCIONAL'!K30+'01-FR-03 POA INSTITUCIONAL'!K31+'01-FR-03 POA INSTITUCIONAL'!K32</f>
        <v>6</v>
      </c>
      <c r="I12" s="1710">
        <f>'01-FR-03 POA INSTITUCIONAL'!L30+'01-FR-03 POA INSTITUCIONAL'!L31+'01-FR-03 POA INSTITUCIONAL'!L32</f>
        <v>12</v>
      </c>
      <c r="J12" s="1710">
        <f>'01-FR-03 POA INSTITUCIONAL'!M30+'01-FR-03 POA INSTITUCIONAL'!M31+'01-FR-03 POA INSTITUCIONAL'!M32</f>
        <v>12</v>
      </c>
      <c r="K12" s="1710">
        <f>'01-FR-03 POA INSTITUCIONAL'!N30+'01-FR-03 POA INSTITUCIONAL'!N31+'01-FR-03 POA INSTITUCIONAL'!N32</f>
        <v>5</v>
      </c>
      <c r="L12" s="666"/>
      <c r="M12" s="900">
        <f>+'3-Grado Cump Metas Estratégicas'!D13</f>
        <v>0.50409090909090915</v>
      </c>
      <c r="N12" s="1713"/>
    </row>
    <row r="13" spans="2:14" s="1680" customFormat="1" ht="78" customHeight="1">
      <c r="B13" s="1714" t="s">
        <v>134</v>
      </c>
      <c r="C13" s="1715" t="str">
        <f>+'01-FR-03 POA INSTITUCIONAL'!C33</f>
        <v>2.1. Realizar 22 acciones de prevención y control a la función pública en medio ambiente, agua, protección y bienestar animal y desarrollo urbano.</v>
      </c>
      <c r="D13" s="670">
        <v>0.3</v>
      </c>
      <c r="E13" s="669">
        <f t="shared" si="0"/>
        <v>22</v>
      </c>
      <c r="F13" s="673" t="s">
        <v>156</v>
      </c>
      <c r="G13" s="1716" t="s">
        <v>89</v>
      </c>
      <c r="H13" s="1717">
        <f>'01-FR-03 POA INSTITUCIONAL'!K33+'01-FR-03 POA INSTITUCIONAL'!K34</f>
        <v>3</v>
      </c>
      <c r="I13" s="1717">
        <f>'01-FR-03 POA INSTITUCIONAL'!L33+'01-FR-03 POA INSTITUCIONAL'!L34</f>
        <v>8</v>
      </c>
      <c r="J13" s="1717">
        <f>'01-FR-03 POA INSTITUCIONAL'!M33+'01-FR-03 POA INSTITUCIONAL'!M34</f>
        <v>9</v>
      </c>
      <c r="K13" s="1717">
        <f>'01-FR-03 POA INSTITUCIONAL'!N33+'01-FR-03 POA INSTITUCIONAL'!N34</f>
        <v>2</v>
      </c>
      <c r="L13" s="666"/>
      <c r="M13" s="900">
        <f>+'3-Grado Cump Metas Estratégicas'!D14</f>
        <v>0.49999999999999989</v>
      </c>
      <c r="N13" s="1718">
        <f>+'4-Grado Cum Objetivos Est &amp; Cal'!C12</f>
        <v>0.73000770416024652</v>
      </c>
    </row>
    <row r="14" spans="2:14" s="1680" customFormat="1" ht="65.25" customHeight="1">
      <c r="B14" s="1714"/>
      <c r="C14" s="1715" t="str">
        <f>+'01-FR-03 POA INSTITUCIONAL'!C35</f>
        <v>2.2. Fortalecer la moralidad publica realizando  952 acciones de prevención y control a la función pública.</v>
      </c>
      <c r="D14" s="670">
        <v>0.6</v>
      </c>
      <c r="E14" s="669">
        <f t="shared" si="0"/>
        <v>952</v>
      </c>
      <c r="F14" s="673" t="s">
        <v>156</v>
      </c>
      <c r="G14" s="1716" t="s">
        <v>89</v>
      </c>
      <c r="H14" s="1717">
        <f>'01-FR-03 POA INSTITUCIONAL'!K35+'01-FR-03 POA INSTITUCIONAL'!K36</f>
        <v>228</v>
      </c>
      <c r="I14" s="1717">
        <f>'01-FR-03 POA INSTITUCIONAL'!L35+'01-FR-03 POA INSTITUCIONAL'!L36</f>
        <v>353</v>
      </c>
      <c r="J14" s="1717">
        <f>'01-FR-03 POA INSTITUCIONAL'!M35+'01-FR-03 POA INSTITUCIONAL'!M36</f>
        <v>289</v>
      </c>
      <c r="K14" s="1717">
        <f>'01-FR-03 POA INSTITUCIONAL'!N35+'01-FR-03 POA INSTITUCIONAL'!N36</f>
        <v>82</v>
      </c>
      <c r="L14" s="666"/>
      <c r="M14" s="900">
        <f>+'3-Grado Cump Metas Estratégicas'!D15</f>
        <v>0.80227272727272725</v>
      </c>
      <c r="N14" s="1719"/>
    </row>
    <row r="15" spans="2:14" s="1680" customFormat="1" ht="63.75" customHeight="1">
      <c r="B15" s="1714"/>
      <c r="C15" s="1715" t="str">
        <f>+'01-FR-03 POA INSTITUCIONAL'!C37</f>
        <v>2.3. Fortalecer 320 espacios de participación ciudadana en la Personería de Bogotá</v>
      </c>
      <c r="D15" s="670">
        <v>0.1</v>
      </c>
      <c r="E15" s="669">
        <f t="shared" si="0"/>
        <v>320</v>
      </c>
      <c r="F15" s="673" t="s">
        <v>156</v>
      </c>
      <c r="G15" s="1716" t="s">
        <v>89</v>
      </c>
      <c r="H15" s="1717">
        <f>'01-FR-03 POA INSTITUCIONAL'!K37+'01-FR-03 POA INSTITUCIONAL'!K38+'01-FR-03 POA INSTITUCIONAL'!K39</f>
        <v>72</v>
      </c>
      <c r="I15" s="1717">
        <f>'01-FR-03 POA INSTITUCIONAL'!L37+'01-FR-03 POA INSTITUCIONAL'!L38+'01-FR-03 POA INSTITUCIONAL'!L39</f>
        <v>111</v>
      </c>
      <c r="J15" s="1717">
        <f>'01-FR-03 POA INSTITUCIONAL'!M37+'01-FR-03 POA INSTITUCIONAL'!M38+'01-FR-03 POA INSTITUCIONAL'!M39</f>
        <v>93</v>
      </c>
      <c r="K15" s="1717">
        <f>'01-FR-03 POA INSTITUCIONAL'!N37+'01-FR-03 POA INSTITUCIONAL'!N38+'01-FR-03 POA INSTITUCIONAL'!N39</f>
        <v>44</v>
      </c>
      <c r="L15" s="666"/>
      <c r="M15" s="900">
        <f>+'3-Grado Cump Metas Estratégicas'!D16</f>
        <v>0.98644067796610169</v>
      </c>
      <c r="N15" s="1720"/>
    </row>
    <row r="16" spans="2:14" s="1680" customFormat="1" ht="69.75" customHeight="1">
      <c r="B16" s="1721" t="s">
        <v>138</v>
      </c>
      <c r="C16" s="1708" t="str">
        <f>+'01-FR-03 POA INSTITUCIONAL'!C40</f>
        <v>3.1. Descongestionar 6.700 procesos disciplinarios con criterios de calidad, efectividad y garantía del debido proceso.</v>
      </c>
      <c r="D16" s="667">
        <v>0.4</v>
      </c>
      <c r="E16" s="665">
        <f t="shared" si="0"/>
        <v>6700</v>
      </c>
      <c r="F16" s="668">
        <v>6287</v>
      </c>
      <c r="G16" s="1709" t="s">
        <v>90</v>
      </c>
      <c r="H16" s="1710">
        <f>'01-FR-03 POA INSTITUCIONAL'!K40</f>
        <v>1600</v>
      </c>
      <c r="I16" s="1710">
        <f>'01-FR-03 POA INSTITUCIONAL'!L40</f>
        <v>1800</v>
      </c>
      <c r="J16" s="1710">
        <f>'01-FR-03 POA INSTITUCIONAL'!M40</f>
        <v>1800</v>
      </c>
      <c r="K16" s="1710">
        <f>'01-FR-03 POA INSTITUCIONAL'!N40</f>
        <v>1500</v>
      </c>
      <c r="L16" s="666"/>
      <c r="M16" s="900">
        <f>+'3-Grado Cump Metas Estratégicas'!D17</f>
        <v>0.49349757462686572</v>
      </c>
      <c r="N16" s="1718">
        <f>+'4-Grado Cum Objetivos Est &amp; Cal'!C13</f>
        <v>0.55319902985074632</v>
      </c>
    </row>
    <row r="17" spans="2:14" s="1680" customFormat="1" ht="91.5" customHeight="1">
      <c r="B17" s="1722"/>
      <c r="C17" s="1708" t="str">
        <f>+'01-FR-03 POA INSTITUCIONAL'!C42</f>
        <v xml:space="preserve">3.2. Identificar el 100% de los hechos constitutivos de faltas disciplinarias para ejercer el poder preferente en las Oficinas de Control Interno Disciplinario, en temas de interés e impacto para el Distrito Capital. </v>
      </c>
      <c r="D17" s="667">
        <v>0.15</v>
      </c>
      <c r="E17" s="671">
        <f>AVERAGE('01-FR-03 POA INSTITUCIONAL'!K43,'01-FR-03 POA INSTITUCIONAL'!L43,'01-FR-03 POA INSTITUCIONAL'!M43,'01-FR-03 POA INSTITUCIONAL'!N43)</f>
        <v>1</v>
      </c>
      <c r="F17" s="671">
        <v>1</v>
      </c>
      <c r="G17" s="1709" t="s">
        <v>90</v>
      </c>
      <c r="H17" s="666">
        <f>'01-FR-03 POA INSTITUCIONAL'!K43</f>
        <v>1</v>
      </c>
      <c r="I17" s="666">
        <f>'01-FR-03 POA INSTITUCIONAL'!L43</f>
        <v>1</v>
      </c>
      <c r="J17" s="666">
        <f>'01-FR-03 POA INSTITUCIONAL'!M43</f>
        <v>1</v>
      </c>
      <c r="K17" s="666">
        <f>'01-FR-03 POA INSTITUCIONAL'!N43</f>
        <v>1</v>
      </c>
      <c r="L17" s="666"/>
      <c r="M17" s="900">
        <f>+'3-Grado Cump Metas Estratégicas'!D18</f>
        <v>0.4986666666666667</v>
      </c>
      <c r="N17" s="1719"/>
    </row>
    <row r="18" spans="2:14" s="1680" customFormat="1" ht="105" customHeight="1">
      <c r="B18" s="1722"/>
      <c r="C18" s="1708" t="str">
        <f>+'01-FR-03 POA INSTITUCIONAL'!C44</f>
        <v>3.3. Generar 8 escenarios que fortalezcan el conocimiento y las competencias del operador disciplinario, que apoya el cumplimiento de la labor misional, extendiendo el alcance a los jueces naturales en el Distrito Capital.</v>
      </c>
      <c r="D18" s="667">
        <v>0.1</v>
      </c>
      <c r="E18" s="665">
        <f t="shared" si="0"/>
        <v>8</v>
      </c>
      <c r="F18" s="668">
        <v>8</v>
      </c>
      <c r="G18" s="1709" t="s">
        <v>90</v>
      </c>
      <c r="H18" s="1723">
        <f>'01-FR-03 POA INSTITUCIONAL'!K44</f>
        <v>2</v>
      </c>
      <c r="I18" s="1723">
        <f>'01-FR-03 POA INSTITUCIONAL'!L44</f>
        <v>2</v>
      </c>
      <c r="J18" s="1723">
        <f>'01-FR-03 POA INSTITUCIONAL'!M44</f>
        <v>2</v>
      </c>
      <c r="K18" s="1723">
        <f>'01-FR-03 POA INSTITUCIONAL'!N44</f>
        <v>2</v>
      </c>
      <c r="L18" s="666"/>
      <c r="M18" s="900">
        <f>+'3-Grado Cump Metas Estratégicas'!D19</f>
        <v>0.5</v>
      </c>
      <c r="N18" s="1719"/>
    </row>
    <row r="19" spans="2:14" s="1680" customFormat="1" ht="63" customHeight="1">
      <c r="B19" s="1724"/>
      <c r="C19" s="1708" t="str">
        <f>+'01-FR-03 POA INSTITUCIONAL'!C45</f>
        <v>3.4. Implementar al 100% tres soluciones informáticas propias para la ejecución y gestión de la Potestad Disciplinaria.</v>
      </c>
      <c r="D19" s="667">
        <v>0.35</v>
      </c>
      <c r="E19" s="671">
        <v>1</v>
      </c>
      <c r="F19" s="668">
        <v>3</v>
      </c>
      <c r="G19" s="1725" t="s">
        <v>90</v>
      </c>
      <c r="H19" s="901">
        <v>0.3</v>
      </c>
      <c r="I19" s="901">
        <v>0.4</v>
      </c>
      <c r="J19" s="901">
        <v>0.25</v>
      </c>
      <c r="K19" s="901">
        <v>0.05</v>
      </c>
      <c r="L19" s="666"/>
      <c r="M19" s="900">
        <f>+'3-Grado Cump Metas Estratégicas'!D20</f>
        <v>0.66</v>
      </c>
      <c r="N19" s="1720"/>
    </row>
    <row r="20" spans="2:14" s="1680" customFormat="1" ht="91.5" customHeight="1">
      <c r="B20" s="1726" t="s">
        <v>141</v>
      </c>
      <c r="C20" s="1715" t="str">
        <f>+'01-FR-03 POA INSTITUCIONAL'!C48</f>
        <v>4.1. Implementar el 100% de las acciones que impulsen el crecimiento del Modelo de Madurez de Transformación Digital de la Entidad, aplicando los principios , lineamientos y normas que lo enmarcan.</v>
      </c>
      <c r="D20" s="1727">
        <v>0.15</v>
      </c>
      <c r="E20" s="670">
        <v>1</v>
      </c>
      <c r="F20" s="673" t="s">
        <v>156</v>
      </c>
      <c r="G20" s="1716" t="s">
        <v>81</v>
      </c>
      <c r="H20" s="673">
        <v>0.3</v>
      </c>
      <c r="I20" s="673">
        <v>0.4</v>
      </c>
      <c r="J20" s="673">
        <v>0.25</v>
      </c>
      <c r="K20" s="673">
        <v>0.05</v>
      </c>
      <c r="L20" s="673"/>
      <c r="M20" s="900">
        <f>+'3-Grado Cump Metas Estratégicas'!D21</f>
        <v>0.7</v>
      </c>
      <c r="N20" s="1728">
        <f>+'4-Grado Cum Objetivos Est &amp; Cal'!C14</f>
        <v>0.6796724398821552</v>
      </c>
    </row>
    <row r="21" spans="2:14" s="1680" customFormat="1" ht="108" customHeight="1">
      <c r="B21" s="1726"/>
      <c r="C21" s="1715" t="str">
        <f>+'01-FR-03 POA INSTITUCIONAL'!C55</f>
        <v>4.2. Consolidar el 90% del Modelo Integrado de Planeación y Gestión –MIPG- y sus sistemas de gestión articulados, como compromiso con la Calidad, la Excelencia, la Responsabilidad Ambiental y la Mejora en la prestación del Servicio.</v>
      </c>
      <c r="D21" s="670">
        <v>0.15</v>
      </c>
      <c r="E21" s="673">
        <v>0.9</v>
      </c>
      <c r="F21" s="673">
        <v>0.62</v>
      </c>
      <c r="G21" s="1716" t="s">
        <v>975</v>
      </c>
      <c r="H21" s="673">
        <v>0.3</v>
      </c>
      <c r="I21" s="673">
        <v>0.3</v>
      </c>
      <c r="J21" s="673">
        <v>0.2</v>
      </c>
      <c r="K21" s="673">
        <v>0.1</v>
      </c>
      <c r="L21" s="673"/>
      <c r="M21" s="900">
        <f>+'3-Grado Cump Metas Estratégicas'!D22</f>
        <v>0.63841403602328473</v>
      </c>
      <c r="N21" s="1728"/>
    </row>
    <row r="22" spans="2:14" s="1680" customFormat="1" ht="91.5" customHeight="1">
      <c r="B22" s="1726"/>
      <c r="C22" s="1715" t="str">
        <f>+'01-FR-03 POA INSTITUCIONAL'!C61</f>
        <v xml:space="preserve">4.3. Realizar el 100% de las actividades relacionadas con la Gestión del Talento Humano, que permita su fortalecimiento y el desarrollo de sus conocimientos, su competencia y bienestar. </v>
      </c>
      <c r="D22" s="670">
        <v>0.14000000000000001</v>
      </c>
      <c r="E22" s="673">
        <v>1</v>
      </c>
      <c r="F22" s="673" t="s">
        <v>156</v>
      </c>
      <c r="G22" s="1716" t="s">
        <v>91</v>
      </c>
      <c r="H22" s="673">
        <v>1</v>
      </c>
      <c r="I22" s="673">
        <v>1</v>
      </c>
      <c r="J22" s="673">
        <v>1</v>
      </c>
      <c r="K22" s="673">
        <v>1</v>
      </c>
      <c r="L22" s="673"/>
      <c r="M22" s="900">
        <f>+'3-Grado Cump Metas Estratégicas'!D23</f>
        <v>0.51071176092574044</v>
      </c>
      <c r="N22" s="1728"/>
    </row>
    <row r="23" spans="2:14" s="1680" customFormat="1" ht="90" customHeight="1">
      <c r="B23" s="1726"/>
      <c r="C23" s="1715" t="str">
        <f>+'01-FR-03 POA INSTITUCIONAL'!C69</f>
        <v>4.4. Implementar el 100% de las acciones necesarias para la modernización de la gestión institucional a través de los procesos de apoyo, que permita una mejor prestación del servicio.</v>
      </c>
      <c r="D23" s="670">
        <v>0.14000000000000001</v>
      </c>
      <c r="E23" s="673">
        <v>1</v>
      </c>
      <c r="F23" s="673" t="s">
        <v>156</v>
      </c>
      <c r="G23" s="1716" t="s">
        <v>976</v>
      </c>
      <c r="H23" s="673">
        <v>1</v>
      </c>
      <c r="I23" s="673">
        <v>1</v>
      </c>
      <c r="J23" s="673">
        <v>1</v>
      </c>
      <c r="K23" s="673">
        <v>1</v>
      </c>
      <c r="L23" s="673"/>
      <c r="M23" s="900">
        <f>+'3-Grado Cump Metas Estratégicas'!D24</f>
        <v>0.50601327943021401</v>
      </c>
      <c r="N23" s="1728"/>
    </row>
    <row r="24" spans="2:14" s="1680" customFormat="1" ht="73.5" customHeight="1">
      <c r="B24" s="1726"/>
      <c r="C24" s="1715" t="str">
        <f>+'01-FR-03 POA INSTITUCIONAL'!C87</f>
        <v>4.5. Desarrollar el 100% de las acciones relacionadas con el fomento de la Cultura del Autocontrol, la Autorregulación y la Autogestión institucional.</v>
      </c>
      <c r="D24" s="670">
        <v>0.14000000000000001</v>
      </c>
      <c r="E24" s="673">
        <v>1</v>
      </c>
      <c r="F24" s="673" t="s">
        <v>156</v>
      </c>
      <c r="G24" s="1716" t="s">
        <v>977</v>
      </c>
      <c r="H24" s="673">
        <v>1</v>
      </c>
      <c r="I24" s="673">
        <v>1</v>
      </c>
      <c r="J24" s="673">
        <v>1</v>
      </c>
      <c r="K24" s="673">
        <v>1</v>
      </c>
      <c r="L24" s="673"/>
      <c r="M24" s="900">
        <f>+'3-Grado Cump Metas Estratégicas'!D25</f>
        <v>0.5707297297297298</v>
      </c>
      <c r="N24" s="1728"/>
    </row>
    <row r="25" spans="2:14" s="1680" customFormat="1" ht="94.5" customHeight="1">
      <c r="B25" s="1726"/>
      <c r="C25" s="1715" t="str">
        <f>+'01-FR-03 POA INSTITUCIONAL'!C93</f>
        <v>4.6. Desarrollar el 100% de las estrategias de comunicación organizacional y de medios que contribuyan al logro de los objetivos institucionales y al posicionamiento de la Entidad.</v>
      </c>
      <c r="D25" s="670">
        <v>0.14000000000000001</v>
      </c>
      <c r="E25" s="673">
        <v>1</v>
      </c>
      <c r="F25" s="673">
        <v>1</v>
      </c>
      <c r="G25" s="1716" t="s">
        <v>86</v>
      </c>
      <c r="H25" s="673">
        <v>1</v>
      </c>
      <c r="I25" s="673">
        <v>1</v>
      </c>
      <c r="J25" s="673">
        <v>1</v>
      </c>
      <c r="K25" s="673">
        <v>1</v>
      </c>
      <c r="L25" s="673"/>
      <c r="M25" s="900">
        <f>+'3-Grado Cump Metas Estratégicas'!D26</f>
        <v>0.5</v>
      </c>
      <c r="N25" s="1728"/>
    </row>
    <row r="26" spans="2:14" s="1680" customFormat="1" ht="92.25" customHeight="1">
      <c r="B26" s="1729"/>
      <c r="C26" s="1715" t="str">
        <f>+'01-FR-03 POA INSTITUCIONAL'!C95</f>
        <v>4.7. Articular el 100% de las acciones de trabajo interinstitucional y cooperación nacional e internacional que permita aunar esfuerzos para el cumplimiento de la misión institucional.</v>
      </c>
      <c r="D26" s="670">
        <v>0.14000000000000001</v>
      </c>
      <c r="E26" s="673">
        <v>1</v>
      </c>
      <c r="F26" s="673" t="s">
        <v>156</v>
      </c>
      <c r="G26" s="1716" t="s">
        <v>87</v>
      </c>
      <c r="H26" s="672">
        <v>0.33333333333333337</v>
      </c>
      <c r="I26" s="672">
        <v>0.33333333333333337</v>
      </c>
      <c r="J26" s="672">
        <v>0.33333333333333337</v>
      </c>
      <c r="K26" s="673">
        <v>0</v>
      </c>
      <c r="L26" s="1730"/>
      <c r="M26" s="900">
        <f>+'3-Grado Cump Metas Estratégicas'!D27</f>
        <v>1.3333333333333333</v>
      </c>
      <c r="N26" s="1728"/>
    </row>
    <row r="27" spans="2:14" s="1680" customFormat="1" ht="88.5" customHeight="1">
      <c r="B27" s="1721" t="s">
        <v>149</v>
      </c>
      <c r="C27" s="1731" t="str">
        <f>+'01-FR-03 POA INSTITUCIONAL'!C96</f>
        <v>5.1 Generar el 100% de productos de nuevo conocimiento o transformar los existentes, alineados con proyectos resultados de la investigación, desarrollo e innovación (I+D+I) en la Entidad.</v>
      </c>
      <c r="D27" s="667">
        <v>0.4</v>
      </c>
      <c r="E27" s="671">
        <v>1</v>
      </c>
      <c r="F27" s="671" t="s">
        <v>156</v>
      </c>
      <c r="G27" s="1709" t="s">
        <v>80</v>
      </c>
      <c r="H27" s="666">
        <v>0.25</v>
      </c>
      <c r="I27" s="666">
        <v>0.25</v>
      </c>
      <c r="J27" s="666">
        <v>0.25</v>
      </c>
      <c r="K27" s="666">
        <v>0.25</v>
      </c>
      <c r="L27" s="1723"/>
      <c r="M27" s="900">
        <f>+'3-Grado Cump Metas Estratégicas'!D28</f>
        <v>0.625</v>
      </c>
      <c r="N27" s="1728">
        <f>+'4-Grado Cum Objetivos Est &amp; Cal'!C15</f>
        <v>0.55374999999999996</v>
      </c>
    </row>
    <row r="28" spans="2:14" s="1680" customFormat="1" ht="98.25" customHeight="1">
      <c r="B28" s="1722"/>
      <c r="C28" s="1709" t="str">
        <f>+'01-FR-03 POA INSTITUCIONAL'!C98</f>
        <v>5.2 Formular el 100% de herramientas y acciones que permitan categorizar, preservar y utilizar el conocimiento para la toma de decisiones y compartir fácilmente los datos y la información de la Entidad.</v>
      </c>
      <c r="D28" s="667">
        <v>0.3</v>
      </c>
      <c r="E28" s="666">
        <v>1</v>
      </c>
      <c r="F28" s="671" t="s">
        <v>156</v>
      </c>
      <c r="G28" s="1709" t="s">
        <v>80</v>
      </c>
      <c r="H28" s="666">
        <v>0.25</v>
      </c>
      <c r="I28" s="666">
        <v>0.25</v>
      </c>
      <c r="J28" s="666">
        <v>0.25</v>
      </c>
      <c r="K28" s="666">
        <v>0.25</v>
      </c>
      <c r="L28" s="1723"/>
      <c r="M28" s="900">
        <f>+'3-Grado Cump Metas Estratégicas'!D29</f>
        <v>0.5</v>
      </c>
      <c r="N28" s="1728"/>
    </row>
    <row r="29" spans="2:14" s="1680" customFormat="1" ht="120" customHeight="1">
      <c r="B29" s="1724"/>
      <c r="C29" s="1732"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29" s="667">
        <v>0.3</v>
      </c>
      <c r="E29" s="674">
        <v>1</v>
      </c>
      <c r="F29" s="671" t="s">
        <v>156</v>
      </c>
      <c r="G29" s="1732" t="s">
        <v>80</v>
      </c>
      <c r="H29" s="666">
        <v>0.25</v>
      </c>
      <c r="I29" s="666">
        <v>0.25</v>
      </c>
      <c r="J29" s="666">
        <v>0.25</v>
      </c>
      <c r="K29" s="666">
        <v>0.25</v>
      </c>
      <c r="L29" s="1723"/>
      <c r="M29" s="900">
        <f>+'3-Grado Cump Metas Estratégicas'!D30</f>
        <v>0.51249999999999996</v>
      </c>
      <c r="N29" s="1728"/>
    </row>
    <row r="30" spans="2:14" s="1680" customFormat="1" ht="17.399999999999999">
      <c r="B30" s="1733"/>
      <c r="C30" s="1734"/>
      <c r="D30" s="1734"/>
      <c r="E30" s="1734"/>
      <c r="F30" s="1734"/>
      <c r="G30" s="1734"/>
      <c r="H30" s="1733"/>
      <c r="I30" s="1733"/>
      <c r="J30" s="1733"/>
      <c r="K30" s="1733"/>
      <c r="L30" s="1733"/>
      <c r="M30" s="1673">
        <f>AVERAGE(M10:M29)</f>
        <v>0.6393884170075077</v>
      </c>
      <c r="N30" s="799">
        <f>AVERAGE(N10:N29)</f>
        <v>0.64039782604109052</v>
      </c>
    </row>
    <row r="31" spans="2:14" s="1680" customFormat="1">
      <c r="M31" s="1735"/>
    </row>
    <row r="33" spans="2:7" s="1680" customFormat="1">
      <c r="B33" s="1736" t="s">
        <v>37</v>
      </c>
      <c r="C33" s="1737">
        <v>44224</v>
      </c>
      <c r="D33" s="1738"/>
      <c r="E33" s="1738"/>
      <c r="F33" s="1738"/>
      <c r="G33" s="1738"/>
    </row>
    <row r="35" spans="2:7" s="1680" customFormat="1">
      <c r="B35" s="1736" t="s">
        <v>82</v>
      </c>
      <c r="C35" s="1737">
        <v>44433</v>
      </c>
    </row>
    <row r="37" spans="2:7" s="1680" customFormat="1">
      <c r="B37" s="1736" t="s">
        <v>82</v>
      </c>
      <c r="C37" s="1737">
        <v>44470</v>
      </c>
    </row>
    <row r="39" spans="2:7" s="1680" customFormat="1">
      <c r="B39" s="1736" t="s">
        <v>82</v>
      </c>
      <c r="C39" s="1737">
        <v>44581</v>
      </c>
    </row>
    <row r="41" spans="2:7" s="1680" customFormat="1">
      <c r="B41" s="1047" t="s">
        <v>916</v>
      </c>
    </row>
  </sheetData>
  <sheetProtection algorithmName="SHA-512" hashValue="flexl5nq/kB5qoCpzuwpzOCwIW7P2i43DyUPt/XldNIcT6ric4zkh3ioMYKJDWyDJYe75WjWCNyLvJZHVoolzg==" saltValue="75RYiIEr/i1m+xn/lmKgzw==" spinCount="100000" sheet="1" objects="1" scenarios="1"/>
  <mergeCells count="24">
    <mergeCell ref="B16:B19"/>
    <mergeCell ref="N16:N19"/>
    <mergeCell ref="B20:B26"/>
    <mergeCell ref="N20:N26"/>
    <mergeCell ref="B27:B29"/>
    <mergeCell ref="N27:N29"/>
    <mergeCell ref="N8:N9"/>
    <mergeCell ref="B10:B12"/>
    <mergeCell ref="N10:N12"/>
    <mergeCell ref="B13:B15"/>
    <mergeCell ref="N13:N15"/>
    <mergeCell ref="G7:G9"/>
    <mergeCell ref="H7:L7"/>
    <mergeCell ref="M7:M8"/>
    <mergeCell ref="B7:B9"/>
    <mergeCell ref="C7:C9"/>
    <mergeCell ref="D7:D9"/>
    <mergeCell ref="E7:E9"/>
    <mergeCell ref="F7:F9"/>
    <mergeCell ref="B2:B5"/>
    <mergeCell ref="H6:L6"/>
    <mergeCell ref="M4:N4"/>
    <mergeCell ref="C2:K4"/>
    <mergeCell ref="C5:K5"/>
  </mergeCells>
  <conditionalFormatting sqref="H21:L22 H26:L29">
    <cfRule type="expression" dxfId="806" priority="166">
      <formula>#REF!="Pesos ($)"</formula>
    </cfRule>
    <cfRule type="expression" dxfId="805" priority="167">
      <formula>OR(LEFT(#REF!,9)="Número de",#REF!="Otra")</formula>
    </cfRule>
    <cfRule type="expression" dxfId="804" priority="168">
      <formula>#REF!="Porcentaje"</formula>
    </cfRule>
  </conditionalFormatting>
  <conditionalFormatting sqref="H23:L23">
    <cfRule type="expression" dxfId="803" priority="149">
      <formula>#REF!="Pesos ($)"</formula>
    </cfRule>
    <cfRule type="expression" dxfId="802" priority="150">
      <formula>OR(LEFT(#REF!,9)="Número de",#REF!="Otra")</formula>
    </cfRule>
    <cfRule type="expression" dxfId="801" priority="151">
      <formula>#REF!="Porcentaje"</formula>
    </cfRule>
  </conditionalFormatting>
  <conditionalFormatting sqref="H25:L25">
    <cfRule type="expression" dxfId="800" priority="146">
      <formula>#REF!="Pesos ($)"</formula>
    </cfRule>
    <cfRule type="expression" dxfId="799" priority="147">
      <formula>OR(LEFT(#REF!,9)="Número de",#REF!="Otra")</formula>
    </cfRule>
    <cfRule type="expression" dxfId="798" priority="148">
      <formula>#REF!="Porcentaje"</formula>
    </cfRule>
  </conditionalFormatting>
  <conditionalFormatting sqref="H24:L24 H12:K12 H17:K18">
    <cfRule type="expression" dxfId="797" priority="143">
      <formula>#REF!="Pesos ($)"</formula>
    </cfRule>
    <cfRule type="expression" dxfId="796" priority="144">
      <formula>OR(LEFT(#REF!,9)="Número de",#REF!="Otra")</formula>
    </cfRule>
    <cfRule type="expression" dxfId="795" priority="145">
      <formula>#REF!="Porcentaje"</formula>
    </cfRule>
  </conditionalFormatting>
  <conditionalFormatting sqref="L10:L19">
    <cfRule type="expression" dxfId="794" priority="140">
      <formula>#REF!="Pesos ($)"</formula>
    </cfRule>
    <cfRule type="expression" dxfId="793" priority="141">
      <formula>OR(LEFT(#REF!,9)="Número de",#REF!="Otra")</formula>
    </cfRule>
    <cfRule type="expression" dxfId="792" priority="142">
      <formula>#REF!="Porcentaje"</formula>
    </cfRule>
  </conditionalFormatting>
  <conditionalFormatting sqref="I20:L20">
    <cfRule type="expression" dxfId="791" priority="130">
      <formula>#REF!="Pesos ($)"</formula>
    </cfRule>
    <cfRule type="expression" dxfId="790" priority="131">
      <formula>OR(LEFT(#REF!,9)="Número de",#REF!="Otra")</formula>
    </cfRule>
    <cfRule type="expression" dxfId="789" priority="132">
      <formula>#REF!="Porcentaje"</formula>
    </cfRule>
  </conditionalFormatting>
  <conditionalFormatting sqref="H20">
    <cfRule type="expression" dxfId="788" priority="127">
      <formula>#REF!="Pesos ($)"</formula>
    </cfRule>
    <cfRule type="expression" dxfId="787" priority="128">
      <formula>OR(LEFT(#REF!,9)="Número de",#REF!="Otra")</formula>
    </cfRule>
    <cfRule type="expression" dxfId="786" priority="129">
      <formula>#REF!="Porcentaje"</formula>
    </cfRule>
  </conditionalFormatting>
  <conditionalFormatting sqref="H13:K15">
    <cfRule type="expression" dxfId="785" priority="25">
      <formula>#REF!="Pesos ($)"</formula>
    </cfRule>
    <cfRule type="expression" dxfId="784" priority="26">
      <formula>OR(LEFT(#REF!,9)="Número de",#REF!="Otra")</formula>
    </cfRule>
    <cfRule type="expression" dxfId="783" priority="27">
      <formula>#REF!="Porcentaje"</formula>
    </cfRule>
  </conditionalFormatting>
  <conditionalFormatting sqref="H10:K11">
    <cfRule type="expression" dxfId="782" priority="16">
      <formula>#REF!="Pesos ($)"</formula>
    </cfRule>
    <cfRule type="expression" dxfId="781" priority="17">
      <formula>OR(LEFT(#REF!,9)="Número de",#REF!="Otra")</formula>
    </cfRule>
    <cfRule type="expression" dxfId="780" priority="18">
      <formula>#REF!="Porcentaje"</formula>
    </cfRule>
  </conditionalFormatting>
  <conditionalFormatting sqref="H16:K16">
    <cfRule type="expression" dxfId="779" priority="13">
      <formula>#REF!="Pesos ($)"</formula>
    </cfRule>
    <cfRule type="expression" dxfId="778" priority="14">
      <formula>OR(LEFT(#REF!,9)="Número de",#REF!="Otra")</formula>
    </cfRule>
    <cfRule type="expression" dxfId="777" priority="15">
      <formula>#REF!="Porcentaje"</formula>
    </cfRule>
  </conditionalFormatting>
  <conditionalFormatting sqref="H19:K19">
    <cfRule type="expression" dxfId="776" priority="1">
      <formula>#REF!="Pesos ($)"</formula>
    </cfRule>
    <cfRule type="expression" dxfId="775" priority="2">
      <formula>OR(LEFT(#REF!,9)="Número de",#REF!="Otra")</formula>
    </cfRule>
    <cfRule type="expression" dxfId="774" priority="3">
      <formula>#REF!="Porcentaje"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2FED-B871-4A7A-B967-061E54B0236B}">
  <sheetPr>
    <tabColor rgb="FF00B0F0"/>
  </sheetPr>
  <dimension ref="B1:P40"/>
  <sheetViews>
    <sheetView showGridLines="0" workbookViewId="0">
      <selection activeCell="B23" sqref="B23:O23"/>
    </sheetView>
  </sheetViews>
  <sheetFormatPr baseColWidth="10" defaultColWidth="11.44140625" defaultRowHeight="13.2"/>
  <cols>
    <col min="1" max="1" width="4.33203125" style="298" customWidth="1"/>
    <col min="2" max="2" width="28.5546875" style="298" customWidth="1"/>
    <col min="3" max="13" width="7.109375" style="298" customWidth="1"/>
    <col min="14" max="14" width="14.33203125" style="298" customWidth="1"/>
    <col min="15" max="15" width="14.44140625" style="298" customWidth="1"/>
    <col min="16" max="16" width="6.6640625" style="298" customWidth="1"/>
    <col min="17" max="17" width="9.5546875" style="298" customWidth="1"/>
    <col min="18" max="18" width="17.109375" style="298" customWidth="1"/>
    <col min="19" max="16384" width="11.44140625" style="298"/>
  </cols>
  <sheetData>
    <row r="1" spans="2:16" s="6" customFormat="1" ht="7.5" customHeight="1" thickBot="1">
      <c r="B1" s="296"/>
      <c r="C1" s="296"/>
      <c r="D1" s="296"/>
      <c r="E1" s="296"/>
      <c r="F1" s="296"/>
      <c r="G1" s="296"/>
      <c r="H1" s="296"/>
      <c r="I1" s="296"/>
      <c r="J1" s="296"/>
      <c r="K1" s="296"/>
      <c r="L1" s="296"/>
      <c r="M1" s="296"/>
      <c r="N1" s="296"/>
      <c r="O1" s="296"/>
      <c r="P1" s="296"/>
    </row>
    <row r="2" spans="2:16" s="6" customFormat="1" ht="15.6">
      <c r="B2" s="1316" t="s">
        <v>679</v>
      </c>
      <c r="C2" s="1319" t="s">
        <v>963</v>
      </c>
      <c r="D2" s="1320"/>
      <c r="E2" s="1320"/>
      <c r="F2" s="1320"/>
      <c r="G2" s="1320"/>
      <c r="H2" s="1320"/>
      <c r="I2" s="1320"/>
      <c r="J2" s="1320"/>
      <c r="K2" s="1320"/>
      <c r="L2" s="1320"/>
      <c r="M2" s="1320"/>
      <c r="N2" s="1325" t="s">
        <v>1049</v>
      </c>
      <c r="O2" s="1326"/>
      <c r="P2" s="296"/>
    </row>
    <row r="3" spans="2:16" s="6" customFormat="1" ht="15.6">
      <c r="B3" s="1317"/>
      <c r="C3" s="1321"/>
      <c r="D3" s="1322"/>
      <c r="E3" s="1322"/>
      <c r="F3" s="1322"/>
      <c r="G3" s="1322"/>
      <c r="H3" s="1322"/>
      <c r="I3" s="1322"/>
      <c r="J3" s="1322"/>
      <c r="K3" s="1322"/>
      <c r="L3" s="1322"/>
      <c r="M3" s="1322"/>
      <c r="N3" s="800" t="s">
        <v>28</v>
      </c>
      <c r="O3" s="801" t="s">
        <v>29</v>
      </c>
      <c r="P3" s="296"/>
    </row>
    <row r="4" spans="2:16" s="6" customFormat="1" ht="15.75" customHeight="1">
      <c r="B4" s="1317"/>
      <c r="C4" s="1321"/>
      <c r="D4" s="1322"/>
      <c r="E4" s="1322"/>
      <c r="F4" s="1322"/>
      <c r="G4" s="1322"/>
      <c r="H4" s="1322"/>
      <c r="I4" s="1322"/>
      <c r="J4" s="1322"/>
      <c r="K4" s="1322"/>
      <c r="L4" s="1322"/>
      <c r="M4" s="1322"/>
      <c r="N4" s="802">
        <v>7</v>
      </c>
      <c r="O4" s="803" t="s">
        <v>1050</v>
      </c>
      <c r="P4" s="296"/>
    </row>
    <row r="5" spans="2:16" s="6" customFormat="1" ht="15.6">
      <c r="B5" s="1317"/>
      <c r="C5" s="1321"/>
      <c r="D5" s="1322"/>
      <c r="E5" s="1322"/>
      <c r="F5" s="1322"/>
      <c r="G5" s="1322"/>
      <c r="H5" s="1322"/>
      <c r="I5" s="1322"/>
      <c r="J5" s="1322"/>
      <c r="K5" s="1322"/>
      <c r="L5" s="1322"/>
      <c r="M5" s="1322"/>
      <c r="N5" s="1327" t="s">
        <v>30</v>
      </c>
      <c r="O5" s="1328"/>
      <c r="P5" s="296"/>
    </row>
    <row r="6" spans="2:16" s="6" customFormat="1" ht="15.6" customHeight="1" thickBot="1">
      <c r="B6" s="1318"/>
      <c r="C6" s="1323"/>
      <c r="D6" s="1324"/>
      <c r="E6" s="1324"/>
      <c r="F6" s="1324"/>
      <c r="G6" s="1324"/>
      <c r="H6" s="1324"/>
      <c r="I6" s="1324"/>
      <c r="J6" s="1324"/>
      <c r="K6" s="1324"/>
      <c r="L6" s="1324"/>
      <c r="M6" s="1324"/>
      <c r="N6" s="1329">
        <v>44561</v>
      </c>
      <c r="O6" s="1330"/>
      <c r="P6" s="296"/>
    </row>
    <row r="7" spans="2:16" s="6" customFormat="1" ht="13.8" thickBot="1">
      <c r="B7" s="296"/>
      <c r="C7" s="296"/>
      <c r="D7" s="296"/>
      <c r="E7" s="296"/>
      <c r="F7" s="297">
        <f>D11</f>
        <v>0</v>
      </c>
      <c r="G7" s="296"/>
      <c r="H7" s="296"/>
      <c r="I7" s="296"/>
      <c r="J7" s="296"/>
      <c r="K7" s="296"/>
      <c r="L7" s="296"/>
      <c r="M7" s="296"/>
      <c r="N7" s="296"/>
      <c r="O7" s="296"/>
      <c r="P7" s="296"/>
    </row>
    <row r="8" spans="2:16" s="6" customFormat="1" ht="15.6">
      <c r="B8" s="1331" t="s">
        <v>1051</v>
      </c>
      <c r="C8" s="1332"/>
      <c r="D8" s="1332"/>
      <c r="E8" s="1332"/>
      <c r="F8" s="1332"/>
      <c r="G8" s="1332"/>
      <c r="H8" s="1332"/>
      <c r="I8" s="1332"/>
      <c r="J8" s="1332"/>
      <c r="K8" s="1332"/>
      <c r="L8" s="1332"/>
      <c r="M8" s="1332"/>
      <c r="N8" s="1332"/>
      <c r="O8" s="1333"/>
      <c r="P8" s="296"/>
    </row>
    <row r="9" spans="2:16" s="6" customFormat="1">
      <c r="B9" s="296"/>
      <c r="C9" s="296"/>
      <c r="D9" s="296"/>
      <c r="E9" s="296"/>
      <c r="F9" s="297"/>
      <c r="G9" s="296"/>
      <c r="H9" s="296"/>
      <c r="I9" s="296"/>
      <c r="J9" s="296"/>
      <c r="K9" s="296"/>
      <c r="L9" s="296"/>
      <c r="M9" s="296"/>
      <c r="N9" s="296"/>
      <c r="O9" s="296"/>
      <c r="P9" s="296"/>
    </row>
    <row r="10" spans="2:16" s="6" customFormat="1" ht="15.6">
      <c r="B10" s="804" t="s">
        <v>32</v>
      </c>
      <c r="C10" s="1334" t="s">
        <v>33</v>
      </c>
      <c r="D10" s="1334"/>
      <c r="E10" s="1334"/>
      <c r="F10" s="1334"/>
      <c r="G10" s="1334"/>
      <c r="H10" s="1334"/>
      <c r="I10" s="1334"/>
      <c r="J10" s="1334"/>
      <c r="K10" s="1334"/>
      <c r="L10" s="1334"/>
      <c r="M10" s="1334"/>
      <c r="N10" s="1334"/>
      <c r="O10" s="1334"/>
      <c r="P10" s="296"/>
    </row>
    <row r="11" spans="2:16" s="6" customFormat="1" ht="55.2" customHeight="1">
      <c r="B11" s="18" t="s">
        <v>1052</v>
      </c>
      <c r="C11" s="1314" t="s">
        <v>1053</v>
      </c>
      <c r="D11" s="1314"/>
      <c r="E11" s="1314"/>
      <c r="F11" s="1314"/>
      <c r="G11" s="1314"/>
      <c r="H11" s="1314"/>
      <c r="I11" s="1314"/>
      <c r="J11" s="1314"/>
      <c r="K11" s="1314"/>
      <c r="L11" s="1314"/>
      <c r="M11" s="1314"/>
      <c r="N11" s="1314"/>
      <c r="O11" s="1314"/>
    </row>
    <row r="12" spans="2:16" s="6" customFormat="1" ht="55.2" customHeight="1">
      <c r="B12" s="19" t="s">
        <v>1054</v>
      </c>
      <c r="C12" s="1314" t="s">
        <v>1055</v>
      </c>
      <c r="D12" s="1314"/>
      <c r="E12" s="1314"/>
      <c r="F12" s="1314"/>
      <c r="G12" s="1314"/>
      <c r="H12" s="1314"/>
      <c r="I12" s="1314"/>
      <c r="J12" s="1314"/>
      <c r="K12" s="1314"/>
      <c r="L12" s="1314"/>
      <c r="M12" s="1314"/>
      <c r="N12" s="1314"/>
      <c r="O12" s="1314"/>
    </row>
    <row r="13" spans="2:16" s="6" customFormat="1" ht="55.2" customHeight="1">
      <c r="B13" s="18" t="s">
        <v>966</v>
      </c>
      <c r="C13" s="1314" t="s">
        <v>1056</v>
      </c>
      <c r="D13" s="1314"/>
      <c r="E13" s="1314"/>
      <c r="F13" s="1314"/>
      <c r="G13" s="1314"/>
      <c r="H13" s="1314"/>
      <c r="I13" s="1314"/>
      <c r="J13" s="1314"/>
      <c r="K13" s="1314"/>
      <c r="L13" s="1314"/>
      <c r="M13" s="1314"/>
      <c r="N13" s="1314"/>
      <c r="O13" s="1314"/>
    </row>
    <row r="14" spans="2:16" s="6" customFormat="1" ht="55.2" customHeight="1">
      <c r="B14" s="18" t="s">
        <v>1057</v>
      </c>
      <c r="C14" s="1314" t="s">
        <v>1058</v>
      </c>
      <c r="D14" s="1314"/>
      <c r="E14" s="1314"/>
      <c r="F14" s="1314"/>
      <c r="G14" s="1314"/>
      <c r="H14" s="1314"/>
      <c r="I14" s="1314"/>
      <c r="J14" s="1314"/>
      <c r="K14" s="1314"/>
      <c r="L14" s="1314"/>
      <c r="M14" s="1314"/>
      <c r="N14" s="1314"/>
      <c r="O14" s="1314"/>
    </row>
    <row r="15" spans="2:16" s="6" customFormat="1" ht="55.2" customHeight="1">
      <c r="B15" s="18" t="s">
        <v>69</v>
      </c>
      <c r="C15" s="1314" t="s">
        <v>1059</v>
      </c>
      <c r="D15" s="1314"/>
      <c r="E15" s="1314"/>
      <c r="F15" s="1314"/>
      <c r="G15" s="1314"/>
      <c r="H15" s="1314"/>
      <c r="I15" s="1314"/>
      <c r="J15" s="1314"/>
      <c r="K15" s="1314"/>
      <c r="L15" s="1314"/>
      <c r="M15" s="1314"/>
      <c r="N15" s="1314"/>
      <c r="O15" s="1314"/>
    </row>
    <row r="16" spans="2:16" s="6" customFormat="1" ht="55.2" customHeight="1">
      <c r="B16" s="14" t="s">
        <v>1060</v>
      </c>
      <c r="C16" s="1314" t="s">
        <v>1061</v>
      </c>
      <c r="D16" s="1314"/>
      <c r="E16" s="1314"/>
      <c r="F16" s="1314"/>
      <c r="G16" s="1314"/>
      <c r="H16" s="1314"/>
      <c r="I16" s="1314"/>
      <c r="J16" s="1314"/>
      <c r="K16" s="1314"/>
      <c r="L16" s="1314"/>
      <c r="M16" s="1314"/>
      <c r="N16" s="1314"/>
      <c r="O16" s="1314"/>
    </row>
    <row r="17" spans="2:15" s="6" customFormat="1" ht="76.2" customHeight="1">
      <c r="B17" s="14" t="s">
        <v>969</v>
      </c>
      <c r="C17" s="1314" t="s">
        <v>1062</v>
      </c>
      <c r="D17" s="1314"/>
      <c r="E17" s="1314"/>
      <c r="F17" s="1314"/>
      <c r="G17" s="1314"/>
      <c r="H17" s="1314"/>
      <c r="I17" s="1314"/>
      <c r="J17" s="1314"/>
      <c r="K17" s="1314"/>
      <c r="L17" s="1314"/>
      <c r="M17" s="1314"/>
      <c r="N17" s="1314"/>
      <c r="O17" s="1314"/>
    </row>
    <row r="18" spans="2:15" s="6" customFormat="1" ht="55.2" customHeight="1">
      <c r="B18" s="14" t="s">
        <v>970</v>
      </c>
      <c r="C18" s="1315" t="s">
        <v>1063</v>
      </c>
      <c r="D18" s="1315"/>
      <c r="E18" s="1315"/>
      <c r="F18" s="1315"/>
      <c r="G18" s="1315"/>
      <c r="H18" s="1315"/>
      <c r="I18" s="1315"/>
      <c r="J18" s="1315"/>
      <c r="K18" s="1315"/>
      <c r="L18" s="1315"/>
      <c r="M18" s="1315"/>
      <c r="N18" s="1315"/>
      <c r="O18" s="1315"/>
    </row>
    <row r="19" spans="2:15" s="6" customFormat="1" ht="55.2" customHeight="1">
      <c r="B19" s="14" t="s">
        <v>1064</v>
      </c>
      <c r="C19" s="1315" t="s">
        <v>1065</v>
      </c>
      <c r="D19" s="1315"/>
      <c r="E19" s="1315"/>
      <c r="F19" s="1315"/>
      <c r="G19" s="1315"/>
      <c r="H19" s="1315"/>
      <c r="I19" s="1315"/>
      <c r="J19" s="1315"/>
      <c r="K19" s="1315"/>
      <c r="L19" s="1315"/>
      <c r="M19" s="1315"/>
      <c r="N19" s="1315"/>
      <c r="O19" s="1315"/>
    </row>
    <row r="20" spans="2:15" s="6" customFormat="1" ht="55.2" customHeight="1">
      <c r="B20" s="14" t="s">
        <v>37</v>
      </c>
      <c r="C20" s="1314" t="s">
        <v>83</v>
      </c>
      <c r="D20" s="1314"/>
      <c r="E20" s="1314"/>
      <c r="F20" s="1314"/>
      <c r="G20" s="1314"/>
      <c r="H20" s="1314"/>
      <c r="I20" s="1314"/>
      <c r="J20" s="1314"/>
      <c r="K20" s="1314"/>
      <c r="L20" s="1314"/>
      <c r="M20" s="1314"/>
      <c r="N20" s="1314"/>
      <c r="O20" s="1314"/>
    </row>
    <row r="21" spans="2:15" s="6" customFormat="1" ht="55.2" customHeight="1">
      <c r="B21" s="14" t="s">
        <v>82</v>
      </c>
      <c r="C21" s="1314" t="s">
        <v>84</v>
      </c>
      <c r="D21" s="1314"/>
      <c r="E21" s="1314"/>
      <c r="F21" s="1314"/>
      <c r="G21" s="1314"/>
      <c r="H21" s="1314"/>
      <c r="I21" s="1314"/>
      <c r="J21" s="1314"/>
      <c r="K21" s="1314"/>
      <c r="L21" s="1314"/>
      <c r="M21" s="1314"/>
      <c r="N21" s="1314"/>
      <c r="O21" s="1314"/>
    </row>
    <row r="22" spans="2:15" ht="12.75" customHeight="1"/>
    <row r="23" spans="2:15" ht="12.75" customHeight="1">
      <c r="B23" s="1313" t="s">
        <v>916</v>
      </c>
      <c r="C23" s="1313"/>
      <c r="D23" s="1313"/>
      <c r="E23" s="1313"/>
      <c r="F23" s="1313"/>
      <c r="G23" s="1313"/>
      <c r="H23" s="1313"/>
      <c r="I23" s="1313"/>
      <c r="J23" s="1313"/>
      <c r="K23" s="1313"/>
      <c r="L23" s="1313"/>
      <c r="M23" s="1313"/>
      <c r="N23" s="1313"/>
      <c r="O23" s="1313"/>
    </row>
    <row r="24" spans="2:15" ht="12.75" customHeight="1"/>
    <row r="25" spans="2:15" ht="12.75" customHeight="1"/>
    <row r="26" spans="2:15" ht="12.75" customHeight="1"/>
    <row r="27" spans="2:15" ht="12.75" customHeight="1"/>
    <row r="28" spans="2:15" ht="12.75" customHeight="1"/>
    <row r="29" spans="2:15" ht="12.75" customHeight="1"/>
    <row r="30" spans="2:15" ht="12.75" customHeight="1"/>
    <row r="31" spans="2:15" ht="12.75" customHeight="1"/>
    <row r="32" spans="2:15" ht="12.75" customHeight="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5Jwf0bnBeyMDubuOUh9hfgxyaXwIAs4zfrKtZGOoPyNGp8H8ai3/vBt3bv8pp3t/pCN1e7lqTbqWY7UYypfg1A==" saltValue="Yw4RKSG62dmxT4LW8P6ifw==" spinCount="100000" sheet="1" objects="1" scenarios="1"/>
  <mergeCells count="19">
    <mergeCell ref="C15:O15"/>
    <mergeCell ref="B2:B6"/>
    <mergeCell ref="C2:M6"/>
    <mergeCell ref="N2:O2"/>
    <mergeCell ref="N5:O5"/>
    <mergeCell ref="N6:O6"/>
    <mergeCell ref="B8:O8"/>
    <mergeCell ref="C10:O10"/>
    <mergeCell ref="C11:O11"/>
    <mergeCell ref="C12:O12"/>
    <mergeCell ref="C13:O13"/>
    <mergeCell ref="C14:O14"/>
    <mergeCell ref="B23:O23"/>
    <mergeCell ref="C16:O16"/>
    <mergeCell ref="C17:O17"/>
    <mergeCell ref="C18:O18"/>
    <mergeCell ref="C19:O19"/>
    <mergeCell ref="C20:O20"/>
    <mergeCell ref="C21:O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7C1C-1BB9-4499-857C-6417B4A8B590}">
  <sheetPr>
    <tabColor rgb="FF0070C0"/>
  </sheetPr>
  <dimension ref="B1:R84"/>
  <sheetViews>
    <sheetView showGridLines="0" workbookViewId="0">
      <selection activeCell="C5" sqref="C5"/>
    </sheetView>
  </sheetViews>
  <sheetFormatPr baseColWidth="10" defaultColWidth="11.44140625" defaultRowHeight="15"/>
  <cols>
    <col min="1" max="1" width="3.6640625" style="473" customWidth="1"/>
    <col min="2" max="2" width="52.44140625" style="473" customWidth="1"/>
    <col min="3" max="5" width="18.44140625" style="475" customWidth="1"/>
    <col min="6" max="6" width="18.44140625" style="473" customWidth="1"/>
    <col min="7" max="7" width="18.33203125" style="473" customWidth="1"/>
    <col min="8" max="8" width="6.109375" style="475" hidden="1" customWidth="1"/>
    <col min="9" max="9" width="11.44140625" style="473" hidden="1" customWidth="1"/>
    <col min="10" max="16" width="11.44140625" style="473"/>
    <col min="17" max="17" width="62.44140625" style="473" bestFit="1" customWidth="1"/>
    <col min="18" max="18" width="40" style="473" customWidth="1"/>
    <col min="19" max="16356" width="11.44140625" style="473"/>
    <col min="16357" max="16357" width="1.44140625" style="473" customWidth="1"/>
    <col min="16358" max="16384" width="2.88671875" style="473" customWidth="1"/>
  </cols>
  <sheetData>
    <row r="1" spans="2:18">
      <c r="C1" s="474"/>
      <c r="D1" s="474"/>
      <c r="E1" s="474"/>
    </row>
    <row r="2" spans="2:18" ht="15.6">
      <c r="B2" s="1349" t="s">
        <v>883</v>
      </c>
      <c r="C2" s="1350" t="s">
        <v>888</v>
      </c>
      <c r="D2" s="1351"/>
      <c r="E2" s="1351"/>
      <c r="F2" s="1351"/>
      <c r="G2" s="1352"/>
      <c r="H2" s="519"/>
    </row>
    <row r="3" spans="2:18" ht="17.399999999999999">
      <c r="B3" s="1349"/>
      <c r="C3" s="1353" t="str">
        <f>+'3.Resum Desemp Procesos POA T1'!C3</f>
        <v>PLAN OPERATIVO ANUAL 2022</v>
      </c>
      <c r="D3" s="1354"/>
      <c r="E3" s="1354"/>
      <c r="F3" s="1354"/>
      <c r="G3" s="1355"/>
      <c r="H3" s="519"/>
    </row>
    <row r="4" spans="2:18" ht="9.75" customHeight="1">
      <c r="B4" s="1356"/>
      <c r="C4" s="1356"/>
      <c r="D4" s="1356"/>
      <c r="E4" s="1356"/>
      <c r="F4" s="1356"/>
      <c r="G4" s="873"/>
      <c r="H4" s="495"/>
    </row>
    <row r="5" spans="2:18" ht="19.5" customHeight="1">
      <c r="B5" s="473" t="str">
        <f>+'3.Resum Desemp Procesos POA T1'!B5</f>
        <v xml:space="preserve">Fecha de corte: </v>
      </c>
      <c r="C5" s="884">
        <f>+'3.Resum Desemp Procesos POA T2'!C5</f>
        <v>44834</v>
      </c>
    </row>
    <row r="6" spans="2:18" ht="19.5" customHeight="1">
      <c r="B6" s="476"/>
    </row>
    <row r="7" spans="2:18" s="485" customFormat="1" ht="31.5" customHeight="1">
      <c r="B7" s="1312" t="s">
        <v>711</v>
      </c>
      <c r="C7" s="1357" t="s">
        <v>1151</v>
      </c>
      <c r="D7" s="1358"/>
      <c r="E7" s="1358"/>
      <c r="F7" s="1358"/>
      <c r="G7" s="1359"/>
      <c r="H7" s="486"/>
      <c r="Q7" s="473"/>
      <c r="R7" s="473"/>
    </row>
    <row r="8" spans="2:18" s="485" customFormat="1" ht="74.400000000000006" customHeight="1">
      <c r="B8" s="1312"/>
      <c r="C8" s="546" t="s">
        <v>889</v>
      </c>
      <c r="D8" s="546" t="s">
        <v>890</v>
      </c>
      <c r="E8" s="546" t="s">
        <v>891</v>
      </c>
      <c r="F8" s="546" t="s">
        <v>898</v>
      </c>
      <c r="G8" s="520" t="s">
        <v>917</v>
      </c>
      <c r="H8" s="486"/>
      <c r="Q8" s="473"/>
      <c r="R8" s="473"/>
    </row>
    <row r="9" spans="2:18">
      <c r="B9" s="478" t="s">
        <v>718</v>
      </c>
      <c r="C9" s="551">
        <f>+'4.Segto Medición POA 2022 T4'!C65</f>
        <v>4</v>
      </c>
      <c r="D9" s="498">
        <f>COUNTIF('2.Infor Detallado Desempeño POA'!T12:T15,"=100%")</f>
        <v>2</v>
      </c>
      <c r="E9" s="499">
        <f>COUNTIF('2.Infor Detallado Desempeño POA'!T12:T15,"&gt;100%")</f>
        <v>1</v>
      </c>
      <c r="F9" s="549">
        <f>COUNTIF('2.Infor Detallado Desempeño POA'!T12:T15,"&lt;100%")</f>
        <v>1</v>
      </c>
      <c r="G9" s="547">
        <f>COUNTIF('2.Infor Detallado Desempeño POA'!T12:T15,"=No programado")</f>
        <v>0</v>
      </c>
      <c r="H9" s="496">
        <f>SUM(D9:G9)</f>
        <v>4</v>
      </c>
      <c r="I9" s="497">
        <f t="shared" ref="I9:I25" si="0">C9-H9</f>
        <v>0</v>
      </c>
    </row>
    <row r="10" spans="2:18">
      <c r="B10" s="478" t="s">
        <v>720</v>
      </c>
      <c r="C10" s="551">
        <f>+'4.Segto Medición POA 2022 T4'!C66</f>
        <v>4</v>
      </c>
      <c r="D10" s="498">
        <f>COUNTIF('2.Infor Detallado Desempeño POA'!T21:T24,"=100%")</f>
        <v>2</v>
      </c>
      <c r="E10" s="499">
        <f>COUNTIF('2.Infor Detallado Desempeño POA'!T21:T24,"&gt;100%")</f>
        <v>0</v>
      </c>
      <c r="F10" s="549">
        <f>COUNTIF('2.Infor Detallado Desempeño POA'!T21:T24,"&lt;100%")</f>
        <v>0</v>
      </c>
      <c r="G10" s="547">
        <f>COUNTIF('2.Infor Detallado Desempeño POA'!T21:T24,"=No programado")</f>
        <v>2</v>
      </c>
      <c r="H10" s="496">
        <f t="shared" ref="H10:H24" si="1">SUM(D10:G10)</f>
        <v>4</v>
      </c>
      <c r="I10" s="497">
        <f t="shared" si="0"/>
        <v>0</v>
      </c>
    </row>
    <row r="11" spans="2:18">
      <c r="B11" s="478" t="s">
        <v>721</v>
      </c>
      <c r="C11" s="551">
        <f>+'4.Segto Medición POA 2022 T4'!C67</f>
        <v>7</v>
      </c>
      <c r="D11" s="498">
        <f>COUNTIF('2.Infor Detallado Desempeño POA'!T30:T36,"=100%")</f>
        <v>7</v>
      </c>
      <c r="E11" s="499">
        <f>COUNTIF('2.Infor Detallado Desempeño POA'!T30:T36,"&gt;100%")</f>
        <v>0</v>
      </c>
      <c r="F11" s="549">
        <f>COUNTIF('2.Infor Detallado Desempeño POA'!T30:T36,"&lt;100%")</f>
        <v>0</v>
      </c>
      <c r="G11" s="547">
        <f>COUNTIF('2.Infor Detallado Desempeño POA'!T30:T36,"=No programado")</f>
        <v>0</v>
      </c>
      <c r="H11" s="496">
        <f t="shared" si="1"/>
        <v>7</v>
      </c>
      <c r="I11" s="497">
        <f t="shared" si="0"/>
        <v>0</v>
      </c>
    </row>
    <row r="12" spans="2:18">
      <c r="B12" s="478" t="s">
        <v>722</v>
      </c>
      <c r="C12" s="551">
        <f>+'4.Segto Medición POA 2022 T4'!C68</f>
        <v>2</v>
      </c>
      <c r="D12" s="498">
        <f>COUNTIF('2.Infor Detallado Desempeño POA'!T42:T43,"=100%")</f>
        <v>2</v>
      </c>
      <c r="E12" s="499">
        <f>COUNTIF('2.Infor Detallado Desempeño POA'!T42:T43,"&gt;100%")</f>
        <v>0</v>
      </c>
      <c r="F12" s="549">
        <f>COUNTIF('2.Infor Detallado Desempeño POA'!T42:T43,"&lt;100%")</f>
        <v>0</v>
      </c>
      <c r="G12" s="547">
        <f>COUNTIF('2.Infor Detallado Desempeño POA'!T42:T43,"=No programado")</f>
        <v>0</v>
      </c>
      <c r="H12" s="496">
        <f>SUM(D12:G12)</f>
        <v>2</v>
      </c>
      <c r="I12" s="497">
        <f t="shared" si="0"/>
        <v>0</v>
      </c>
    </row>
    <row r="13" spans="2:18">
      <c r="B13" s="478" t="s">
        <v>733</v>
      </c>
      <c r="C13" s="551">
        <f>+'4.Segto Medición POA 2022 T4'!C69</f>
        <v>3</v>
      </c>
      <c r="D13" s="498">
        <f>COUNTIF('2.Infor Detallado Desempeño POA'!T49:T51,"=100%")</f>
        <v>1</v>
      </c>
      <c r="E13" s="499">
        <f>COUNTIF('2.Infor Detallado Desempeño POA'!T49:T51,"&gt;100%")</f>
        <v>0</v>
      </c>
      <c r="F13" s="549">
        <f>COUNTIF('2.Infor Detallado Desempeño POA'!T49:T51,"&lt;100%")</f>
        <v>0</v>
      </c>
      <c r="G13" s="547">
        <f>COUNTIF('2.Infor Detallado Desempeño POA'!T49:T51,"=No programado")</f>
        <v>2</v>
      </c>
      <c r="H13" s="496">
        <f t="shared" si="1"/>
        <v>3</v>
      </c>
      <c r="I13" s="497">
        <f t="shared" si="0"/>
        <v>0</v>
      </c>
    </row>
    <row r="14" spans="2:18">
      <c r="B14" s="478" t="s">
        <v>723</v>
      </c>
      <c r="C14" s="551">
        <f>+'4.Segto Medición POA 2022 T4'!C70</f>
        <v>20</v>
      </c>
      <c r="D14" s="498">
        <f>COUNTIF('2.Infor Detallado Desempeño POA'!T57:T76,"=100%")</f>
        <v>1</v>
      </c>
      <c r="E14" s="499">
        <f>COUNTIF('2.Infor Detallado Desempeño POA'!T57:T76,"&gt;100%")</f>
        <v>12</v>
      </c>
      <c r="F14" s="549">
        <f>COUNTIF('2.Infor Detallado Desempeño POA'!T57:T76,"&lt;100%")</f>
        <v>4</v>
      </c>
      <c r="G14" s="547">
        <f>COUNTIF('2.Infor Detallado Desempeño POA'!T57:T76,"=No programado")</f>
        <v>3</v>
      </c>
      <c r="H14" s="496">
        <f t="shared" si="1"/>
        <v>20</v>
      </c>
      <c r="I14" s="497">
        <f t="shared" si="0"/>
        <v>0</v>
      </c>
    </row>
    <row r="15" spans="2:18">
      <c r="B15" s="478" t="s">
        <v>858</v>
      </c>
      <c r="C15" s="551">
        <f>+'4.Segto Medición POA 2022 T4'!C71</f>
        <v>7</v>
      </c>
      <c r="D15" s="498">
        <f>COUNTIF('2.Infor Detallado Desempeño POA'!T82:T88,"=100%")</f>
        <v>0</v>
      </c>
      <c r="E15" s="499">
        <f>COUNTIF('2.Infor Detallado Desempeño POA'!T82:T88,"&gt;100%")</f>
        <v>1</v>
      </c>
      <c r="F15" s="549">
        <f>COUNTIF('2.Infor Detallado Desempeño POA'!T82:T88,"&lt;100%")</f>
        <v>5</v>
      </c>
      <c r="G15" s="547">
        <f>COUNTIF('2.Infor Detallado Desempeño POA'!T82:T88,"=No programado")</f>
        <v>1</v>
      </c>
      <c r="H15" s="496">
        <f t="shared" si="1"/>
        <v>7</v>
      </c>
      <c r="I15" s="497">
        <f t="shared" si="0"/>
        <v>0</v>
      </c>
    </row>
    <row r="16" spans="2:18">
      <c r="B16" s="478" t="s">
        <v>726</v>
      </c>
      <c r="C16" s="551">
        <f>+'4.Segto Medición POA 2022 T4'!C72</f>
        <v>8</v>
      </c>
      <c r="D16" s="498">
        <f>COUNTIF('2.Infor Detallado Desempeño POA'!T94:T101,"=100%")</f>
        <v>4</v>
      </c>
      <c r="E16" s="499">
        <f>COUNTIF('2.Infor Detallado Desempeño POA'!T94:T101,"&gt;100%")</f>
        <v>0</v>
      </c>
      <c r="F16" s="549">
        <f>COUNTIF('2.Infor Detallado Desempeño POA'!T94:T101,"&lt;100%")</f>
        <v>3</v>
      </c>
      <c r="G16" s="547">
        <f>COUNTIF('2.Infor Detallado Desempeño POA'!T94:T101,"=No programado")</f>
        <v>1</v>
      </c>
      <c r="H16" s="496">
        <f t="shared" si="1"/>
        <v>8</v>
      </c>
      <c r="I16" s="497">
        <f t="shared" si="0"/>
        <v>0</v>
      </c>
    </row>
    <row r="17" spans="2:9">
      <c r="B17" s="478" t="s">
        <v>727</v>
      </c>
      <c r="C17" s="551">
        <f>+'4.Segto Medición POA 2022 T4'!C73</f>
        <v>8</v>
      </c>
      <c r="D17" s="498">
        <f>COUNTIF('2.Infor Detallado Desempeño POA'!T107:T114,"=100%")</f>
        <v>5</v>
      </c>
      <c r="E17" s="499">
        <f>COUNTIF('2.Infor Detallado Desempeño POA'!T107:T114,"&gt;100%")</f>
        <v>1</v>
      </c>
      <c r="F17" s="549">
        <f>COUNTIF('2.Infor Detallado Desempeño POA'!T107:T114,"&lt;100%")</f>
        <v>2</v>
      </c>
      <c r="G17" s="547">
        <f>COUNTIF('2.Infor Detallado Desempeño POA'!T107:T114,"=No programado")</f>
        <v>0</v>
      </c>
      <c r="H17" s="496">
        <f t="shared" si="1"/>
        <v>8</v>
      </c>
      <c r="I17" s="497">
        <f t="shared" si="0"/>
        <v>0</v>
      </c>
    </row>
    <row r="18" spans="2:9" ht="16.5" customHeight="1">
      <c r="B18" s="478" t="s">
        <v>728</v>
      </c>
      <c r="C18" s="551">
        <f>+'4.Segto Medición POA 2022 T4'!C74</f>
        <v>2</v>
      </c>
      <c r="D18" s="498">
        <f>COUNTIF('2.Infor Detallado Desempeño POA'!T120:T121,"=100%")</f>
        <v>1</v>
      </c>
      <c r="E18" s="499">
        <f>COUNTIF('2.Infor Detallado Desempeño POA'!T120:T121,"&gt;100%")</f>
        <v>1</v>
      </c>
      <c r="F18" s="549">
        <f>COUNTIF('2.Infor Detallado Desempeño POA'!T120:T121,"&lt;100%")</f>
        <v>0</v>
      </c>
      <c r="G18" s="547">
        <f>COUNTIF('2.Infor Detallado Desempeño POA'!T120:T121,"=No programado")</f>
        <v>0</v>
      </c>
      <c r="H18" s="496">
        <f t="shared" si="1"/>
        <v>2</v>
      </c>
      <c r="I18" s="497">
        <f t="shared" si="0"/>
        <v>0</v>
      </c>
    </row>
    <row r="19" spans="2:9">
      <c r="B19" s="478" t="s">
        <v>729</v>
      </c>
      <c r="C19" s="551">
        <f>+'4.Segto Medición POA 2022 T4'!C75</f>
        <v>3</v>
      </c>
      <c r="D19" s="498">
        <f>COUNTIF('2.Infor Detallado Desempeño POA'!T127:T129,"=100%")</f>
        <v>1</v>
      </c>
      <c r="E19" s="499">
        <f>COUNTIF('2.Infor Detallado Desempeño POA'!T127:T129,"&gt;100%")</f>
        <v>1</v>
      </c>
      <c r="F19" s="549">
        <f>COUNTIF('2.Infor Detallado Desempeño POA'!T127:T129,"&lt;100%")</f>
        <v>1</v>
      </c>
      <c r="G19" s="547">
        <f>COUNTIF('2.Infor Detallado Desempeño POA'!T127:T129,"=No programado")</f>
        <v>0</v>
      </c>
      <c r="H19" s="496">
        <f t="shared" si="1"/>
        <v>3</v>
      </c>
      <c r="I19" s="497">
        <f t="shared" si="0"/>
        <v>0</v>
      </c>
    </row>
    <row r="20" spans="2:9">
      <c r="B20" s="478" t="s">
        <v>730</v>
      </c>
      <c r="C20" s="551">
        <f>+'4.Segto Medición POA 2022 T4'!C76</f>
        <v>4</v>
      </c>
      <c r="D20" s="498">
        <f>COUNTIF('2.Infor Detallado Desempeño POA'!T135:T138,"=100%")</f>
        <v>1</v>
      </c>
      <c r="E20" s="499">
        <f>COUNTIF('2.Infor Detallado Desempeño POA'!T135:T138,"&gt;100%")</f>
        <v>0</v>
      </c>
      <c r="F20" s="549">
        <f>COUNTIF('2.Infor Detallado Desempeño POA'!T135:T138,"&lt;100%")</f>
        <v>2</v>
      </c>
      <c r="G20" s="547">
        <f>COUNTIF('2.Infor Detallado Desempeño POA'!T135:T138,"=No programado")</f>
        <v>1</v>
      </c>
      <c r="H20" s="496">
        <f t="shared" si="1"/>
        <v>4</v>
      </c>
      <c r="I20" s="497">
        <f t="shared" si="0"/>
        <v>0</v>
      </c>
    </row>
    <row r="21" spans="2:9">
      <c r="B21" s="478" t="s">
        <v>731</v>
      </c>
      <c r="C21" s="551">
        <f>+'4.Segto Medición POA 2022 T4'!C77</f>
        <v>4</v>
      </c>
      <c r="D21" s="498">
        <f>COUNTIF('2.Infor Detallado Desempeño POA'!T144:T147,"=100%")</f>
        <v>1</v>
      </c>
      <c r="E21" s="499">
        <f>COUNTIF('2.Infor Detallado Desempeño POA'!T144:T147,"&gt;100%")</f>
        <v>3</v>
      </c>
      <c r="F21" s="549">
        <f>COUNTIF('2.Infor Detallado Desempeño POA'!T144:T147,"&lt;100%")</f>
        <v>0</v>
      </c>
      <c r="G21" s="547">
        <f>COUNTIF('2.Infor Detallado Desempeño POA'!T144:T147,"=No programado")</f>
        <v>0</v>
      </c>
      <c r="H21" s="496">
        <f t="shared" si="1"/>
        <v>4</v>
      </c>
      <c r="I21" s="497">
        <f t="shared" si="0"/>
        <v>0</v>
      </c>
    </row>
    <row r="22" spans="2:9">
      <c r="B22" s="478" t="s">
        <v>732</v>
      </c>
      <c r="C22" s="551">
        <f>+'4.Segto Medición POA 2022 T4'!C78</f>
        <v>5</v>
      </c>
      <c r="D22" s="498">
        <f>COUNTIF('2.Infor Detallado Desempeño POA'!T153:T157,"=100%")</f>
        <v>5</v>
      </c>
      <c r="E22" s="499">
        <f>COUNTIF('2.Infor Detallado Desempeño POA'!T153:T157,"&gt;100%")</f>
        <v>0</v>
      </c>
      <c r="F22" s="549">
        <f>COUNTIF('2.Infor Detallado Desempeño POA'!T153:T157,"&lt;100%")</f>
        <v>0</v>
      </c>
      <c r="G22" s="547">
        <f>COUNTIF('2.Infor Detallado Desempeño POA'!T153:T157,"=No programado")</f>
        <v>0</v>
      </c>
      <c r="H22" s="496">
        <f t="shared" si="1"/>
        <v>5</v>
      </c>
      <c r="I22" s="497">
        <f t="shared" si="0"/>
        <v>0</v>
      </c>
    </row>
    <row r="23" spans="2:9">
      <c r="B23" s="478" t="s">
        <v>734</v>
      </c>
      <c r="C23" s="551">
        <f>+'4.Segto Medición POA 2022 T4'!C79</f>
        <v>3</v>
      </c>
      <c r="D23" s="498">
        <f>COUNTIF('2.Infor Detallado Desempeño POA'!T163:T165,"=100%")</f>
        <v>0</v>
      </c>
      <c r="E23" s="499">
        <f>COUNTIF('2.Infor Detallado Desempeño POA'!T163:T165,"&gt;100%")</f>
        <v>2</v>
      </c>
      <c r="F23" s="549">
        <f>COUNTIF('2.Infor Detallado Desempeño POA'!T163:T165,"&lt;100%")</f>
        <v>1</v>
      </c>
      <c r="G23" s="547">
        <f>COUNTIF('2.Infor Detallado Desempeño POA'!T163:T165,"=No programado")</f>
        <v>0</v>
      </c>
      <c r="H23" s="496">
        <f t="shared" si="1"/>
        <v>3</v>
      </c>
      <c r="I23" s="497">
        <f t="shared" si="0"/>
        <v>0</v>
      </c>
    </row>
    <row r="24" spans="2:9">
      <c r="B24" s="478" t="s">
        <v>735</v>
      </c>
      <c r="C24" s="551">
        <f>+'4.Segto Medición POA 2022 T4'!C80</f>
        <v>3</v>
      </c>
      <c r="D24" s="498">
        <f>COUNTIF('2.Infor Detallado Desempeño POA'!T171:T173,"=100%")</f>
        <v>2</v>
      </c>
      <c r="E24" s="499">
        <f>COUNTIF('2.Infor Detallado Desempeño POA'!T171:T173,"&gt;100%")</f>
        <v>0</v>
      </c>
      <c r="F24" s="549">
        <f>COUNTIF('2.Infor Detallado Desempeño POA'!T171:T173,"&lt;100%")</f>
        <v>0</v>
      </c>
      <c r="G24" s="547">
        <f>COUNTIF('2.Infor Detallado Desempeño POA'!T171:T173,"=No programado")</f>
        <v>1</v>
      </c>
      <c r="H24" s="496">
        <f t="shared" si="1"/>
        <v>3</v>
      </c>
      <c r="I24" s="497">
        <f t="shared" si="0"/>
        <v>0</v>
      </c>
    </row>
    <row r="25" spans="2:9" ht="19.5" customHeight="1">
      <c r="B25" s="511" t="s">
        <v>887</v>
      </c>
      <c r="C25" s="512">
        <f>SUM(C9:C24)</f>
        <v>87</v>
      </c>
      <c r="D25" s="513">
        <f t="shared" ref="D25:E25" si="2">SUM(D9:D24)</f>
        <v>35</v>
      </c>
      <c r="E25" s="514">
        <f t="shared" si="2"/>
        <v>22</v>
      </c>
      <c r="F25" s="550">
        <f>SUM(F9:F24)</f>
        <v>19</v>
      </c>
      <c r="G25" s="548">
        <f>SUM(G9:G24)</f>
        <v>11</v>
      </c>
      <c r="H25" s="496">
        <f>SUM(D25:G25)</f>
        <v>87</v>
      </c>
      <c r="I25" s="497">
        <f t="shared" si="0"/>
        <v>0</v>
      </c>
    </row>
    <row r="27" spans="2:9" s="557" customFormat="1" ht="2.4" customHeight="1">
      <c r="C27" s="561"/>
      <c r="D27" s="774" t="str">
        <f>+D8</f>
        <v>No de Indicadores con Meta Cumplida según programación</v>
      </c>
      <c r="E27" s="775">
        <f>+D25</f>
        <v>35</v>
      </c>
      <c r="H27" s="558"/>
    </row>
    <row r="28" spans="2:9" s="557" customFormat="1" ht="2.4" customHeight="1">
      <c r="C28" s="561"/>
      <c r="D28" s="774" t="str">
        <f>+E8</f>
        <v xml:space="preserve">No de Indicadores con ejecución superior a la programada </v>
      </c>
      <c r="E28" s="775">
        <f>+E25</f>
        <v>22</v>
      </c>
      <c r="H28" s="558"/>
    </row>
    <row r="29" spans="2:9" s="557" customFormat="1" ht="2.4" customHeight="1">
      <c r="C29" s="561"/>
      <c r="D29" s="774" t="str">
        <f>+F8</f>
        <v xml:space="preserve">No de Indicadores con ejecución menor a la programada </v>
      </c>
      <c r="E29" s="775">
        <f>+F25</f>
        <v>19</v>
      </c>
      <c r="H29" s="558"/>
    </row>
    <row r="30" spans="2:9" s="557" customFormat="1" ht="2.4" customHeight="1">
      <c r="C30" s="561"/>
      <c r="D30" s="774" t="str">
        <f>+G8</f>
        <v>No de indicadores sin programar en el periodo</v>
      </c>
      <c r="E30" s="775">
        <f>+G25</f>
        <v>11</v>
      </c>
      <c r="H30" s="558"/>
    </row>
    <row r="31" spans="2:9" s="557" customFormat="1">
      <c r="C31" s="558"/>
      <c r="D31" s="558"/>
      <c r="E31" s="558"/>
      <c r="H31" s="558"/>
    </row>
    <row r="32" spans="2:9" s="557" customFormat="1">
      <c r="C32" s="558"/>
      <c r="D32" s="558"/>
      <c r="E32" s="558"/>
      <c r="H32" s="558"/>
    </row>
    <row r="33" spans="2:9" s="557" customFormat="1" hidden="1">
      <c r="C33" s="558"/>
      <c r="D33" s="558"/>
      <c r="E33" s="558"/>
      <c r="H33" s="558"/>
    </row>
    <row r="34" spans="2:9" s="560" customFormat="1" ht="10.199999999999999" hidden="1" customHeight="1">
      <c r="C34" s="561"/>
      <c r="D34" s="1335" t="str">
        <f>+C7</f>
        <v>CUMPLIMIENTO PROGRAMACIÓN EN EL PERIODO 
Segundo Trimestre de 2022</v>
      </c>
      <c r="E34" s="1335"/>
      <c r="H34" s="561"/>
    </row>
    <row r="35" spans="2:9" s="560" customFormat="1" ht="28.2" customHeight="1">
      <c r="B35" s="1312" t="s">
        <v>711</v>
      </c>
      <c r="C35" s="1336" t="s">
        <v>1148</v>
      </c>
      <c r="D35" s="1337"/>
      <c r="E35" s="1337"/>
      <c r="F35" s="1337"/>
      <c r="G35" s="1338"/>
      <c r="H35" s="561"/>
    </row>
    <row r="36" spans="2:9" s="560" customFormat="1" ht="29.4" customHeight="1">
      <c r="B36" s="1312"/>
      <c r="C36" s="1347" t="s">
        <v>1157</v>
      </c>
      <c r="D36" s="1348"/>
      <c r="E36" s="1339">
        <f>C5</f>
        <v>44834</v>
      </c>
      <c r="F36" s="1339"/>
      <c r="G36" s="886"/>
      <c r="H36" s="561"/>
    </row>
    <row r="37" spans="2:9" s="560" customFormat="1" ht="72.599999999999994" customHeight="1">
      <c r="B37" s="1312"/>
      <c r="C37" s="546" t="s">
        <v>889</v>
      </c>
      <c r="D37" s="546" t="s">
        <v>1150</v>
      </c>
      <c r="E37" s="546" t="s">
        <v>891</v>
      </c>
      <c r="F37" s="546" t="s">
        <v>898</v>
      </c>
      <c r="G37" s="520" t="s">
        <v>917</v>
      </c>
      <c r="H37" s="561"/>
    </row>
    <row r="38" spans="2:9" s="560" customFormat="1" ht="19.95" customHeight="1">
      <c r="B38" s="478" t="s">
        <v>718</v>
      </c>
      <c r="C38" s="551">
        <f>+C64</f>
        <v>4</v>
      </c>
      <c r="D38" s="498">
        <f>COUNTIF('2.Infor Detallado Desempeño POA'!U12:U15,"&gt;=99%")-COUNTIF('2.Infor Detallado Desempeño POA'!U12:U15,"&gt;100%")</f>
        <v>3</v>
      </c>
      <c r="E38" s="499">
        <f>COUNTIF('2.Infor Detallado Desempeño POA'!U12:U15,"&gt;100%")</f>
        <v>1</v>
      </c>
      <c r="F38" s="549">
        <f>COUNTIF('2.Infor Detallado Desempeño POA'!U12:U15,"&lt;99%")</f>
        <v>0</v>
      </c>
      <c r="G38" s="547">
        <f>COUNTIF('2.Infor Detallado Desempeño POA'!U12:U15,"=No programado")</f>
        <v>0</v>
      </c>
      <c r="H38" s="496">
        <f>SUM(D38:G38)</f>
        <v>4</v>
      </c>
      <c r="I38" s="497">
        <f t="shared" ref="I38:I54" si="3">C38-H38</f>
        <v>0</v>
      </c>
    </row>
    <row r="39" spans="2:9" s="560" customFormat="1" ht="19.95" customHeight="1">
      <c r="B39" s="478" t="s">
        <v>720</v>
      </c>
      <c r="C39" s="551">
        <f t="shared" ref="C39:C53" si="4">+C65</f>
        <v>4</v>
      </c>
      <c r="D39" s="498">
        <f>COUNTIF('2.Infor Detallado Desempeño POA'!U21:U24,"&gt;=99%")-COUNTIF('2.Infor Detallado Desempeño POA'!U21:U24,"&gt;100%")</f>
        <v>1</v>
      </c>
      <c r="E39" s="499">
        <f>COUNTIF('2.Infor Detallado Desempeño POA'!U21:U24,"&gt;100%")</f>
        <v>1</v>
      </c>
      <c r="F39" s="549">
        <f>COUNTIF('2.Infor Detallado Desempeño POA'!U21:U24,"&lt;99%")</f>
        <v>0</v>
      </c>
      <c r="G39" s="547">
        <f>COUNTIF('2.Infor Detallado Desempeño POA'!U21:U24,"=No programado")</f>
        <v>2</v>
      </c>
      <c r="H39" s="496">
        <f t="shared" ref="H39:H40" si="5">SUM(D39:G39)</f>
        <v>4</v>
      </c>
      <c r="I39" s="497">
        <f t="shared" si="3"/>
        <v>0</v>
      </c>
    </row>
    <row r="40" spans="2:9" s="560" customFormat="1" ht="19.95" customHeight="1">
      <c r="B40" s="478" t="s">
        <v>721</v>
      </c>
      <c r="C40" s="551">
        <f t="shared" si="4"/>
        <v>7</v>
      </c>
      <c r="D40" s="498">
        <f>COUNTIF('2.Infor Detallado Desempeño POA'!U30:U36,"&gt;=99%")-COUNTIF('2.Infor Detallado Desempeño POA'!U30:U36,"&gt;100%")</f>
        <v>7</v>
      </c>
      <c r="E40" s="499">
        <f>COUNTIF('2.Infor Detallado Desempeño POA'!U30:U36,"&gt;100%")</f>
        <v>0</v>
      </c>
      <c r="F40" s="549">
        <f>COUNTIF('2.Infor Detallado Desempeño POA'!U30:U36,"&lt;99%")</f>
        <v>0</v>
      </c>
      <c r="G40" s="547">
        <f>COUNTIF('2.Infor Detallado Desempeño POA'!U30:U36,"=No programado")</f>
        <v>0</v>
      </c>
      <c r="H40" s="496">
        <f t="shared" si="5"/>
        <v>7</v>
      </c>
      <c r="I40" s="497">
        <f t="shared" si="3"/>
        <v>0</v>
      </c>
    </row>
    <row r="41" spans="2:9" s="560" customFormat="1" ht="19.95" customHeight="1">
      <c r="B41" s="478" t="s">
        <v>722</v>
      </c>
      <c r="C41" s="551">
        <f t="shared" si="4"/>
        <v>2</v>
      </c>
      <c r="D41" s="498">
        <f>COUNTIF('2.Infor Detallado Desempeño POA'!U42:U43,"&gt;=99%")-COUNTIF('2.Infor Detallado Desempeño POA'!U42:U43,"&gt;100%")</f>
        <v>2</v>
      </c>
      <c r="E41" s="499">
        <f>COUNTIF('2.Infor Detallado Desempeño POA'!U42:U43,"&gt;100%")</f>
        <v>0</v>
      </c>
      <c r="F41" s="549">
        <f>COUNTIF('2.Infor Detallado Desempeño POA'!U42:U43,"&lt;99%")</f>
        <v>0</v>
      </c>
      <c r="G41" s="547">
        <f>COUNTIF('2.Infor Detallado Desempeño POA'!U42:U43,"=No programado")</f>
        <v>0</v>
      </c>
      <c r="H41" s="496">
        <f>SUM(D41:G41)</f>
        <v>2</v>
      </c>
      <c r="I41" s="497">
        <f t="shared" si="3"/>
        <v>0</v>
      </c>
    </row>
    <row r="42" spans="2:9" s="560" customFormat="1" ht="19.95" customHeight="1">
      <c r="B42" s="478" t="s">
        <v>733</v>
      </c>
      <c r="C42" s="551">
        <f t="shared" si="4"/>
        <v>3</v>
      </c>
      <c r="D42" s="498">
        <f>COUNTIF('2.Infor Detallado Desempeño POA'!U49:U51,"&gt;=99%")-COUNTIF('2.Infor Detallado Desempeño POA'!U49:U51,"&gt;100%")</f>
        <v>1</v>
      </c>
      <c r="E42" s="499">
        <f>COUNTIF('2.Infor Detallado Desempeño POA'!U49:U51,"&gt;100%")</f>
        <v>1</v>
      </c>
      <c r="F42" s="549">
        <f>COUNTIF('2.Infor Detallado Desempeño POA'!U49:U51,"&lt;99%")</f>
        <v>0</v>
      </c>
      <c r="G42" s="547">
        <f>COUNTIF('2.Infor Detallado Desempeño POA'!U49:U51,"=No programado")</f>
        <v>1</v>
      </c>
      <c r="H42" s="496">
        <f t="shared" ref="H42:H53" si="6">SUM(D42:G42)</f>
        <v>3</v>
      </c>
      <c r="I42" s="497">
        <f t="shared" si="3"/>
        <v>0</v>
      </c>
    </row>
    <row r="43" spans="2:9" s="560" customFormat="1" ht="19.95" customHeight="1">
      <c r="B43" s="478" t="s">
        <v>723</v>
      </c>
      <c r="C43" s="551">
        <f t="shared" si="4"/>
        <v>20</v>
      </c>
      <c r="D43" s="498">
        <f>COUNTIF('2.Infor Detallado Desempeño POA'!U57:U76,"&gt;=99%")-COUNTIF('2.Infor Detallado Desempeño POA'!U57:U76,"&gt;100%")</f>
        <v>1</v>
      </c>
      <c r="E43" s="499">
        <f>COUNTIF('2.Infor Detallado Desempeño POA'!U57:U76,"&gt;100%")</f>
        <v>12</v>
      </c>
      <c r="F43" s="549">
        <f>COUNTIF('2.Infor Detallado Desempeño POA'!U57:U76,"&lt;99%")</f>
        <v>4</v>
      </c>
      <c r="G43" s="547">
        <f>COUNTIF('2.Infor Detallado Desempeño POA'!U57:U76,"=No programado")</f>
        <v>3</v>
      </c>
      <c r="H43" s="496">
        <f t="shared" si="6"/>
        <v>20</v>
      </c>
      <c r="I43" s="497">
        <f t="shared" si="3"/>
        <v>0</v>
      </c>
    </row>
    <row r="44" spans="2:9" s="560" customFormat="1" ht="19.95" customHeight="1">
      <c r="B44" s="478" t="s">
        <v>858</v>
      </c>
      <c r="C44" s="551">
        <f t="shared" si="4"/>
        <v>7</v>
      </c>
      <c r="D44" s="498">
        <f>COUNTIF('2.Infor Detallado Desempeño POA'!U82:U88,"&gt;=99%")-COUNTIF('2.Infor Detallado Desempeño POA'!U82:U88,"&gt;100%")</f>
        <v>0</v>
      </c>
      <c r="E44" s="499">
        <f>COUNTIF('2.Infor Detallado Desempeño POA'!U82:U88,"&gt;100%")</f>
        <v>2</v>
      </c>
      <c r="F44" s="549">
        <f>COUNTIF('2.Infor Detallado Desempeño POA'!U82:U88,"&lt;99%")</f>
        <v>4</v>
      </c>
      <c r="G44" s="547">
        <f>COUNTIF('2.Infor Detallado Desempeño POA'!U82:U88,"=No programado")</f>
        <v>1</v>
      </c>
      <c r="H44" s="496">
        <f t="shared" si="6"/>
        <v>7</v>
      </c>
      <c r="I44" s="497">
        <f t="shared" si="3"/>
        <v>0</v>
      </c>
    </row>
    <row r="45" spans="2:9" s="560" customFormat="1" ht="19.95" customHeight="1">
      <c r="B45" s="478" t="s">
        <v>726</v>
      </c>
      <c r="C45" s="551">
        <f t="shared" si="4"/>
        <v>8</v>
      </c>
      <c r="D45" s="498">
        <f>COUNTIF('2.Infor Detallado Desempeño POA'!U94:U101,"&gt;=99%")-COUNTIF('2.Infor Detallado Desempeño POA'!U94:U101,"&gt;100%")</f>
        <v>3</v>
      </c>
      <c r="E45" s="499">
        <f>COUNTIF('2.Infor Detallado Desempeño POA'!U94:U101,"&gt;100%")</f>
        <v>0</v>
      </c>
      <c r="F45" s="549">
        <f>COUNTIF('2.Infor Detallado Desempeño POA'!U94:U101,"&lt;99%")</f>
        <v>4</v>
      </c>
      <c r="G45" s="547">
        <f>COUNTIF('2.Infor Detallado Desempeño POA'!U94:U101,"=No programado")</f>
        <v>1</v>
      </c>
      <c r="H45" s="496">
        <f t="shared" si="6"/>
        <v>8</v>
      </c>
      <c r="I45" s="497">
        <f t="shared" si="3"/>
        <v>0</v>
      </c>
    </row>
    <row r="46" spans="2:9" s="560" customFormat="1" ht="19.95" customHeight="1">
      <c r="B46" s="478" t="s">
        <v>727</v>
      </c>
      <c r="C46" s="551">
        <f t="shared" si="4"/>
        <v>8</v>
      </c>
      <c r="D46" s="498">
        <f>COUNTIF('2.Infor Detallado Desempeño POA'!U107:U114,"&gt;=99%")-COUNTIF('2.Infor Detallado Desempeño POA'!U107:U114,"&gt;100%")</f>
        <v>6</v>
      </c>
      <c r="E46" s="499">
        <f>COUNTIF('2.Infor Detallado Desempeño POA'!U107:U114,"&gt;100%")</f>
        <v>1</v>
      </c>
      <c r="F46" s="549">
        <f>COUNTIF('2.Infor Detallado Desempeño POA'!U107:U114,"&lt;99%")</f>
        <v>1</v>
      </c>
      <c r="G46" s="547">
        <f>COUNTIF('2.Infor Detallado Desempeño POA'!U107:U114,"=No programado")</f>
        <v>0</v>
      </c>
      <c r="H46" s="496">
        <f t="shared" si="6"/>
        <v>8</v>
      </c>
      <c r="I46" s="497">
        <f t="shared" si="3"/>
        <v>0</v>
      </c>
    </row>
    <row r="47" spans="2:9" s="560" customFormat="1" ht="19.95" customHeight="1">
      <c r="B47" s="478" t="s">
        <v>728</v>
      </c>
      <c r="C47" s="551">
        <f t="shared" si="4"/>
        <v>2</v>
      </c>
      <c r="D47" s="498">
        <f>COUNTIF('2.Infor Detallado Desempeño POA'!U120:U121,"&gt;=99%")-COUNTIF('2.Infor Detallado Desempeño POA'!U120:U121,"&gt;100%")</f>
        <v>1</v>
      </c>
      <c r="E47" s="499">
        <f>COUNTIF('2.Infor Detallado Desempeño POA'!U120:U121,"&gt;100%")</f>
        <v>1</v>
      </c>
      <c r="F47" s="549">
        <f>COUNTIF('2.Infor Detallado Desempeño POA'!U120:U121,"&lt;99%")</f>
        <v>0</v>
      </c>
      <c r="G47" s="547">
        <f>COUNTIF('2.Infor Detallado Desempeño POA'!U120:U121,"=No programado")</f>
        <v>0</v>
      </c>
      <c r="H47" s="496">
        <f t="shared" si="6"/>
        <v>2</v>
      </c>
      <c r="I47" s="497">
        <f t="shared" si="3"/>
        <v>0</v>
      </c>
    </row>
    <row r="48" spans="2:9" s="560" customFormat="1" ht="19.95" customHeight="1">
      <c r="B48" s="478" t="s">
        <v>729</v>
      </c>
      <c r="C48" s="551">
        <f t="shared" si="4"/>
        <v>3</v>
      </c>
      <c r="D48" s="498">
        <f>COUNTIF('2.Infor Detallado Desempeño POA'!U127:U129,"&gt;=99%")-COUNTIF('2.Infor Detallado Desempeño POA'!U127:U129,"&gt;100%")</f>
        <v>1</v>
      </c>
      <c r="E48" s="499">
        <f>COUNTIF('2.Infor Detallado Desempeño POA'!U127:U129,"&gt;100%")</f>
        <v>2</v>
      </c>
      <c r="F48" s="549">
        <f>COUNTIF('2.Infor Detallado Desempeño POA'!U127:U129,"&lt;99%")</f>
        <v>0</v>
      </c>
      <c r="G48" s="547">
        <f>COUNTIF('2.Infor Detallado Desempeño POA'!U127:U129,"=No programado")</f>
        <v>0</v>
      </c>
      <c r="H48" s="496">
        <f t="shared" si="6"/>
        <v>3</v>
      </c>
      <c r="I48" s="497">
        <f t="shared" si="3"/>
        <v>0</v>
      </c>
    </row>
    <row r="49" spans="2:17" s="560" customFormat="1" ht="19.95" customHeight="1">
      <c r="B49" s="478" t="s">
        <v>730</v>
      </c>
      <c r="C49" s="551">
        <f t="shared" si="4"/>
        <v>4</v>
      </c>
      <c r="D49" s="498">
        <f>COUNTIF('2.Infor Detallado Desempeño POA'!U135:U138,"&gt;=99%")-COUNTIF('2.Infor Detallado Desempeño POA'!U135:U138,"&gt;100%")</f>
        <v>0</v>
      </c>
      <c r="E49" s="499">
        <f>COUNTIF('2.Infor Detallado Desempeño POA'!U135:U138,"&gt;100%")</f>
        <v>2</v>
      </c>
      <c r="F49" s="549">
        <f>COUNTIF('2.Infor Detallado Desempeño POA'!U135:U138,"&lt;99%")</f>
        <v>2</v>
      </c>
      <c r="G49" s="547">
        <f>COUNTIF('2.Infor Detallado Desempeño POA'!U135:U138,"=No programado")</f>
        <v>0</v>
      </c>
      <c r="H49" s="496">
        <f t="shared" si="6"/>
        <v>4</v>
      </c>
      <c r="I49" s="497">
        <f t="shared" si="3"/>
        <v>0</v>
      </c>
    </row>
    <row r="50" spans="2:17" s="560" customFormat="1" ht="19.95" customHeight="1">
      <c r="B50" s="478" t="s">
        <v>731</v>
      </c>
      <c r="C50" s="551">
        <f t="shared" si="4"/>
        <v>4</v>
      </c>
      <c r="D50" s="498">
        <f>COUNTIF('2.Infor Detallado Desempeño POA'!U144:U147,"&gt;=99%")-COUNTIF('2.Infor Detallado Desempeño POA'!U144:U147,"&gt;100%")</f>
        <v>1</v>
      </c>
      <c r="E50" s="499">
        <f>COUNTIF('2.Infor Detallado Desempeño POA'!U144:U147,"&gt;100%")</f>
        <v>3</v>
      </c>
      <c r="F50" s="549">
        <f>COUNTIF('2.Infor Detallado Desempeño POA'!U144:U147,"&lt;99%")</f>
        <v>0</v>
      </c>
      <c r="G50" s="547">
        <f>COUNTIF('2.Infor Detallado Desempeño POA'!U144:U147,"=No programado")</f>
        <v>0</v>
      </c>
      <c r="H50" s="496">
        <f t="shared" si="6"/>
        <v>4</v>
      </c>
      <c r="I50" s="497">
        <f t="shared" si="3"/>
        <v>0</v>
      </c>
    </row>
    <row r="51" spans="2:17" s="560" customFormat="1" ht="19.95" customHeight="1">
      <c r="B51" s="478" t="s">
        <v>732</v>
      </c>
      <c r="C51" s="551">
        <f t="shared" si="4"/>
        <v>5</v>
      </c>
      <c r="D51" s="498">
        <f>COUNTIF('2.Infor Detallado Desempeño POA'!U153:U157,"&gt;=99%")-COUNTIF('2.Infor Detallado Desempeño POA'!U153:U157,"&gt;100%")</f>
        <v>5</v>
      </c>
      <c r="E51" s="499">
        <f>COUNTIF('2.Infor Detallado Desempeño POA'!U153:U157,"&gt;100%")</f>
        <v>0</v>
      </c>
      <c r="F51" s="549">
        <f>COUNTIF('2.Infor Detallado Desempeño POA'!U153:U157,"&lt;99%")</f>
        <v>0</v>
      </c>
      <c r="G51" s="547">
        <f>COUNTIF('2.Infor Detallado Desempeño POA'!U153:U157,"=No programado")</f>
        <v>0</v>
      </c>
      <c r="H51" s="496">
        <f t="shared" si="6"/>
        <v>5</v>
      </c>
      <c r="I51" s="497">
        <f t="shared" si="3"/>
        <v>0</v>
      </c>
    </row>
    <row r="52" spans="2:17" s="560" customFormat="1" ht="19.95" customHeight="1">
      <c r="B52" s="478" t="s">
        <v>734</v>
      </c>
      <c r="C52" s="551">
        <f t="shared" si="4"/>
        <v>3</v>
      </c>
      <c r="D52" s="498">
        <f>COUNTIF('2.Infor Detallado Desempeño POA'!U163:U165,"&gt;=99%")-COUNTIF('2.Infor Detallado Desempeño POA'!U163:U165,"&gt;100%")</f>
        <v>1</v>
      </c>
      <c r="E52" s="499">
        <f>COUNTIF('2.Infor Detallado Desempeño POA'!U163:U165,"&gt;100%")</f>
        <v>2</v>
      </c>
      <c r="F52" s="549">
        <f>COUNTIF('2.Infor Detallado Desempeño POA'!U163:U165,"&lt;99%")</f>
        <v>0</v>
      </c>
      <c r="G52" s="547">
        <f>COUNTIF('2.Infor Detallado Desempeño POA'!U163:U165,"=No programado")</f>
        <v>0</v>
      </c>
      <c r="H52" s="496">
        <f t="shared" si="6"/>
        <v>3</v>
      </c>
      <c r="I52" s="497">
        <f t="shared" si="3"/>
        <v>0</v>
      </c>
    </row>
    <row r="53" spans="2:17" s="560" customFormat="1" ht="19.95" customHeight="1">
      <c r="B53" s="478" t="s">
        <v>735</v>
      </c>
      <c r="C53" s="551">
        <f t="shared" si="4"/>
        <v>3</v>
      </c>
      <c r="D53" s="498">
        <f>COUNTIF('2.Infor Detallado Desempeño POA'!U171:U173,"&gt;=99%")-COUNTIF('2.Infor Detallado Desempeño POA'!U171:U173,"&gt;100%")</f>
        <v>2</v>
      </c>
      <c r="E53" s="499">
        <f>COUNTIF('2.Infor Detallado Desempeño POA'!U171:U173,"&gt;100%")</f>
        <v>0</v>
      </c>
      <c r="F53" s="549">
        <f>COUNTIF('2.Infor Detallado Desempeño POA'!U171:U173,"&lt;99%")</f>
        <v>0</v>
      </c>
      <c r="G53" s="547">
        <f>COUNTIF('2.Infor Detallado Desempeño POA'!U171:U173,"=No programado")</f>
        <v>1</v>
      </c>
      <c r="H53" s="496">
        <f t="shared" si="6"/>
        <v>3</v>
      </c>
      <c r="I53" s="497">
        <f t="shared" si="3"/>
        <v>0</v>
      </c>
    </row>
    <row r="54" spans="2:17" s="560" customFormat="1" ht="19.95" customHeight="1">
      <c r="B54" s="511" t="s">
        <v>887</v>
      </c>
      <c r="C54" s="512">
        <f>SUM(C38:C53)</f>
        <v>87</v>
      </c>
      <c r="D54" s="513">
        <f t="shared" ref="D54:E54" si="7">SUM(D38:D53)</f>
        <v>35</v>
      </c>
      <c r="E54" s="514">
        <f t="shared" si="7"/>
        <v>28</v>
      </c>
      <c r="F54" s="550">
        <f>SUM(F38:F53)</f>
        <v>15</v>
      </c>
      <c r="G54" s="548">
        <f>SUM(G38:G53)</f>
        <v>9</v>
      </c>
      <c r="H54" s="496">
        <f>SUM(D54:G54)</f>
        <v>87</v>
      </c>
      <c r="I54" s="497">
        <f t="shared" si="3"/>
        <v>0</v>
      </c>
    </row>
    <row r="55" spans="2:17" s="560" customFormat="1" ht="19.95" customHeight="1">
      <c r="B55" s="771"/>
      <c r="C55" s="773"/>
      <c r="D55" s="773"/>
      <c r="E55" s="773"/>
      <c r="F55" s="773"/>
      <c r="G55" s="773"/>
      <c r="H55" s="772"/>
      <c r="I55" s="497"/>
    </row>
    <row r="56" spans="2:17" s="560" customFormat="1" ht="3" customHeight="1">
      <c r="C56" s="776"/>
      <c r="D56" s="774" t="str">
        <f>+D37</f>
        <v>No de Indicadores con Meta Cumplida según progrLación</v>
      </c>
      <c r="E56" s="775">
        <f>+D54</f>
        <v>35</v>
      </c>
      <c r="F56" s="777"/>
      <c r="G56" s="778"/>
      <c r="H56" s="561"/>
    </row>
    <row r="57" spans="2:17" s="560" customFormat="1" ht="3" customHeight="1">
      <c r="C57" s="776"/>
      <c r="D57" s="774" t="str">
        <f>+E37</f>
        <v xml:space="preserve">No de Indicadores con ejecución superior a la programada </v>
      </c>
      <c r="E57" s="775">
        <f>+E54</f>
        <v>28</v>
      </c>
      <c r="F57" s="777"/>
      <c r="G57" s="778"/>
      <c r="H57" s="561"/>
    </row>
    <row r="58" spans="2:17" s="560" customFormat="1" ht="3" customHeight="1">
      <c r="C58" s="776"/>
      <c r="D58" s="774" t="str">
        <f>+F37</f>
        <v xml:space="preserve">No de Indicadores con ejecución menor a la programada </v>
      </c>
      <c r="E58" s="775">
        <f>+F54</f>
        <v>15</v>
      </c>
      <c r="F58" s="777"/>
      <c r="G58" s="778"/>
      <c r="H58" s="561"/>
    </row>
    <row r="59" spans="2:17" s="560" customFormat="1" ht="3" customHeight="1">
      <c r="C59" s="776"/>
      <c r="D59" s="774" t="str">
        <f>+G37</f>
        <v>No de indicadores sin programar en el periodo</v>
      </c>
      <c r="E59" s="775">
        <f>+G54</f>
        <v>9</v>
      </c>
      <c r="F59" s="777"/>
      <c r="G59" s="778"/>
      <c r="H59" s="561"/>
    </row>
    <row r="60" spans="2:17" s="560" customFormat="1" ht="10.199999999999999" customHeight="1">
      <c r="C60" s="561"/>
      <c r="D60" s="561"/>
      <c r="E60" s="562">
        <f>SUM(E27:E30)</f>
        <v>87</v>
      </c>
      <c r="F60" s="559"/>
      <c r="H60" s="561"/>
    </row>
    <row r="61" spans="2:17" ht="15.6" thickBot="1"/>
    <row r="62" spans="2:17" s="485" customFormat="1" ht="15.6">
      <c r="B62" s="1340" t="s">
        <v>744</v>
      </c>
      <c r="C62" s="1342" t="s">
        <v>885</v>
      </c>
      <c r="D62" s="1344" t="s">
        <v>886</v>
      </c>
      <c r="E62" s="1345"/>
      <c r="F62" s="1346"/>
      <c r="P62" s="473"/>
      <c r="Q62" s="473"/>
    </row>
    <row r="63" spans="2:17" ht="33" customHeight="1">
      <c r="B63" s="1341"/>
      <c r="C63" s="1343"/>
      <c r="D63" s="870" t="s">
        <v>753</v>
      </c>
      <c r="E63" s="870" t="s">
        <v>757</v>
      </c>
      <c r="F63" s="488" t="s">
        <v>761</v>
      </c>
      <c r="H63" s="473"/>
    </row>
    <row r="64" spans="2:17">
      <c r="B64" s="489" t="s">
        <v>718</v>
      </c>
      <c r="C64" s="490">
        <f>+'3.Resum Desemp Procesos POA T1'!C41</f>
        <v>4</v>
      </c>
      <c r="D64" s="490">
        <f>+'Rango indicadores'!E111</f>
        <v>4</v>
      </c>
      <c r="E64" s="490">
        <f>+'Rango indicadores'!F111</f>
        <v>0</v>
      </c>
      <c r="F64" s="491">
        <f>+'Rango indicadores'!G111</f>
        <v>0</v>
      </c>
      <c r="H64" s="473"/>
    </row>
    <row r="65" spans="2:8">
      <c r="B65" s="489" t="s">
        <v>720</v>
      </c>
      <c r="C65" s="490">
        <f>+'3.Resum Desemp Procesos POA T1'!C42</f>
        <v>4</v>
      </c>
      <c r="D65" s="490">
        <f>+'Rango indicadores'!E112</f>
        <v>4</v>
      </c>
      <c r="E65" s="490">
        <f>+'Rango indicadores'!F112</f>
        <v>0</v>
      </c>
      <c r="F65" s="491">
        <f>+'Rango indicadores'!G112</f>
        <v>0</v>
      </c>
      <c r="H65" s="473"/>
    </row>
    <row r="66" spans="2:8">
      <c r="B66" s="489" t="s">
        <v>721</v>
      </c>
      <c r="C66" s="490">
        <f>+'3.Resum Desemp Procesos POA T1'!C43</f>
        <v>7</v>
      </c>
      <c r="D66" s="490">
        <f>+'Rango indicadores'!E113</f>
        <v>7</v>
      </c>
      <c r="E66" s="490">
        <f>+'Rango indicadores'!F113</f>
        <v>0</v>
      </c>
      <c r="F66" s="491">
        <f>+'Rango indicadores'!G113</f>
        <v>0</v>
      </c>
      <c r="H66" s="473"/>
    </row>
    <row r="67" spans="2:8">
      <c r="B67" s="489" t="s">
        <v>722</v>
      </c>
      <c r="C67" s="490">
        <f>+'3.Resum Desemp Procesos POA T1'!C44</f>
        <v>2</v>
      </c>
      <c r="D67" s="490">
        <f>+'Rango indicadores'!E114</f>
        <v>2</v>
      </c>
      <c r="E67" s="490">
        <f>+'Rango indicadores'!F114</f>
        <v>0</v>
      </c>
      <c r="F67" s="491">
        <f>+'Rango indicadores'!G114</f>
        <v>0</v>
      </c>
      <c r="H67" s="473"/>
    </row>
    <row r="68" spans="2:8">
      <c r="B68" s="489" t="s">
        <v>733</v>
      </c>
      <c r="C68" s="490">
        <f>+'3.Resum Desemp Procesos POA T1'!C45</f>
        <v>3</v>
      </c>
      <c r="D68" s="490">
        <f>+'Rango indicadores'!E115</f>
        <v>20</v>
      </c>
      <c r="E68" s="490">
        <f>+'Rango indicadores'!F115</f>
        <v>0</v>
      </c>
      <c r="F68" s="491">
        <f>+'Rango indicadores'!G115</f>
        <v>0</v>
      </c>
      <c r="H68" s="473"/>
    </row>
    <row r="69" spans="2:8">
      <c r="B69" s="489" t="s">
        <v>723</v>
      </c>
      <c r="C69" s="490">
        <f>+'3.Resum Desemp Procesos POA T1'!C47</f>
        <v>20</v>
      </c>
      <c r="D69" s="490">
        <f>+'Rango indicadores'!E116</f>
        <v>7</v>
      </c>
      <c r="E69" s="490">
        <f>+'Rango indicadores'!F116</f>
        <v>0</v>
      </c>
      <c r="F69" s="491">
        <f>+'Rango indicadores'!G116</f>
        <v>0</v>
      </c>
      <c r="H69" s="473"/>
    </row>
    <row r="70" spans="2:8">
      <c r="B70" s="489" t="s">
        <v>858</v>
      </c>
      <c r="C70" s="490">
        <f>+'3.Resum Desemp Procesos POA T1'!C48</f>
        <v>7</v>
      </c>
      <c r="D70" s="490">
        <f>+'Rango indicadores'!E117</f>
        <v>8</v>
      </c>
      <c r="E70" s="490">
        <f>+'Rango indicadores'!F117</f>
        <v>0</v>
      </c>
      <c r="F70" s="491">
        <f>+'Rango indicadores'!G117</f>
        <v>0</v>
      </c>
      <c r="H70" s="473"/>
    </row>
    <row r="71" spans="2:8">
      <c r="B71" s="489" t="s">
        <v>726</v>
      </c>
      <c r="C71" s="490">
        <f>+'3.Resum Desemp Procesos POA T1'!C49</f>
        <v>8</v>
      </c>
      <c r="D71" s="490">
        <f>+'Rango indicadores'!E118</f>
        <v>7</v>
      </c>
      <c r="E71" s="490">
        <f>+'Rango indicadores'!F118</f>
        <v>0</v>
      </c>
      <c r="F71" s="491">
        <f>+'Rango indicadores'!G118</f>
        <v>1</v>
      </c>
      <c r="H71" s="473"/>
    </row>
    <row r="72" spans="2:8">
      <c r="B72" s="489" t="s">
        <v>727</v>
      </c>
      <c r="C72" s="490">
        <f>+'3.Resum Desemp Procesos POA T1'!C51</f>
        <v>8</v>
      </c>
      <c r="D72" s="490">
        <f>+'Rango indicadores'!E119</f>
        <v>2</v>
      </c>
      <c r="E72" s="490">
        <f>+'Rango indicadores'!F119</f>
        <v>0</v>
      </c>
      <c r="F72" s="491">
        <f>+'Rango indicadores'!G119</f>
        <v>0</v>
      </c>
      <c r="H72" s="473"/>
    </row>
    <row r="73" spans="2:8">
      <c r="B73" s="489" t="s">
        <v>728</v>
      </c>
      <c r="C73" s="490">
        <f>+'3.Resum Desemp Procesos POA T1'!C52</f>
        <v>2</v>
      </c>
      <c r="D73" s="490">
        <f>+'Rango indicadores'!E120</f>
        <v>3</v>
      </c>
      <c r="E73" s="490">
        <f>+'Rango indicadores'!F120</f>
        <v>0</v>
      </c>
      <c r="F73" s="491">
        <f>+'Rango indicadores'!G120</f>
        <v>0</v>
      </c>
      <c r="H73" s="473"/>
    </row>
    <row r="74" spans="2:8">
      <c r="B74" s="489" t="s">
        <v>729</v>
      </c>
      <c r="C74" s="490">
        <f>+'3.Resum Desemp Procesos POA T1'!C53</f>
        <v>3</v>
      </c>
      <c r="D74" s="490">
        <f>+'Rango indicadores'!E121</f>
        <v>1</v>
      </c>
      <c r="E74" s="490">
        <f>+'Rango indicadores'!F121</f>
        <v>3</v>
      </c>
      <c r="F74" s="491">
        <f>+'Rango indicadores'!G121</f>
        <v>0</v>
      </c>
      <c r="H74" s="473"/>
    </row>
    <row r="75" spans="2:8">
      <c r="B75" s="489" t="s">
        <v>730</v>
      </c>
      <c r="C75" s="490">
        <f>+'3.Resum Desemp Procesos POA T1'!C54</f>
        <v>4</v>
      </c>
      <c r="D75" s="490">
        <f>+'Rango indicadores'!E122</f>
        <v>3</v>
      </c>
      <c r="E75" s="490">
        <f>+'Rango indicadores'!F122</f>
        <v>1</v>
      </c>
      <c r="F75" s="491">
        <f>+'Rango indicadores'!G122</f>
        <v>0</v>
      </c>
      <c r="H75" s="473"/>
    </row>
    <row r="76" spans="2:8">
      <c r="B76" s="489" t="s">
        <v>731</v>
      </c>
      <c r="C76" s="490">
        <f>+'3.Resum Desemp Procesos POA T1'!C55</f>
        <v>4</v>
      </c>
      <c r="D76" s="490">
        <f>+'Rango indicadores'!E123</f>
        <v>5</v>
      </c>
      <c r="E76" s="490">
        <f>+'Rango indicadores'!F123</f>
        <v>0</v>
      </c>
      <c r="F76" s="491">
        <f>+'Rango indicadores'!G123</f>
        <v>0</v>
      </c>
      <c r="H76" s="473"/>
    </row>
    <row r="77" spans="2:8">
      <c r="B77" s="489" t="s">
        <v>732</v>
      </c>
      <c r="C77" s="490">
        <f>+'3.Resum Desemp Procesos POA T1'!C56</f>
        <v>5</v>
      </c>
      <c r="D77" s="490">
        <f>+'Rango indicadores'!E124</f>
        <v>3</v>
      </c>
      <c r="E77" s="490">
        <f>+'Rango indicadores'!F124</f>
        <v>0</v>
      </c>
      <c r="F77" s="491">
        <f>+'Rango indicadores'!G124</f>
        <v>0</v>
      </c>
      <c r="H77" s="473"/>
    </row>
    <row r="78" spans="2:8">
      <c r="B78" s="489" t="s">
        <v>734</v>
      </c>
      <c r="C78" s="490">
        <f>+'3.Resum Desemp Procesos POA T1'!C58</f>
        <v>3</v>
      </c>
      <c r="D78" s="490">
        <f>+'Rango indicadores'!E125</f>
        <v>3</v>
      </c>
      <c r="E78" s="490">
        <f>+'Rango indicadores'!F125</f>
        <v>0</v>
      </c>
      <c r="F78" s="491">
        <f>+'Rango indicadores'!G125</f>
        <v>0</v>
      </c>
      <c r="H78" s="473"/>
    </row>
    <row r="79" spans="2:8">
      <c r="B79" s="489" t="s">
        <v>735</v>
      </c>
      <c r="C79" s="490">
        <f>+'3.Resum Desemp Procesos POA T1'!C59</f>
        <v>3</v>
      </c>
      <c r="D79" s="490">
        <f>+'Rango indicadores'!E126</f>
        <v>3</v>
      </c>
      <c r="E79" s="490">
        <f>+'Rango indicadores'!F126</f>
        <v>0</v>
      </c>
      <c r="F79" s="491">
        <f>+'Rango indicadores'!G126</f>
        <v>0</v>
      </c>
      <c r="H79" s="473"/>
    </row>
    <row r="80" spans="2:8" ht="16.2" thickBot="1">
      <c r="B80" s="492" t="s">
        <v>887</v>
      </c>
      <c r="C80" s="493">
        <f>SUM(C64:C79)</f>
        <v>87</v>
      </c>
      <c r="D80" s="493">
        <f>SUM(D64:D79)</f>
        <v>82</v>
      </c>
      <c r="E80" s="493">
        <f>SUM(E64:E79)</f>
        <v>4</v>
      </c>
      <c r="F80" s="494">
        <f>SUM(F64:F79)</f>
        <v>1</v>
      </c>
      <c r="H80" s="473"/>
    </row>
    <row r="81" spans="8:8">
      <c r="H81" s="473"/>
    </row>
    <row r="82" spans="8:8">
      <c r="H82" s="473"/>
    </row>
    <row r="84" spans="8:8" ht="15" customHeight="1"/>
  </sheetData>
  <mergeCells count="14">
    <mergeCell ref="B2:B3"/>
    <mergeCell ref="C2:G2"/>
    <mergeCell ref="C3:G3"/>
    <mergeCell ref="B4:F4"/>
    <mergeCell ref="B7:B8"/>
    <mergeCell ref="C7:G7"/>
    <mergeCell ref="D34:E34"/>
    <mergeCell ref="B35:B37"/>
    <mergeCell ref="C35:G35"/>
    <mergeCell ref="E36:F36"/>
    <mergeCell ref="B62:B63"/>
    <mergeCell ref="C62:C63"/>
    <mergeCell ref="D62:F62"/>
    <mergeCell ref="C36:D3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C51B-AEF1-4586-8C8A-932837EBA963}">
  <sheetPr>
    <tabColor rgb="FF0070C0"/>
  </sheetPr>
  <dimension ref="B1:V116"/>
  <sheetViews>
    <sheetView showGridLines="0" topLeftCell="B33" zoomScale="85" zoomScaleNormal="85" workbookViewId="0">
      <selection activeCell="F41" sqref="F41"/>
    </sheetView>
  </sheetViews>
  <sheetFormatPr baseColWidth="10" defaultColWidth="11.44140625" defaultRowHeight="15" customHeight="1" zeroHeight="1"/>
  <cols>
    <col min="1" max="1" width="3.6640625" style="473" customWidth="1"/>
    <col min="2" max="2" width="47.33203125" style="473" customWidth="1"/>
    <col min="3" max="3" width="20.33203125" style="475" customWidth="1"/>
    <col min="4" max="4" width="18.88671875" style="475" customWidth="1"/>
    <col min="5" max="5" width="22.6640625" style="475" customWidth="1"/>
    <col min="6" max="6" width="19.44140625" style="473" customWidth="1"/>
    <col min="7" max="7" width="47" style="473" customWidth="1"/>
    <col min="8" max="15" width="11.44140625" style="473"/>
    <col min="16" max="16" width="62.44140625" style="473" bestFit="1" customWidth="1"/>
    <col min="17" max="17" width="40" style="473" customWidth="1"/>
    <col min="18" max="16355" width="11.44140625" style="473"/>
    <col min="16356" max="16356" width="1.44140625" style="473" customWidth="1"/>
    <col min="16357" max="16384" width="2.88671875" style="473" customWidth="1"/>
  </cols>
  <sheetData>
    <row r="1" spans="2:22" s="413" customFormat="1">
      <c r="D1" s="416"/>
      <c r="E1" s="414"/>
      <c r="F1" s="415"/>
      <c r="G1" s="415"/>
      <c r="H1" s="415"/>
      <c r="I1" s="415"/>
      <c r="J1" s="415"/>
      <c r="K1" s="415"/>
      <c r="L1" s="415"/>
      <c r="V1" s="416"/>
    </row>
    <row r="2" spans="2:22" s="413" customFormat="1" ht="28.95" customHeight="1">
      <c r="B2" s="1349" t="s">
        <v>883</v>
      </c>
      <c r="C2" s="1368" t="s">
        <v>892</v>
      </c>
      <c r="D2" s="1368"/>
      <c r="E2" s="1368"/>
      <c r="F2" s="1368"/>
      <c r="G2" s="1368"/>
      <c r="H2" s="1368"/>
      <c r="I2" s="467"/>
      <c r="J2" s="467"/>
      <c r="K2" s="467"/>
      <c r="L2" s="467"/>
      <c r="M2" s="467"/>
      <c r="N2" s="877"/>
      <c r="O2" s="877"/>
      <c r="P2" s="877"/>
      <c r="Q2" s="877"/>
      <c r="R2" s="877"/>
      <c r="S2" s="877"/>
      <c r="T2" s="877"/>
      <c r="U2" s="877"/>
      <c r="V2" s="416"/>
    </row>
    <row r="3" spans="2:22" s="413" customFormat="1" ht="17.399999999999999" customHeight="1">
      <c r="B3" s="1349"/>
      <c r="C3" s="1369" t="s">
        <v>1144</v>
      </c>
      <c r="D3" s="1369"/>
      <c r="E3" s="1369"/>
      <c r="F3" s="1369"/>
      <c r="G3" s="1369"/>
      <c r="H3" s="1369"/>
      <c r="I3" s="466"/>
      <c r="J3" s="466"/>
      <c r="K3" s="466"/>
      <c r="L3" s="466"/>
      <c r="M3" s="466"/>
      <c r="N3" s="876"/>
      <c r="O3" s="876"/>
      <c r="P3" s="876"/>
      <c r="Q3" s="876"/>
      <c r="R3" s="876"/>
      <c r="S3" s="876"/>
      <c r="T3" s="876"/>
      <c r="U3" s="876"/>
      <c r="V3" s="417"/>
    </row>
    <row r="4" spans="2:22" s="413" customFormat="1" ht="6" customHeight="1">
      <c r="B4" s="500"/>
      <c r="D4" s="1370"/>
      <c r="E4" s="1370"/>
      <c r="F4" s="1370"/>
      <c r="G4" s="1370"/>
      <c r="H4" s="1370"/>
      <c r="I4" s="458"/>
      <c r="J4" s="458"/>
      <c r="K4" s="458"/>
      <c r="L4" s="458"/>
      <c r="M4" s="458"/>
      <c r="N4" s="874"/>
      <c r="O4" s="874"/>
      <c r="P4" s="874"/>
      <c r="Q4" s="874"/>
      <c r="R4" s="874"/>
      <c r="S4" s="874"/>
      <c r="T4" s="874"/>
      <c r="U4" s="874"/>
      <c r="V4" s="418"/>
    </row>
    <row r="5" spans="2:22" s="413" customFormat="1" ht="19.5" customHeight="1">
      <c r="B5" s="863" t="str">
        <f>+'2.Infor Detallado Desempeño POA'!C7</f>
        <v xml:space="preserve">Fecha de corte: </v>
      </c>
      <c r="C5" s="890">
        <v>44834</v>
      </c>
      <c r="D5" s="459"/>
      <c r="E5" s="419"/>
      <c r="V5" s="416"/>
    </row>
    <row r="6" spans="2:22" ht="1.95" customHeight="1">
      <c r="B6" s="476"/>
    </row>
    <row r="7" spans="2:22" ht="8.4" customHeight="1">
      <c r="B7" s="476"/>
    </row>
    <row r="8" spans="2:22" ht="54" customHeight="1">
      <c r="B8" s="872" t="s">
        <v>744</v>
      </c>
      <c r="C8" s="871" t="s">
        <v>1145</v>
      </c>
      <c r="D8" s="477"/>
      <c r="E8" s="473"/>
    </row>
    <row r="9" spans="2:22">
      <c r="B9" s="478" t="s">
        <v>718</v>
      </c>
      <c r="C9" s="479">
        <f>+F41</f>
        <v>0.58378571428571424</v>
      </c>
      <c r="D9" s="480"/>
      <c r="E9" s="473"/>
    </row>
    <row r="10" spans="2:22">
      <c r="B10" s="478" t="s">
        <v>720</v>
      </c>
      <c r="C10" s="479">
        <f>+F42</f>
        <v>0.26315789473684215</v>
      </c>
      <c r="D10" s="480"/>
      <c r="E10" s="473"/>
      <c r="H10" s="531"/>
      <c r="I10" s="532" t="s">
        <v>1146</v>
      </c>
    </row>
    <row r="11" spans="2:22">
      <c r="B11" s="478" t="s">
        <v>721</v>
      </c>
      <c r="C11" s="479">
        <f>+F43</f>
        <v>0.5</v>
      </c>
      <c r="D11" s="480"/>
      <c r="E11" s="473"/>
      <c r="H11" s="770"/>
      <c r="I11" s="532" t="s">
        <v>899</v>
      </c>
    </row>
    <row r="12" spans="2:22">
      <c r="B12" s="478" t="s">
        <v>722</v>
      </c>
      <c r="C12" s="479">
        <f>+F44</f>
        <v>0.5</v>
      </c>
      <c r="D12" s="480"/>
      <c r="E12" s="473"/>
      <c r="H12" s="533"/>
      <c r="I12" s="532" t="s">
        <v>900</v>
      </c>
    </row>
    <row r="13" spans="2:22">
      <c r="B13" s="478" t="s">
        <v>733</v>
      </c>
      <c r="C13" s="479">
        <f>+F45</f>
        <v>0.57740740740740737</v>
      </c>
      <c r="D13" s="481"/>
      <c r="E13" s="473"/>
      <c r="H13" s="534"/>
      <c r="I13" s="532" t="s">
        <v>901</v>
      </c>
    </row>
    <row r="14" spans="2:22">
      <c r="B14" s="478" t="s">
        <v>723</v>
      </c>
      <c r="C14" s="479">
        <f>+F47</f>
        <v>0.53085099681429748</v>
      </c>
      <c r="D14" s="480"/>
      <c r="E14" s="473"/>
    </row>
    <row r="15" spans="2:22">
      <c r="B15" s="478" t="s">
        <v>858</v>
      </c>
      <c r="C15" s="479">
        <f>+F48</f>
        <v>0.2550677822532833</v>
      </c>
      <c r="D15" s="480"/>
      <c r="E15" s="473"/>
    </row>
    <row r="16" spans="2:22">
      <c r="B16" s="478" t="s">
        <v>726</v>
      </c>
      <c r="C16" s="479">
        <f>+F49</f>
        <v>0.39768750000000003</v>
      </c>
      <c r="D16" s="480"/>
      <c r="E16" s="473"/>
    </row>
    <row r="17" spans="2:17">
      <c r="B17" s="478" t="s">
        <v>727</v>
      </c>
      <c r="C17" s="479">
        <f t="shared" ref="C17:C22" si="0">+F51</f>
        <v>0.50473979591836726</v>
      </c>
      <c r="D17" s="480"/>
      <c r="E17" s="473"/>
    </row>
    <row r="18" spans="2:17">
      <c r="B18" s="478" t="s">
        <v>728</v>
      </c>
      <c r="C18" s="479">
        <f t="shared" si="0"/>
        <v>0.53170103092783505</v>
      </c>
      <c r="D18" s="480"/>
      <c r="E18" s="473"/>
    </row>
    <row r="19" spans="2:17">
      <c r="B19" s="478" t="s">
        <v>729</v>
      </c>
      <c r="C19" s="479">
        <f t="shared" si="0"/>
        <v>0.48954385964912284</v>
      </c>
      <c r="D19" s="480"/>
      <c r="E19" s="473"/>
    </row>
    <row r="20" spans="2:17">
      <c r="B20" s="478" t="s">
        <v>730</v>
      </c>
      <c r="C20" s="479">
        <f t="shared" si="0"/>
        <v>0.56132401315789471</v>
      </c>
      <c r="D20" s="480"/>
      <c r="E20" s="473"/>
    </row>
    <row r="21" spans="2:17">
      <c r="B21" s="478" t="s">
        <v>731</v>
      </c>
      <c r="C21" s="479">
        <f t="shared" si="0"/>
        <v>0.52481907894736834</v>
      </c>
      <c r="D21" s="480"/>
      <c r="E21" s="473"/>
    </row>
    <row r="22" spans="2:17">
      <c r="B22" s="478" t="s">
        <v>732</v>
      </c>
      <c r="C22" s="479">
        <f t="shared" si="0"/>
        <v>0.5</v>
      </c>
      <c r="D22" s="480"/>
      <c r="E22" s="473"/>
    </row>
    <row r="23" spans="2:17">
      <c r="B23" s="478" t="s">
        <v>734</v>
      </c>
      <c r="C23" s="479">
        <f>+F58</f>
        <v>0.62085470085470085</v>
      </c>
      <c r="D23" s="480"/>
      <c r="E23" s="473"/>
    </row>
    <row r="24" spans="2:17" ht="15.6" thickBot="1">
      <c r="B24" s="482" t="s">
        <v>735</v>
      </c>
      <c r="C24" s="479">
        <f>+F59</f>
        <v>0.5</v>
      </c>
      <c r="D24" s="480"/>
      <c r="E24" s="473"/>
    </row>
    <row r="25" spans="2:17" ht="16.2" thickBot="1">
      <c r="B25" s="483" t="s">
        <v>884</v>
      </c>
      <c r="C25" s="806">
        <f>+F62</f>
        <v>0.4896302357923254</v>
      </c>
      <c r="D25" s="484"/>
      <c r="E25" s="473"/>
    </row>
    <row r="26" spans="2:17" s="485" customFormat="1">
      <c r="C26" s="486"/>
      <c r="D26" s="486"/>
      <c r="E26" s="486"/>
      <c r="P26" s="473"/>
      <c r="Q26" s="473"/>
    </row>
    <row r="27" spans="2:17" s="485" customFormat="1" ht="56.25" customHeight="1" thickBot="1">
      <c r="B27" s="485" t="s">
        <v>674</v>
      </c>
      <c r="C27" s="486"/>
      <c r="G27" s="888"/>
      <c r="P27" s="473"/>
      <c r="Q27" s="473"/>
    </row>
    <row r="28" spans="2:17" ht="57" customHeight="1">
      <c r="B28" s="1371" t="s">
        <v>924</v>
      </c>
      <c r="C28" s="1373" t="s">
        <v>856</v>
      </c>
      <c r="D28" s="1375" t="s">
        <v>925</v>
      </c>
      <c r="E28" s="1376"/>
      <c r="F28" s="1377"/>
      <c r="H28" s="475"/>
    </row>
    <row r="29" spans="2:17" ht="57.6" customHeight="1" thickBot="1">
      <c r="B29" s="1372"/>
      <c r="C29" s="1374"/>
      <c r="D29" s="594" t="str">
        <f>+D39</f>
        <v>Segundo Trimestre</v>
      </c>
      <c r="E29" s="598" t="s">
        <v>926</v>
      </c>
      <c r="F29" s="600" t="s">
        <v>918</v>
      </c>
      <c r="H29" s="475"/>
    </row>
    <row r="30" spans="2:17" ht="29.4" customHeight="1">
      <c r="B30" s="581" t="s">
        <v>919</v>
      </c>
      <c r="C30" s="564">
        <f>+C46</f>
        <v>20</v>
      </c>
      <c r="D30" s="595">
        <f>IFERROR(AVERAGE(D41:D45),0)</f>
        <v>1.0014814814814816</v>
      </c>
      <c r="E30" s="601">
        <f>IFERROR(AVERAGE(E41:E45),0)</f>
        <v>1.0236617083615056</v>
      </c>
      <c r="F30" s="768">
        <f>IFERROR(AVERAGE(F41:F45),0)</f>
        <v>0.48487020328599273</v>
      </c>
      <c r="H30" s="475"/>
    </row>
    <row r="31" spans="2:17" ht="36.6" customHeight="1">
      <c r="B31" s="566" t="s">
        <v>920</v>
      </c>
      <c r="C31" s="565">
        <f>+C50</f>
        <v>35</v>
      </c>
      <c r="D31" s="596">
        <f>IFERROR(AVERAGE(D47:D49),0)</f>
        <v>0.841254413552463</v>
      </c>
      <c r="E31" s="601">
        <f>IFERROR(AVERAGE(E47:E49),0)</f>
        <v>0.89231343467482349</v>
      </c>
      <c r="F31" s="768">
        <f>IFERROR(AVERAGE(F47:F49),0)</f>
        <v>0.39453542635586025</v>
      </c>
      <c r="H31" s="475"/>
    </row>
    <row r="32" spans="2:17" ht="41.4" customHeight="1">
      <c r="B32" s="566" t="s">
        <v>921</v>
      </c>
      <c r="C32" s="565">
        <f>+C57</f>
        <v>26</v>
      </c>
      <c r="D32" s="596">
        <f>IFERROR(AVERAGE(D51:D56),0)</f>
        <v>1.0033684547613007</v>
      </c>
      <c r="E32" s="601">
        <f>IFERROR(AVERAGE(E51:E56),0)</f>
        <v>1.039980470425595</v>
      </c>
      <c r="F32" s="768">
        <f>IFERROR(AVERAGE(F51:F56),0)</f>
        <v>0.51868796310009813</v>
      </c>
      <c r="H32" s="475"/>
    </row>
    <row r="33" spans="2:22" ht="40.799999999999997">
      <c r="B33" s="566" t="s">
        <v>922</v>
      </c>
      <c r="C33" s="565">
        <f>+C60</f>
        <v>6</v>
      </c>
      <c r="D33" s="597">
        <f>IFERROR(AVERAGE(D58:D59),0)</f>
        <v>1.2277777777777779</v>
      </c>
      <c r="E33" s="602">
        <f>IFERROR(AVERAGE(E58:E59),0)</f>
        <v>1.4612159329140462</v>
      </c>
      <c r="F33" s="769">
        <f>IFERROR(AVERAGE(F58:F59),0)</f>
        <v>0.56042735042735048</v>
      </c>
      <c r="H33" s="475"/>
    </row>
    <row r="34" spans="2:22" ht="23.4">
      <c r="B34" s="568" t="s">
        <v>923</v>
      </c>
      <c r="C34" s="574">
        <f>SUM(C30:C33)</f>
        <v>87</v>
      </c>
      <c r="D34" s="567">
        <f>AVERAGE(D30:D33)</f>
        <v>1.0184705318932559</v>
      </c>
      <c r="E34" s="599">
        <f>AVERAGE(E30:E33)</f>
        <v>1.1042928865939925</v>
      </c>
      <c r="F34" s="599">
        <f>AVERAGE(F30:F33)</f>
        <v>0.4896302357923254</v>
      </c>
      <c r="H34" s="475"/>
    </row>
    <row r="35" spans="2:22" s="572" customFormat="1" ht="23.4">
      <c r="B35" s="569"/>
      <c r="C35" s="570"/>
      <c r="D35" s="571"/>
      <c r="E35" s="571"/>
      <c r="H35" s="573"/>
    </row>
    <row r="36" spans="2:22" s="485" customFormat="1">
      <c r="C36" s="486"/>
      <c r="P36" s="473"/>
      <c r="Q36" s="473"/>
    </row>
    <row r="37" spans="2:22" s="413" customFormat="1" ht="19.5" customHeight="1" thickBot="1">
      <c r="B37" s="863" t="str">
        <f>+B5</f>
        <v xml:space="preserve">Fecha de corte: </v>
      </c>
      <c r="C37" s="890">
        <f>+C5</f>
        <v>44834</v>
      </c>
      <c r="D37" s="419"/>
      <c r="E37" s="419"/>
      <c r="V37" s="416"/>
    </row>
    <row r="38" spans="2:22" s="413" customFormat="1" ht="21" customHeight="1">
      <c r="B38" s="1360" t="s">
        <v>744</v>
      </c>
      <c r="C38" s="1362" t="s">
        <v>856</v>
      </c>
      <c r="D38" s="1362" t="s">
        <v>894</v>
      </c>
      <c r="E38" s="1362"/>
      <c r="F38" s="1364"/>
      <c r="G38" s="414"/>
      <c r="H38" s="414"/>
      <c r="I38" s="414"/>
      <c r="U38" s="416"/>
    </row>
    <row r="39" spans="2:22" s="413" customFormat="1" ht="49.5" customHeight="1" thickBot="1">
      <c r="B39" s="1361"/>
      <c r="C39" s="1363"/>
      <c r="D39" s="875" t="str">
        <f>+'2.Infor Detallado Desempeño POA'!T11</f>
        <v>Segundo Trimestre</v>
      </c>
      <c r="E39" s="875" t="str">
        <f>+'2.Infor Detallado Desempeño POA'!U11</f>
        <v>Acumulado Corte 
30/06/2022</v>
      </c>
      <c r="F39" s="583" t="str">
        <f>+'2.Infor Detallado Desempeño POA'!V11</f>
        <v>Anual</v>
      </c>
      <c r="G39" s="501"/>
      <c r="H39" s="414"/>
      <c r="I39" s="414"/>
      <c r="J39" s="414"/>
      <c r="V39" s="416"/>
    </row>
    <row r="40" spans="2:22" s="577" customFormat="1" ht="6" customHeight="1" thickBot="1">
      <c r="B40" s="1365"/>
      <c r="C40" s="1366"/>
      <c r="D40" s="1366"/>
      <c r="E40" s="1366"/>
      <c r="F40" s="1367"/>
      <c r="G40" s="575"/>
      <c r="H40" s="576"/>
      <c r="I40" s="576"/>
      <c r="J40" s="576"/>
      <c r="V40" s="578"/>
    </row>
    <row r="41" spans="2:22" s="413" customFormat="1">
      <c r="B41" s="420" t="s">
        <v>718</v>
      </c>
      <c r="C41" s="421">
        <f>+'Rango indicadores'!D111</f>
        <v>4</v>
      </c>
      <c r="D41" s="422">
        <f>IF(AND('2.Infor Detallado Desempeño POA'!AC16&gt;0),'2.Infor Detallado Desempeño POA'!AC16,"No Programado")</f>
        <v>1.0074074074074075</v>
      </c>
      <c r="E41" s="422">
        <f>IF(AND('2.Infor Detallado Desempeño POA'!U16&gt;0),'2.Infor Detallado Desempeño POA'!U16,"No Programado")</f>
        <v>1.0021974306964165</v>
      </c>
      <c r="F41" s="422">
        <f>IF(AND('2.Infor Detallado Desempeño POA'!V16&gt;0),'2.Infor Detallado Desempeño POA'!V16,"No Programado")</f>
        <v>0.58378571428571424</v>
      </c>
      <c r="G41" s="423"/>
      <c r="H41" s="423"/>
      <c r="I41" s="423"/>
      <c r="J41" s="423"/>
      <c r="V41" s="416"/>
    </row>
    <row r="42" spans="2:22" s="413" customFormat="1">
      <c r="B42" s="424" t="s">
        <v>720</v>
      </c>
      <c r="C42" s="421">
        <f>+'Rango indicadores'!D112</f>
        <v>4</v>
      </c>
      <c r="D42" s="422">
        <f>IF(AND('2.Infor Detallado Desempeño POA'!T25&gt;0),'2.Infor Detallado Desempeño POA'!T25,"No Programado")</f>
        <v>1</v>
      </c>
      <c r="E42" s="422">
        <f>IF(AND('2.Infor Detallado Desempeño POA'!U25&gt;0),'2.Infor Detallado Desempeño POA'!U25,"No Programado")</f>
        <v>1.0833333333333335</v>
      </c>
      <c r="F42" s="422">
        <f>IF(AND('2.Infor Detallado Desempeño POA'!V25&gt;0),'2.Infor Detallado Desempeño POA'!V25,"No Programado")</f>
        <v>0.26315789473684215</v>
      </c>
      <c r="G42" s="423"/>
      <c r="H42" s="423"/>
      <c r="I42" s="423"/>
      <c r="J42" s="423"/>
      <c r="V42" s="416"/>
    </row>
    <row r="43" spans="2:22" s="413" customFormat="1">
      <c r="B43" s="424" t="s">
        <v>721</v>
      </c>
      <c r="C43" s="421">
        <f>+'Rango indicadores'!D113</f>
        <v>7</v>
      </c>
      <c r="D43" s="422">
        <f>IF(AND('2.Infor Detallado Desempeño POA'!T37&gt;0),'2.Infor Detallado Desempeño POA'!T37,"No Programado")</f>
        <v>1</v>
      </c>
      <c r="E43" s="422">
        <f>IF(AND('2.Infor Detallado Desempeño POA'!U37&gt;0),'2.Infor Detallado Desempeño POA'!U37,"No Programado")</f>
        <v>1</v>
      </c>
      <c r="F43" s="422">
        <f>IF(AND('2.Infor Detallado Desempeño POA'!V37&gt;0),'2.Infor Detallado Desempeño POA'!V37,"No Programado")</f>
        <v>0.5</v>
      </c>
      <c r="G43" s="423"/>
      <c r="H43" s="423"/>
      <c r="I43" s="423"/>
      <c r="J43" s="423"/>
      <c r="V43" s="416"/>
    </row>
    <row r="44" spans="2:22" s="413" customFormat="1">
      <c r="B44" s="424" t="s">
        <v>722</v>
      </c>
      <c r="C44" s="421">
        <f>+'Rango indicadores'!D114</f>
        <v>2</v>
      </c>
      <c r="D44" s="422">
        <f>IF(AND('2.Infor Detallado Desempeño POA'!T44&gt;0),'2.Infor Detallado Desempeño POA'!T44,"No Programado")</f>
        <v>1</v>
      </c>
      <c r="E44" s="422">
        <f>IF(AND('2.Infor Detallado Desempeño POA'!U44&gt;0),'2.Infor Detallado Desempeño POA'!U44,"No Programado")</f>
        <v>1</v>
      </c>
      <c r="F44" s="422">
        <f>IF(AND('2.Infor Detallado Desempeño POA'!V44&gt;0),'2.Infor Detallado Desempeño POA'!V44,"No Programado")</f>
        <v>0.5</v>
      </c>
      <c r="G44" s="423"/>
      <c r="H44" s="423"/>
      <c r="I44" s="423"/>
      <c r="J44" s="423"/>
      <c r="V44" s="416"/>
    </row>
    <row r="45" spans="2:22" s="413" customFormat="1" ht="15.6" thickBot="1">
      <c r="B45" s="425" t="s">
        <v>733</v>
      </c>
      <c r="C45" s="421">
        <f>+'Rango indicadores'!D124</f>
        <v>3</v>
      </c>
      <c r="D45" s="422">
        <f>IF(AND('2.Infor Detallado Desempeño POA'!T52&gt;0),'2.Infor Detallado Desempeño POA'!T52,"No Programado")</f>
        <v>1</v>
      </c>
      <c r="E45" s="422">
        <f>IF(AND('2.Infor Detallado Desempeño POA'!U52&gt;0),'2.Infor Detallado Desempeño POA'!U52,"No Programado")</f>
        <v>1.0327777777777778</v>
      </c>
      <c r="F45" s="422">
        <f>IF(AND('2.Infor Detallado Desempeño POA'!V52&gt;0),'2.Infor Detallado Desempeño POA'!V52,"No Programado")</f>
        <v>0.57740740740740737</v>
      </c>
      <c r="G45" s="423"/>
      <c r="H45" s="423"/>
      <c r="I45" s="423"/>
      <c r="J45" s="423"/>
      <c r="V45" s="416"/>
    </row>
    <row r="46" spans="2:22" s="413" customFormat="1" ht="34.950000000000003" customHeight="1" thickBot="1">
      <c r="B46" s="584" t="s">
        <v>895</v>
      </c>
      <c r="C46" s="585">
        <f>SUM(C41:C45)</f>
        <v>20</v>
      </c>
      <c r="D46" s="586">
        <f>IFERROR(AVERAGE(D41:D45),0)</f>
        <v>1.0014814814814816</v>
      </c>
      <c r="E46" s="586">
        <f>IFERROR(AVERAGE(E41:E45),0)</f>
        <v>1.0236617083615056</v>
      </c>
      <c r="F46" s="586">
        <f>IFERROR(AVERAGE(F41:F45),0)</f>
        <v>0.48487020328599273</v>
      </c>
      <c r="G46" s="426"/>
      <c r="H46" s="423"/>
      <c r="I46" s="423"/>
      <c r="J46" s="423"/>
      <c r="V46" s="416"/>
    </row>
    <row r="47" spans="2:22" s="413" customFormat="1">
      <c r="B47" s="420" t="s">
        <v>723</v>
      </c>
      <c r="C47" s="421">
        <f>+'Rango indicadores'!D115</f>
        <v>20</v>
      </c>
      <c r="D47" s="422">
        <f>IF(AND('2.Infor Detallado Desempeño POA'!T77&gt;0),'2.Infor Detallado Desempeño POA'!T77,"No Programado")</f>
        <v>1.1519898802309669</v>
      </c>
      <c r="E47" s="422">
        <f>IF(AND('2.Infor Detallado Desempeño POA'!U77&gt;0),'2.Infor Detallado Desempeño POA'!U77,"No Programado")</f>
        <v>1.2340198308648858</v>
      </c>
      <c r="F47" s="422">
        <f>IF(AND('2.Infor Detallado Desempeño POA'!V77&gt;0),'2.Infor Detallado Desempeño POA'!V77,"No Programado")</f>
        <v>0.53085099681429748</v>
      </c>
      <c r="G47" s="423"/>
      <c r="H47" s="423"/>
      <c r="I47" s="423"/>
      <c r="J47" s="423"/>
      <c r="V47" s="416"/>
    </row>
    <row r="48" spans="2:22" s="413" customFormat="1">
      <c r="B48" s="424" t="s">
        <v>858</v>
      </c>
      <c r="C48" s="421">
        <f>+'Rango indicadores'!D116</f>
        <v>7</v>
      </c>
      <c r="D48" s="422">
        <f>IF(AND('2.Infor Detallado Desempeño POA'!T89&gt;0),'2.Infor Detallado Desempeño POA'!T89,"No Programado")</f>
        <v>0.56273448773448775</v>
      </c>
      <c r="E48" s="422">
        <f>IF(AND('2.Infor Detallado Desempeño POA'!U89&gt;0),'2.Infor Detallado Desempeño POA'!U89,"No Programado")</f>
        <v>0.67051721818670984</v>
      </c>
      <c r="F48" s="422">
        <f>IF(AND('2.Infor Detallado Desempeño POA'!V89&gt;0),'2.Infor Detallado Desempeño POA'!V89,"No Programado")</f>
        <v>0.2550677822532833</v>
      </c>
      <c r="G48" s="423"/>
      <c r="H48" s="423"/>
      <c r="I48" s="423"/>
      <c r="J48" s="423"/>
      <c r="V48" s="416"/>
    </row>
    <row r="49" spans="2:22" s="413" customFormat="1" ht="15.6" thickBot="1">
      <c r="B49" s="425" t="s">
        <v>726</v>
      </c>
      <c r="C49" s="421">
        <f>+'Rango indicadores'!D117</f>
        <v>8</v>
      </c>
      <c r="D49" s="422">
        <f>IF(AND('2.Infor Detallado Desempeño POA'!T102&gt;0),'2.Infor Detallado Desempeño POA'!T102,"No Programado")</f>
        <v>0.80903887269193397</v>
      </c>
      <c r="E49" s="422">
        <f>IF(AND('2.Infor Detallado Desempeño POA'!U102&gt;0),'2.Infor Detallado Desempeño POA'!U102,"No Programado")</f>
        <v>0.77240325497287521</v>
      </c>
      <c r="F49" s="422">
        <f>IF(AND('2.Infor Detallado Desempeño POA'!V102&gt;0),'2.Infor Detallado Desempeño POA'!V102,"No Programado")</f>
        <v>0.39768750000000003</v>
      </c>
      <c r="G49" s="423"/>
      <c r="H49" s="423"/>
      <c r="I49" s="423"/>
      <c r="J49" s="423"/>
      <c r="V49" s="416"/>
    </row>
    <row r="50" spans="2:22" s="413" customFormat="1" ht="34.950000000000003" customHeight="1" thickBot="1">
      <c r="B50" s="584" t="s">
        <v>896</v>
      </c>
      <c r="C50" s="585">
        <f>SUM(C47:C49)</f>
        <v>35</v>
      </c>
      <c r="D50" s="586">
        <f>IFERROR(AVERAGE(D47:D49),0)</f>
        <v>0.841254413552463</v>
      </c>
      <c r="E50" s="586">
        <f>IFERROR(AVERAGE(E47:E49),0)</f>
        <v>0.89231343467482349</v>
      </c>
      <c r="F50" s="586">
        <f>IFERROR(AVERAGE(F47:F49),0)</f>
        <v>0.39453542635586025</v>
      </c>
      <c r="G50" s="426"/>
      <c r="H50" s="423"/>
      <c r="I50" s="423"/>
      <c r="J50" s="423"/>
      <c r="V50" s="416"/>
    </row>
    <row r="51" spans="2:22" s="413" customFormat="1">
      <c r="B51" s="420" t="s">
        <v>727</v>
      </c>
      <c r="C51" s="421">
        <f>+'Rango indicadores'!D118</f>
        <v>8</v>
      </c>
      <c r="D51" s="422">
        <f>IF(AND('2.Infor Detallado Desempeño POA'!T115&gt;0),'2.Infor Detallado Desempeño POA'!T115,"No Programado")</f>
        <v>0.97344727891156457</v>
      </c>
      <c r="E51" s="422">
        <f>IF(AND('2.Infor Detallado Desempeño POA'!U115&gt;0),'2.Infor Detallado Desempeño POA'!U115,"No Programado")</f>
        <v>0.98786519593196731</v>
      </c>
      <c r="F51" s="422">
        <f>IF(AND('2.Infor Detallado Desempeño POA'!V115&gt;0),'2.Infor Detallado Desempeño POA'!V115,"No Programado")</f>
        <v>0.50473979591836726</v>
      </c>
      <c r="G51" s="423"/>
      <c r="H51" s="423"/>
      <c r="I51" s="423"/>
      <c r="J51" s="423"/>
      <c r="V51" s="416"/>
    </row>
    <row r="52" spans="2:22" s="413" customFormat="1">
      <c r="B52" s="424" t="s">
        <v>728</v>
      </c>
      <c r="C52" s="421">
        <f>+'Rango indicadores'!D119</f>
        <v>2</v>
      </c>
      <c r="D52" s="422">
        <f>IF(AND('2.Infor Detallado Desempeño POA'!T122),'2.Infor Detallado Desempeño POA'!T122,"No Programado")</f>
        <v>1.0642611683848797</v>
      </c>
      <c r="E52" s="422">
        <f>IF(AND('2.Infor Detallado Desempeño POA'!U122),'2.Infor Detallado Desempeño POA'!U122,"No Programado")</f>
        <v>1.063659793814433</v>
      </c>
      <c r="F52" s="422">
        <f>IF(AND('2.Infor Detallado Desempeño POA'!V122),'2.Infor Detallado Desempeño POA'!V122,"No Programado")</f>
        <v>0.53170103092783505</v>
      </c>
      <c r="G52" s="423"/>
      <c r="H52" s="423"/>
      <c r="I52" s="423"/>
      <c r="J52" s="423"/>
      <c r="V52" s="416"/>
    </row>
    <row r="53" spans="2:22" s="413" customFormat="1">
      <c r="B53" s="424" t="s">
        <v>729</v>
      </c>
      <c r="C53" s="421">
        <f>+'Rango indicadores'!D120</f>
        <v>3</v>
      </c>
      <c r="D53" s="422">
        <f>IF(AND('2.Infor Detallado Desempeño POA'!T130&gt;0),'2.Infor Detallado Desempeño POA'!T130,"No Programado")</f>
        <v>1.0234666666666667</v>
      </c>
      <c r="E53" s="422">
        <f>IF(AND('2.Infor Detallado Desempeño POA'!U130&gt;0),'2.Infor Detallado Desempeño POA'!U130,"No Programado")</f>
        <v>1.0456337515911984</v>
      </c>
      <c r="F53" s="422">
        <f>IF(AND('2.Infor Detallado Desempeño POA'!V130&gt;0),'2.Infor Detallado Desempeño POA'!V130,"No Programado")</f>
        <v>0.48954385964912284</v>
      </c>
      <c r="G53" s="423"/>
      <c r="H53" s="423"/>
      <c r="I53" s="423"/>
      <c r="J53" s="423"/>
      <c r="V53" s="416"/>
    </row>
    <row r="54" spans="2:22" s="413" customFormat="1">
      <c r="B54" s="424" t="s">
        <v>730</v>
      </c>
      <c r="C54" s="421">
        <f>+'Rango indicadores'!D121</f>
        <v>4</v>
      </c>
      <c r="D54" s="422">
        <f>IF(AND('2.Infor Detallado Desempeño POA'!T139&gt;0),'2.Infor Detallado Desempeño POA'!T139,"No Programado")</f>
        <v>0.8949242424242424</v>
      </c>
      <c r="E54" s="422">
        <f>IF(AND('2.Infor Detallado Desempeño POA'!U139&gt;0),'2.Infor Detallado Desempeño POA'!U139,"No Programado")</f>
        <v>1.0711961206896552</v>
      </c>
      <c r="F54" s="422">
        <f>IF(AND('2.Infor Detallado Desempeño POA'!V139&gt;0),'2.Infor Detallado Desempeño POA'!V139,"No Programado")</f>
        <v>0.56132401315789471</v>
      </c>
      <c r="G54" s="423"/>
      <c r="H54" s="423"/>
      <c r="I54" s="423"/>
      <c r="J54" s="423"/>
      <c r="V54" s="416"/>
    </row>
    <row r="55" spans="2:22" s="413" customFormat="1">
      <c r="B55" s="424" t="s">
        <v>731</v>
      </c>
      <c r="C55" s="421">
        <f>+'Rango indicadores'!D122</f>
        <v>4</v>
      </c>
      <c r="D55" s="422">
        <f>IF(AND('2.Infor Detallado Desempeño POA'!T148&gt;0),'2.Infor Detallado Desempeño POA'!T148,"No Programado")</f>
        <v>1.0641113721804509</v>
      </c>
      <c r="E55" s="422">
        <f>IF(AND('2.Infor Detallado Desempeño POA'!U148&gt;0),'2.Infor Detallado Desempeño POA'!U148,"No Programado")</f>
        <v>1.0715279605263157</v>
      </c>
      <c r="F55" s="422">
        <f>IF(AND('2.Infor Detallado Desempeño POA'!V148&gt;0),'2.Infor Detallado Desempeño POA'!V148,"No Programado")</f>
        <v>0.52481907894736834</v>
      </c>
      <c r="G55" s="423"/>
      <c r="H55" s="423"/>
      <c r="I55" s="423"/>
      <c r="J55" s="423"/>
      <c r="V55" s="416"/>
    </row>
    <row r="56" spans="2:22" s="413" customFormat="1" ht="15.6" thickBot="1">
      <c r="B56" s="425" t="s">
        <v>732</v>
      </c>
      <c r="C56" s="421">
        <f>+'Rango indicadores'!D123</f>
        <v>5</v>
      </c>
      <c r="D56" s="422">
        <f>IF(AND('2.Infor Detallado Desempeño POA'!T158&gt;0),'2.Infor Detallado Desempeño POA'!T158,"No Programado")</f>
        <v>1</v>
      </c>
      <c r="E56" s="422">
        <f>IF(AND('2.Infor Detallado Desempeño POA'!U158&gt;0),'2.Infor Detallado Desempeño POA'!U158,"No Programado")</f>
        <v>1</v>
      </c>
      <c r="F56" s="422">
        <f>IF(AND('2.Infor Detallado Desempeño POA'!V158&gt;0),'2.Infor Detallado Desempeño POA'!V158,"No Programado")</f>
        <v>0.5</v>
      </c>
      <c r="G56" s="423"/>
      <c r="H56" s="423"/>
      <c r="I56" s="423"/>
      <c r="J56" s="423"/>
      <c r="V56" s="416"/>
    </row>
    <row r="57" spans="2:22" s="413" customFormat="1" ht="34.950000000000003" customHeight="1" thickBot="1">
      <c r="B57" s="584" t="s">
        <v>897</v>
      </c>
      <c r="C57" s="585">
        <f>SUM(C51:C56)</f>
        <v>26</v>
      </c>
      <c r="D57" s="586">
        <f>IFERROR(AVERAGE(D51:D56),0)</f>
        <v>1.0033684547613007</v>
      </c>
      <c r="E57" s="586">
        <f>IFERROR(AVERAGE(E51:E56),0)</f>
        <v>1.039980470425595</v>
      </c>
      <c r="F57" s="586">
        <f>IFERROR(AVERAGE(F51:F56),0)</f>
        <v>0.51868796310009813</v>
      </c>
      <c r="G57" s="426"/>
      <c r="H57" s="423"/>
      <c r="I57" s="423"/>
      <c r="J57" s="423"/>
      <c r="V57" s="416"/>
    </row>
    <row r="58" spans="2:22" s="413" customFormat="1">
      <c r="B58" s="424" t="s">
        <v>734</v>
      </c>
      <c r="C58" s="421">
        <f>+'Rango indicadores'!D125</f>
        <v>3</v>
      </c>
      <c r="D58" s="422">
        <f>IF(AND('2.Infor Detallado Desempeño POA'!T166&gt;0),'2.Infor Detallado Desempeño POA'!T166,"No Programado")</f>
        <v>1.4555555555555557</v>
      </c>
      <c r="E58" s="422">
        <f>IF(AND('2.Infor Detallado Desempeño POA'!U166&gt;0),'2.Infor Detallado Desempeño POA'!U166,"No Programado")</f>
        <v>1.9224318658280923</v>
      </c>
      <c r="F58" s="422">
        <f>IF(AND('2.Infor Detallado Desempeño POA'!V166&gt;0),'2.Infor Detallado Desempeño POA'!V166,"No Programado")</f>
        <v>0.62085470085470085</v>
      </c>
      <c r="G58" s="423"/>
      <c r="H58" s="423"/>
      <c r="I58" s="423"/>
      <c r="J58" s="423"/>
      <c r="V58" s="416"/>
    </row>
    <row r="59" spans="2:22" s="413" customFormat="1" ht="15.6" thickBot="1">
      <c r="B59" s="509" t="s">
        <v>735</v>
      </c>
      <c r="C59" s="510">
        <f>+'Rango indicadores'!D126</f>
        <v>3</v>
      </c>
      <c r="D59" s="422">
        <f>IF(AND('2.Infor Detallado Desempeño POA'!T174&gt;0),'2.Infor Detallado Desempeño POA'!T174,"No Programado")</f>
        <v>1</v>
      </c>
      <c r="E59" s="422">
        <f>IF(AND('2.Infor Detallado Desempeño POA'!U174&gt;0),'2.Infor Detallado Desempeño POA'!U174,"No Programado")</f>
        <v>1</v>
      </c>
      <c r="F59" s="422">
        <f>IF(AND('2.Infor Detallado Desempeño POA'!V174&gt;0),'2.Infor Detallado Desempeño POA'!V174,"No Programado")</f>
        <v>0.5</v>
      </c>
      <c r="G59" s="423"/>
      <c r="H59" s="423"/>
      <c r="I59" s="423"/>
      <c r="J59" s="423"/>
      <c r="V59" s="416"/>
    </row>
    <row r="60" spans="2:22" s="413" customFormat="1" ht="46.95" customHeight="1" thickBot="1">
      <c r="B60" s="587" t="s">
        <v>859</v>
      </c>
      <c r="C60" s="585">
        <f>SUM(C58:C59)</f>
        <v>6</v>
      </c>
      <c r="D60" s="586">
        <f>IFERROR(AVERAGE(D58:D59),0)</f>
        <v>1.2277777777777779</v>
      </c>
      <c r="E60" s="586">
        <f>IFERROR(AVERAGE(E58:E59),0)</f>
        <v>1.4612159329140462</v>
      </c>
      <c r="F60" s="586">
        <f>IFERROR(AVERAGE(F58:F59),0)</f>
        <v>0.56042735042735048</v>
      </c>
      <c r="G60" s="426"/>
      <c r="H60" s="423"/>
      <c r="I60" s="423"/>
      <c r="J60" s="423"/>
      <c r="V60" s="416"/>
    </row>
    <row r="61" spans="2:22" s="577" customFormat="1" ht="6" customHeight="1">
      <c r="B61" s="579"/>
      <c r="C61" s="580"/>
      <c r="D61" s="575"/>
      <c r="E61" s="575"/>
      <c r="F61" s="575"/>
      <c r="G61" s="575"/>
      <c r="H61" s="576"/>
      <c r="I61" s="576"/>
      <c r="J61" s="576"/>
      <c r="V61" s="578"/>
    </row>
    <row r="62" spans="2:22" ht="15" customHeight="1">
      <c r="B62" s="563" t="s">
        <v>923</v>
      </c>
      <c r="C62" s="574">
        <f>+C60+C57+C50+C46</f>
        <v>87</v>
      </c>
      <c r="D62" s="567">
        <f>AVERAGE(D46,D50,D57,D60)</f>
        <v>1.0184705318932559</v>
      </c>
      <c r="E62" s="567">
        <f>AVERAGE(E46,E50,E57,E60)</f>
        <v>1.1042928865939925</v>
      </c>
      <c r="F62" s="567">
        <f>AVERAGE(F46,F50,F57,F60)</f>
        <v>0.4896302357923254</v>
      </c>
      <c r="G62" s="603"/>
    </row>
    <row r="63" spans="2:22" ht="15" customHeight="1"/>
    <row r="64" spans="2:22" ht="15" customHeight="1">
      <c r="D64" s="59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773" priority="1" operator="equal">
      <formula>"No Programado"</formula>
    </cfRule>
    <cfRule type="cellIs" dxfId="772" priority="2" operator="lessThanOrEqual">
      <formula>0.6</formula>
    </cfRule>
    <cfRule type="cellIs" dxfId="771" priority="3" operator="between">
      <formula>0.6</formula>
      <formula>0.899999999999999</formula>
    </cfRule>
    <cfRule type="cellIs" dxfId="770" priority="4" operator="greaterThan">
      <formula>1</formula>
    </cfRule>
    <cfRule type="cellIs" dxfId="769" priority="5" operator="between">
      <formula>0.9</formula>
      <formula>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CEE2A-ACFA-4CE3-AF69-AA9020ED9A7F}">
  <sheetPr>
    <tabColor rgb="FF00FF99"/>
  </sheetPr>
  <dimension ref="B1:R84"/>
  <sheetViews>
    <sheetView showGridLines="0" workbookViewId="0">
      <selection activeCell="G77" sqref="G77"/>
    </sheetView>
  </sheetViews>
  <sheetFormatPr baseColWidth="10" defaultColWidth="11.44140625" defaultRowHeight="15"/>
  <cols>
    <col min="1" max="1" width="3.6640625" style="473" customWidth="1"/>
    <col min="2" max="2" width="52.44140625" style="473" customWidth="1"/>
    <col min="3" max="5" width="18.44140625" style="475" customWidth="1"/>
    <col min="6" max="6" width="18.44140625" style="473" customWidth="1"/>
    <col min="7" max="7" width="18.33203125" style="473" customWidth="1"/>
    <col min="8" max="8" width="6.109375" style="475" hidden="1" customWidth="1"/>
    <col min="9" max="9" width="0" style="473" hidden="1" customWidth="1"/>
    <col min="10" max="16" width="11.44140625" style="473"/>
    <col min="17" max="17" width="62.44140625" style="473" bestFit="1" customWidth="1"/>
    <col min="18" max="18" width="40" style="473" customWidth="1"/>
    <col min="19" max="16356" width="11.44140625" style="473"/>
    <col min="16357" max="16357" width="1.44140625" style="473" customWidth="1"/>
    <col min="16358" max="16384" width="2.88671875" style="473" customWidth="1"/>
  </cols>
  <sheetData>
    <row r="1" spans="2:18">
      <c r="C1" s="474"/>
      <c r="D1" s="474"/>
      <c r="E1" s="474"/>
    </row>
    <row r="2" spans="2:18" ht="15.6">
      <c r="B2" s="1349" t="s">
        <v>883</v>
      </c>
      <c r="C2" s="1350" t="s">
        <v>888</v>
      </c>
      <c r="D2" s="1351"/>
      <c r="E2" s="1351"/>
      <c r="F2" s="1351"/>
      <c r="G2" s="1352"/>
      <c r="H2" s="519"/>
    </row>
    <row r="3" spans="2:18" ht="17.399999999999999">
      <c r="B3" s="1349"/>
      <c r="C3" s="1353" t="str">
        <f>+'3.Resum Desemp Procesos POA T1'!C3</f>
        <v>PLAN OPERATIVO ANUAL 2022</v>
      </c>
      <c r="D3" s="1354"/>
      <c r="E3" s="1354"/>
      <c r="F3" s="1354"/>
      <c r="G3" s="1355"/>
      <c r="H3" s="519"/>
    </row>
    <row r="4" spans="2:18" ht="9.75" customHeight="1">
      <c r="B4" s="1356"/>
      <c r="C4" s="1356"/>
      <c r="D4" s="1356"/>
      <c r="E4" s="1356"/>
      <c r="F4" s="1356"/>
      <c r="G4" s="873"/>
      <c r="H4" s="495"/>
    </row>
    <row r="5" spans="2:18" ht="19.5" customHeight="1">
      <c r="B5" s="473" t="str">
        <f>+'3.Resum Desemp Procesos POA T1'!B5</f>
        <v xml:space="preserve">Fecha de corte: </v>
      </c>
      <c r="C5" s="884">
        <f>+'3.Resum Desemp Procesos POA T3'!C5</f>
        <v>44834</v>
      </c>
    </row>
    <row r="6" spans="2:18" ht="19.5" customHeight="1">
      <c r="B6" s="476"/>
    </row>
    <row r="7" spans="2:18" s="485" customFormat="1" ht="31.5" customHeight="1">
      <c r="B7" s="1312" t="s">
        <v>711</v>
      </c>
      <c r="C7" s="1357" t="s">
        <v>1152</v>
      </c>
      <c r="D7" s="1358"/>
      <c r="E7" s="1358"/>
      <c r="F7" s="1358"/>
      <c r="G7" s="1359"/>
      <c r="H7" s="486"/>
      <c r="Q7" s="473"/>
      <c r="R7" s="473"/>
    </row>
    <row r="8" spans="2:18" s="485" customFormat="1" ht="74.400000000000006" customHeight="1">
      <c r="B8" s="1312"/>
      <c r="C8" s="546" t="s">
        <v>889</v>
      </c>
      <c r="D8" s="546" t="s">
        <v>890</v>
      </c>
      <c r="E8" s="546" t="s">
        <v>891</v>
      </c>
      <c r="F8" s="546" t="s">
        <v>898</v>
      </c>
      <c r="G8" s="520" t="s">
        <v>917</v>
      </c>
      <c r="H8" s="486"/>
      <c r="Q8" s="473"/>
      <c r="R8" s="473"/>
    </row>
    <row r="9" spans="2:18">
      <c r="B9" s="478" t="s">
        <v>718</v>
      </c>
      <c r="C9" s="551">
        <f>+'4.Segto Medición POA 2022 T4'!C65</f>
        <v>4</v>
      </c>
      <c r="D9" s="498">
        <f>COUNTIF('2.Infor Detallado Desempeño POA'!AC12:AC15,"=100%")</f>
        <v>3</v>
      </c>
      <c r="E9" s="499">
        <f>COUNTIF('2.Infor Detallado Desempeño POA'!AC12:AC15,"&gt;100%")</f>
        <v>1</v>
      </c>
      <c r="F9" s="549">
        <f>COUNTIF('2.Infor Detallado Desempeño POA'!AC12:AC15,"&lt;100%")</f>
        <v>0</v>
      </c>
      <c r="G9" s="547">
        <f>COUNTIF('2.Infor Detallado Desempeño POA'!AC12:AC15,"=No programado")</f>
        <v>0</v>
      </c>
      <c r="H9" s="496">
        <f>SUM(D9:G9)</f>
        <v>4</v>
      </c>
      <c r="I9" s="497">
        <f t="shared" ref="I9:I25" si="0">C9-H9</f>
        <v>0</v>
      </c>
    </row>
    <row r="10" spans="2:18">
      <c r="B10" s="478" t="s">
        <v>720</v>
      </c>
      <c r="C10" s="551">
        <f>+'4.Segto Medición POA 2022 T4'!C66</f>
        <v>4</v>
      </c>
      <c r="D10" s="498">
        <f>COUNTIF('2.Infor Detallado Desempeño POA'!AC21:AC24,"=100%")</f>
        <v>0</v>
      </c>
      <c r="E10" s="499">
        <f>COUNTIF('2.Infor Detallado Desempeño POA'!AC21:AC24,"&gt;100%")</f>
        <v>0</v>
      </c>
      <c r="F10" s="549">
        <f>COUNTIF('2.Infor Detallado Desempeño POA'!AC21:AC24,"&lt;100%")</f>
        <v>1</v>
      </c>
      <c r="G10" s="547">
        <f>COUNTIF('2.Infor Detallado Desempeño POA'!AC21:AC24,"=No programado")</f>
        <v>3</v>
      </c>
      <c r="H10" s="496">
        <f t="shared" ref="H10:H24" si="1">SUM(D10:G10)</f>
        <v>4</v>
      </c>
      <c r="I10" s="497">
        <f t="shared" si="0"/>
        <v>0</v>
      </c>
    </row>
    <row r="11" spans="2:18">
      <c r="B11" s="478" t="s">
        <v>721</v>
      </c>
      <c r="C11" s="551">
        <f>+'4.Segto Medición POA 2022 T4'!C67</f>
        <v>7</v>
      </c>
      <c r="D11" s="498">
        <f>COUNTIF('2.Infor Detallado Desempeño POA'!AC30:AC36,"=100%")</f>
        <v>7</v>
      </c>
      <c r="E11" s="499">
        <f>COUNTIF('2.Infor Detallado Desempeño POA'!AC30:AC36,"&gt;100%")</f>
        <v>0</v>
      </c>
      <c r="F11" s="549">
        <f>COUNTIF('2.Infor Detallado Desempeño POA'!AC30:AC36,"&lt;100%")</f>
        <v>0</v>
      </c>
      <c r="G11" s="547">
        <f>COUNTIF('2.Infor Detallado Desempeño POA'!AC30:AC36,"=No programado")</f>
        <v>0</v>
      </c>
      <c r="H11" s="496">
        <f t="shared" si="1"/>
        <v>7</v>
      </c>
      <c r="I11" s="497">
        <f t="shared" si="0"/>
        <v>0</v>
      </c>
    </row>
    <row r="12" spans="2:18">
      <c r="B12" s="478" t="s">
        <v>722</v>
      </c>
      <c r="C12" s="551">
        <f>+'4.Segto Medición POA 2022 T4'!C68</f>
        <v>2</v>
      </c>
      <c r="D12" s="498">
        <f>COUNTIF('2.Infor Detallado Desempeño POA'!AC42:AC43,"=100%")</f>
        <v>2</v>
      </c>
      <c r="E12" s="499">
        <f>COUNTIF('2.Infor Detallado Desempeño POA'!AC42:AC43,"&gt;100%")</f>
        <v>0</v>
      </c>
      <c r="F12" s="549">
        <f>COUNTIF('2.Infor Detallado Desempeño POA'!AC42:AC43,"&lt;100%")</f>
        <v>0</v>
      </c>
      <c r="G12" s="547">
        <f>COUNTIF('2.Infor Detallado Desempeño POA'!AC42:AC43,"=No programado")</f>
        <v>0</v>
      </c>
      <c r="H12" s="496">
        <f>SUM(D12:G12)</f>
        <v>2</v>
      </c>
      <c r="I12" s="497">
        <f t="shared" si="0"/>
        <v>0</v>
      </c>
    </row>
    <row r="13" spans="2:18">
      <c r="B13" s="478" t="s">
        <v>733</v>
      </c>
      <c r="C13" s="551">
        <f>+'4.Segto Medición POA 2022 T4'!C69</f>
        <v>3</v>
      </c>
      <c r="D13" s="498">
        <f>COUNTIF('2.Infor Detallado Desempeño POA'!AC49:AC51,"=100%")</f>
        <v>0</v>
      </c>
      <c r="E13" s="499">
        <f>COUNTIF('2.Infor Detallado Desempeño POA'!AC49:AC51,"&gt;100%")</f>
        <v>1</v>
      </c>
      <c r="F13" s="549">
        <f>COUNTIF('2.Infor Detallado Desempeño POA'!AC49:AC51,"&lt;100%")</f>
        <v>0</v>
      </c>
      <c r="G13" s="547">
        <f>COUNTIF('2.Infor Detallado Desempeño POA'!AC49:AC51,"=No programado")</f>
        <v>2</v>
      </c>
      <c r="H13" s="496">
        <f t="shared" si="1"/>
        <v>3</v>
      </c>
      <c r="I13" s="497">
        <f t="shared" si="0"/>
        <v>0</v>
      </c>
    </row>
    <row r="14" spans="2:18">
      <c r="B14" s="478" t="s">
        <v>723</v>
      </c>
      <c r="C14" s="551">
        <f>+'4.Segto Medición POA 2022 T4'!C70</f>
        <v>20</v>
      </c>
      <c r="D14" s="498">
        <f>COUNTIF('2.Infor Detallado Desempeño POA'!AC57:AC76,"=100%")</f>
        <v>1</v>
      </c>
      <c r="E14" s="499">
        <f>COUNTIF('2.Infor Detallado Desempeño POA'!AC57:AC76,"&gt;100%")</f>
        <v>12</v>
      </c>
      <c r="F14" s="549">
        <f>COUNTIF('2.Infor Detallado Desempeño POA'!AC57:AC76,"&lt;100%")</f>
        <v>5</v>
      </c>
      <c r="G14" s="547">
        <f>COUNTIF('2.Infor Detallado Desempeño POA'!AC57:AC76,"=No programado")</f>
        <v>2</v>
      </c>
      <c r="H14" s="496">
        <f t="shared" si="1"/>
        <v>20</v>
      </c>
      <c r="I14" s="497">
        <f t="shared" si="0"/>
        <v>0</v>
      </c>
    </row>
    <row r="15" spans="2:18">
      <c r="B15" s="478" t="s">
        <v>858</v>
      </c>
      <c r="C15" s="551">
        <f>+'4.Segto Medición POA 2022 T4'!C71</f>
        <v>7</v>
      </c>
      <c r="D15" s="498">
        <f>COUNTIF('2.Infor Detallado Desempeño POA'!AC82:AC88,"=100%")</f>
        <v>0</v>
      </c>
      <c r="E15" s="499">
        <f>COUNTIF('2.Infor Detallado Desempeño POA'!AC82:AC88,"&gt;100%")</f>
        <v>2</v>
      </c>
      <c r="F15" s="549">
        <f>COUNTIF('2.Infor Detallado Desempeño POA'!AC82:AC88,"&lt;100%")</f>
        <v>3</v>
      </c>
      <c r="G15" s="547">
        <f>COUNTIF('2.Infor Detallado Desempeño POA'!AC82:AC88,"=No programado")</f>
        <v>2</v>
      </c>
      <c r="H15" s="891">
        <f t="shared" si="1"/>
        <v>7</v>
      </c>
      <c r="I15" s="497">
        <f t="shared" si="0"/>
        <v>0</v>
      </c>
    </row>
    <row r="16" spans="2:18">
      <c r="B16" s="478" t="s">
        <v>726</v>
      </c>
      <c r="C16" s="551">
        <f>+'4.Segto Medición POA 2022 T4'!C72</f>
        <v>8</v>
      </c>
      <c r="D16" s="498">
        <f>COUNTIF('2.Infor Detallado Desempeño POA'!AC94:AC101,"=100%")</f>
        <v>2</v>
      </c>
      <c r="E16" s="499">
        <f>COUNTIF('2.Infor Detallado Desempeño POA'!AC94:AC101,"&gt;100%")</f>
        <v>1</v>
      </c>
      <c r="F16" s="549">
        <f>COUNTIF('2.Infor Detallado Desempeño POA'!AC94:AC101,"&lt;100%")</f>
        <v>5</v>
      </c>
      <c r="G16" s="547">
        <f>COUNTIF('2.Infor Detallado Desempeño POA'!AC94:AC101,"=No programado")</f>
        <v>0</v>
      </c>
      <c r="H16" s="496">
        <f t="shared" si="1"/>
        <v>8</v>
      </c>
      <c r="I16" s="497">
        <f t="shared" si="0"/>
        <v>0</v>
      </c>
    </row>
    <row r="17" spans="2:9">
      <c r="B17" s="478" t="s">
        <v>727</v>
      </c>
      <c r="C17" s="551">
        <f>+'4.Segto Medición POA 2022 T4'!C73</f>
        <v>8</v>
      </c>
      <c r="D17" s="498">
        <f>COUNTIF('2.Infor Detallado Desempeño POA'!AC107:AC114,"=100%")</f>
        <v>4</v>
      </c>
      <c r="E17" s="499">
        <f>COUNTIF('2.Infor Detallado Desempeño POA'!AC107:AC114,"&gt;100%")</f>
        <v>3</v>
      </c>
      <c r="F17" s="549">
        <f>COUNTIF('2.Infor Detallado Desempeño POA'!AC107:AC114,"&lt;100%")</f>
        <v>1</v>
      </c>
      <c r="G17" s="547">
        <f>COUNTIF('2.Infor Detallado Desempeño POA'!AC107:AC114,"=No programado")</f>
        <v>0</v>
      </c>
      <c r="H17" s="496">
        <f t="shared" si="1"/>
        <v>8</v>
      </c>
      <c r="I17" s="497">
        <f t="shared" si="0"/>
        <v>0</v>
      </c>
    </row>
    <row r="18" spans="2:9" ht="16.5" customHeight="1">
      <c r="B18" s="478" t="s">
        <v>728</v>
      </c>
      <c r="C18" s="551">
        <f>+'4.Segto Medición POA 2022 T4'!C74</f>
        <v>2</v>
      </c>
      <c r="D18" s="498">
        <f>COUNTIF('2.Infor Detallado Desempeño POA'!AC120:AC121,"=100%")</f>
        <v>1</v>
      </c>
      <c r="E18" s="499">
        <f>COUNTIF('2.Infor Detallado Desempeño POA'!AC120:AC121,"&gt;100%")</f>
        <v>1</v>
      </c>
      <c r="F18" s="549">
        <f>COUNTIF('2.Infor Detallado Desempeño POA'!AC120:AC121,"&lt;100%")</f>
        <v>0</v>
      </c>
      <c r="G18" s="547">
        <f>COUNTIF('2.Infor Detallado Desempeño POA'!AC120:AC121,"=No programado")</f>
        <v>0</v>
      </c>
      <c r="H18" s="496">
        <f t="shared" si="1"/>
        <v>2</v>
      </c>
      <c r="I18" s="497">
        <f t="shared" si="0"/>
        <v>0</v>
      </c>
    </row>
    <row r="19" spans="2:9">
      <c r="B19" s="478" t="s">
        <v>729</v>
      </c>
      <c r="C19" s="551">
        <f>+'4.Segto Medición POA 2022 T4'!C75</f>
        <v>3</v>
      </c>
      <c r="D19" s="498">
        <f>COUNTIF('2.Infor Detallado Desempeño POA'!AC127:AC129,"=100%")</f>
        <v>1</v>
      </c>
      <c r="E19" s="499">
        <f>COUNTIF('2.Infor Detallado Desempeño POA'!AC127:AC129,"&gt;100%")</f>
        <v>1</v>
      </c>
      <c r="F19" s="549">
        <f>COUNTIF('2.Infor Detallado Desempeño POA'!AC127:AC129,"&lt;100%")</f>
        <v>1</v>
      </c>
      <c r="G19" s="547">
        <f>COUNTIF('2.Infor Detallado Desempeño POA'!AC127:AC129,"=No programado")</f>
        <v>0</v>
      </c>
      <c r="H19" s="496">
        <f t="shared" si="1"/>
        <v>3</v>
      </c>
      <c r="I19" s="497">
        <f t="shared" si="0"/>
        <v>0</v>
      </c>
    </row>
    <row r="20" spans="2:9">
      <c r="B20" s="478" t="s">
        <v>730</v>
      </c>
      <c r="C20" s="551">
        <f>+'4.Segto Medición POA 2022 T4'!C76</f>
        <v>4</v>
      </c>
      <c r="D20" s="498">
        <f>COUNTIF('2.Infor Detallado Desempeño POA'!AC135:AC138,"=100%")</f>
        <v>1</v>
      </c>
      <c r="E20" s="499">
        <f>COUNTIF('2.Infor Detallado Desempeño POA'!AC135:AC138,"&gt;100%")</f>
        <v>2</v>
      </c>
      <c r="F20" s="549">
        <f>COUNTIF('2.Infor Detallado Desempeño POA'!AC135:AC138,"&lt;100%")</f>
        <v>1</v>
      </c>
      <c r="G20" s="547">
        <f>COUNTIF('2.Infor Detallado Desempeño POA'!AC135:AC138,"=No programado")</f>
        <v>0</v>
      </c>
      <c r="H20" s="496">
        <f t="shared" si="1"/>
        <v>4</v>
      </c>
      <c r="I20" s="497">
        <f t="shared" si="0"/>
        <v>0</v>
      </c>
    </row>
    <row r="21" spans="2:9">
      <c r="B21" s="478" t="s">
        <v>731</v>
      </c>
      <c r="C21" s="551">
        <f>+'4.Segto Medición POA 2022 T4'!C77</f>
        <v>4</v>
      </c>
      <c r="D21" s="498">
        <f>COUNTIF('2.Infor Detallado Desempeño POA'!AC144:AC147,"=100%")</f>
        <v>0</v>
      </c>
      <c r="E21" s="499">
        <f>COUNTIF('2.Infor Detallado Desempeño POA'!AC144:AC147,"&gt;100%")</f>
        <v>3</v>
      </c>
      <c r="F21" s="549">
        <f>COUNTIF('2.Infor Detallado Desempeño POA'!AC144:AC147,"&lt;100%")</f>
        <v>1</v>
      </c>
      <c r="G21" s="547">
        <f>COUNTIF('2.Infor Detallado Desempeño POA'!AC144:AC147,"=No programado")</f>
        <v>0</v>
      </c>
      <c r="H21" s="496">
        <f t="shared" si="1"/>
        <v>4</v>
      </c>
      <c r="I21" s="497">
        <f t="shared" si="0"/>
        <v>0</v>
      </c>
    </row>
    <row r="22" spans="2:9">
      <c r="B22" s="478" t="s">
        <v>732</v>
      </c>
      <c r="C22" s="551">
        <f>+'4.Segto Medición POA 2022 T4'!C78</f>
        <v>5</v>
      </c>
      <c r="D22" s="498">
        <f>COUNTIF('2.Infor Detallado Desempeño POA'!AC153:AC157,"=100%")</f>
        <v>5</v>
      </c>
      <c r="E22" s="499">
        <f>COUNTIF('2.Infor Detallado Desempeño POA'!AC153:AC157,"&gt;100%")</f>
        <v>0</v>
      </c>
      <c r="F22" s="549">
        <f>COUNTIF('2.Infor Detallado Desempeño POA'!AC153:AC157,"&lt;100%")</f>
        <v>0</v>
      </c>
      <c r="G22" s="547">
        <f>COUNTIF('2.Infor Detallado Desempeño POA'!AC153:AC157,"=No programado")</f>
        <v>0</v>
      </c>
      <c r="H22" s="496">
        <f t="shared" si="1"/>
        <v>5</v>
      </c>
      <c r="I22" s="497">
        <f t="shared" si="0"/>
        <v>0</v>
      </c>
    </row>
    <row r="23" spans="2:9">
      <c r="B23" s="478" t="s">
        <v>734</v>
      </c>
      <c r="C23" s="551">
        <f>+'4.Segto Medición POA 2022 T4'!C79</f>
        <v>3</v>
      </c>
      <c r="D23" s="498">
        <f>COUNTIF('2.Infor Detallado Desempeño POA'!AC163:AC165,"=100%")</f>
        <v>0</v>
      </c>
      <c r="E23" s="499">
        <f>COUNTIF('2.Infor Detallado Desempeño POA'!AC163:AC165,"&gt;100%")</f>
        <v>1</v>
      </c>
      <c r="F23" s="549">
        <f>COUNTIF('2.Infor Detallado Desempeño POA'!AC163:AC165,"&lt;100%")</f>
        <v>2</v>
      </c>
      <c r="G23" s="547">
        <f>COUNTIF('2.Infor Detallado Desempeño POA'!AC163:AC165,"=No programado")</f>
        <v>0</v>
      </c>
      <c r="H23" s="496">
        <f t="shared" si="1"/>
        <v>3</v>
      </c>
      <c r="I23" s="497">
        <f t="shared" si="0"/>
        <v>0</v>
      </c>
    </row>
    <row r="24" spans="2:9">
      <c r="B24" s="478" t="s">
        <v>735</v>
      </c>
      <c r="C24" s="551">
        <f>+'4.Segto Medición POA 2022 T4'!C80</f>
        <v>3</v>
      </c>
      <c r="D24" s="498">
        <f>COUNTIF('2.Infor Detallado Desempeño POA'!AC171:AC173,"=100%")</f>
        <v>1</v>
      </c>
      <c r="E24" s="499">
        <f>COUNTIF('2.Infor Detallado Desempeño POA'!AC171:AC173,"&gt;100%")</f>
        <v>0</v>
      </c>
      <c r="F24" s="549">
        <f>COUNTIF('2.Infor Detallado Desempeño POA'!AC171:AC173,"&lt;100%")</f>
        <v>0</v>
      </c>
      <c r="G24" s="547">
        <f>COUNTIF('2.Infor Detallado Desempeño POA'!AC171:AC173,"=No programado")</f>
        <v>2</v>
      </c>
      <c r="H24" s="496">
        <f t="shared" si="1"/>
        <v>3</v>
      </c>
      <c r="I24" s="497">
        <f t="shared" si="0"/>
        <v>0</v>
      </c>
    </row>
    <row r="25" spans="2:9" ht="19.5" customHeight="1">
      <c r="B25" s="511" t="s">
        <v>887</v>
      </c>
      <c r="C25" s="512">
        <f>SUM(C9:C24)</f>
        <v>87</v>
      </c>
      <c r="D25" s="513">
        <f t="shared" ref="D25:E25" si="2">SUM(D9:D24)</f>
        <v>28</v>
      </c>
      <c r="E25" s="514">
        <f t="shared" si="2"/>
        <v>28</v>
      </c>
      <c r="F25" s="550">
        <f>SUM(F9:F24)</f>
        <v>20</v>
      </c>
      <c r="G25" s="548">
        <f>SUM(G9:G24)</f>
        <v>11</v>
      </c>
      <c r="H25" s="496">
        <f>SUM(D25:G25)</f>
        <v>87</v>
      </c>
      <c r="I25" s="497">
        <f t="shared" si="0"/>
        <v>0</v>
      </c>
    </row>
    <row r="27" spans="2:9" s="557" customFormat="1" ht="2.4" customHeight="1">
      <c r="C27" s="561"/>
      <c r="D27" s="774" t="str">
        <f>+D8</f>
        <v>No de Indicadores con Meta Cumplida según programación</v>
      </c>
      <c r="E27" s="775">
        <f>+D25</f>
        <v>28</v>
      </c>
      <c r="H27" s="558"/>
    </row>
    <row r="28" spans="2:9" s="557" customFormat="1" ht="2.4" customHeight="1">
      <c r="C28" s="561"/>
      <c r="D28" s="774" t="str">
        <f>+E8</f>
        <v xml:space="preserve">No de Indicadores con ejecución superior a la programada </v>
      </c>
      <c r="E28" s="775">
        <f>+E25</f>
        <v>28</v>
      </c>
      <c r="H28" s="558"/>
    </row>
    <row r="29" spans="2:9" s="557" customFormat="1" ht="2.4" customHeight="1">
      <c r="C29" s="561"/>
      <c r="D29" s="774" t="str">
        <f>+F8</f>
        <v xml:space="preserve">No de Indicadores con ejecución menor a la programada </v>
      </c>
      <c r="E29" s="775">
        <f>+F25</f>
        <v>20</v>
      </c>
      <c r="H29" s="558"/>
    </row>
    <row r="30" spans="2:9" s="557" customFormat="1" ht="2.4" customHeight="1">
      <c r="C30" s="561"/>
      <c r="D30" s="774" t="str">
        <f>+G8</f>
        <v>No de indicadores sin programar en el periodo</v>
      </c>
      <c r="E30" s="775">
        <f>+G25</f>
        <v>11</v>
      </c>
      <c r="H30" s="558"/>
    </row>
    <row r="31" spans="2:9" s="557" customFormat="1">
      <c r="C31" s="558"/>
      <c r="D31" s="558"/>
      <c r="E31" s="558"/>
      <c r="H31" s="558"/>
    </row>
    <row r="32" spans="2:9" s="557" customFormat="1">
      <c r="C32" s="558"/>
      <c r="D32" s="558"/>
      <c r="E32" s="558"/>
      <c r="H32" s="558"/>
    </row>
    <row r="33" spans="2:9" s="557" customFormat="1" hidden="1">
      <c r="C33" s="558"/>
      <c r="D33" s="558"/>
      <c r="E33" s="558"/>
      <c r="H33" s="558"/>
    </row>
    <row r="34" spans="2:9" s="560" customFormat="1" ht="10.199999999999999" hidden="1" customHeight="1">
      <c r="C34" s="561"/>
      <c r="D34" s="1335" t="str">
        <f>+C7</f>
        <v>CUMPLIMIENTO PROGRAMACIÓN EN EL PERIODO 
Tercer Trimestre de 2022</v>
      </c>
      <c r="E34" s="1335"/>
      <c r="H34" s="561"/>
    </row>
    <row r="35" spans="2:9" s="560" customFormat="1" ht="28.2" customHeight="1">
      <c r="B35" s="1312" t="s">
        <v>711</v>
      </c>
      <c r="C35" s="1336" t="s">
        <v>1148</v>
      </c>
      <c r="D35" s="1337"/>
      <c r="E35" s="1337"/>
      <c r="F35" s="1337"/>
      <c r="G35" s="1338"/>
      <c r="H35" s="561"/>
    </row>
    <row r="36" spans="2:9" s="560" customFormat="1" ht="29.4" customHeight="1">
      <c r="B36" s="1312"/>
      <c r="C36" s="1347" t="s">
        <v>1157</v>
      </c>
      <c r="D36" s="1348"/>
      <c r="E36" s="1339">
        <f>C5</f>
        <v>44834</v>
      </c>
      <c r="F36" s="1339"/>
      <c r="G36" s="886"/>
      <c r="H36" s="561"/>
    </row>
    <row r="37" spans="2:9" s="560" customFormat="1" ht="77.25" customHeight="1">
      <c r="B37" s="1312"/>
      <c r="C37" s="546" t="s">
        <v>889</v>
      </c>
      <c r="D37" s="546" t="s">
        <v>890</v>
      </c>
      <c r="E37" s="546" t="s">
        <v>891</v>
      </c>
      <c r="F37" s="546" t="s">
        <v>898</v>
      </c>
      <c r="G37" s="520" t="s">
        <v>917</v>
      </c>
      <c r="H37" s="561"/>
    </row>
    <row r="38" spans="2:9" s="560" customFormat="1" ht="19.95" customHeight="1">
      <c r="B38" s="478" t="s">
        <v>718</v>
      </c>
      <c r="C38" s="551">
        <f>+C64</f>
        <v>4</v>
      </c>
      <c r="D38" s="498">
        <f>COUNTIF('2.Infor Detallado Desempeño POA'!AD12:AD15,"&gt;=99%")-COUNTIF('2.Infor Detallado Desempeño POA'!AD12:AD15,"&gt;100%")</f>
        <v>3</v>
      </c>
      <c r="E38" s="499">
        <f>COUNTIF('2.Infor Detallado Desempeño POA'!AD12:AD15,"&gt;100%")</f>
        <v>1</v>
      </c>
      <c r="F38" s="549">
        <f>COUNTIF('2.Infor Detallado Desempeño POA'!AD12:AD15,"&lt;99%")</f>
        <v>0</v>
      </c>
      <c r="G38" s="547">
        <f>COUNTIF('2.Infor Detallado Desempeño POA'!AD12:AD15,"=No programado")</f>
        <v>0</v>
      </c>
      <c r="H38" s="496">
        <f>SUM(D38:G38)</f>
        <v>4</v>
      </c>
      <c r="I38" s="497">
        <f t="shared" ref="I38:I54" si="3">C38-H38</f>
        <v>0</v>
      </c>
    </row>
    <row r="39" spans="2:9" s="560" customFormat="1" ht="19.95" customHeight="1">
      <c r="B39" s="478" t="s">
        <v>720</v>
      </c>
      <c r="C39" s="551">
        <f t="shared" ref="C39:C53" si="4">+C65</f>
        <v>4</v>
      </c>
      <c r="D39" s="498">
        <f>COUNTIF('2.Infor Detallado Desempeño POA'!AD21:AD24,"&gt;=99%")-COUNTIF('2.Infor Detallado Desempeño POA'!AD21:AD24,"&gt;100%")</f>
        <v>1</v>
      </c>
      <c r="E39" s="499">
        <f>COUNTIF('2.Infor Detallado Desempeño POA'!AD21:AD24,"&gt;100%")</f>
        <v>1</v>
      </c>
      <c r="F39" s="549">
        <f>COUNTIF('2.Infor Detallado Desempeño POA'!AD21:AD24,"&lt;99%")</f>
        <v>0</v>
      </c>
      <c r="G39" s="547">
        <f>COUNTIF('2.Infor Detallado Desempeño POA'!AD21:AD24,"=No programado")</f>
        <v>2</v>
      </c>
      <c r="H39" s="496">
        <f t="shared" ref="H39:H40" si="5">SUM(D39:G39)</f>
        <v>4</v>
      </c>
      <c r="I39" s="497">
        <f t="shared" si="3"/>
        <v>0</v>
      </c>
    </row>
    <row r="40" spans="2:9" s="560" customFormat="1" ht="19.95" customHeight="1">
      <c r="B40" s="478" t="s">
        <v>721</v>
      </c>
      <c r="C40" s="551">
        <f t="shared" si="4"/>
        <v>7</v>
      </c>
      <c r="D40" s="498">
        <f>COUNTIF('2.Infor Detallado Desempeño POA'!AD30:AD36,"&gt;=99%")-COUNTIF('2.Infor Detallado Desempeño POA'!AD30:AD36,"&gt;100%")</f>
        <v>7</v>
      </c>
      <c r="E40" s="499">
        <f>COUNTIF('2.Infor Detallado Desempeño POA'!AD30:AD36,"&gt;100%")</f>
        <v>0</v>
      </c>
      <c r="F40" s="549">
        <f>COUNTIF('2.Infor Detallado Desempeño POA'!AD30:AD36,"&lt;99%")</f>
        <v>0</v>
      </c>
      <c r="G40" s="547">
        <f>COUNTIF('2.Infor Detallado Desempeño POA'!AD30:AD36,"=No programado")</f>
        <v>0</v>
      </c>
      <c r="H40" s="496">
        <f t="shared" si="5"/>
        <v>7</v>
      </c>
      <c r="I40" s="497">
        <f t="shared" si="3"/>
        <v>0</v>
      </c>
    </row>
    <row r="41" spans="2:9" s="560" customFormat="1" ht="19.95" customHeight="1">
      <c r="B41" s="478" t="s">
        <v>722</v>
      </c>
      <c r="C41" s="551">
        <f t="shared" si="4"/>
        <v>2</v>
      </c>
      <c r="D41" s="498">
        <f>COUNTIF('2.Infor Detallado Desempeño POA'!AD42:AD43,"&gt;=99%")-COUNTIF('2.Infor Detallado Desempeño POA'!AD42:AD43,"&gt;100%")</f>
        <v>2</v>
      </c>
      <c r="E41" s="499">
        <f>COUNTIF('2.Infor Detallado Desempeño POA'!AD42:AD43,"&gt;100%")</f>
        <v>0</v>
      </c>
      <c r="F41" s="549">
        <f>COUNTIF('2.Infor Detallado Desempeño POA'!AD42:AD43,"&lt;99%")</f>
        <v>0</v>
      </c>
      <c r="G41" s="547">
        <f>COUNTIF('2.Infor Detallado Desempeño POA'!AD42:AD43,"=No programado")</f>
        <v>0</v>
      </c>
      <c r="H41" s="496">
        <f>SUM(D41:G41)</f>
        <v>2</v>
      </c>
      <c r="I41" s="497">
        <f t="shared" si="3"/>
        <v>0</v>
      </c>
    </row>
    <row r="42" spans="2:9" s="560" customFormat="1" ht="19.95" customHeight="1">
      <c r="B42" s="478" t="s">
        <v>733</v>
      </c>
      <c r="C42" s="551">
        <f t="shared" si="4"/>
        <v>3</v>
      </c>
      <c r="D42" s="498">
        <f>COUNTIF('2.Infor Detallado Desempeño POA'!AD49:AD51,"&gt;=99%")-COUNTIF('2.Infor Detallado Desempeño POA'!AD49:AD51,"&gt;100%")</f>
        <v>1</v>
      </c>
      <c r="E42" s="499">
        <f>COUNTIF('2.Infor Detallado Desempeño POA'!AD49:AD51,"&gt;100%")</f>
        <v>1</v>
      </c>
      <c r="F42" s="549">
        <f>COUNTIF('2.Infor Detallado Desempeño POA'!AD49:AD51,"&lt;99%")</f>
        <v>0</v>
      </c>
      <c r="G42" s="547">
        <f>COUNTIF('2.Infor Detallado Desempeño POA'!AD49:AD51,"=No programado")</f>
        <v>1</v>
      </c>
      <c r="H42" s="496">
        <f t="shared" ref="H42:H53" si="6">SUM(D42:G42)</f>
        <v>3</v>
      </c>
      <c r="I42" s="497">
        <f t="shared" si="3"/>
        <v>0</v>
      </c>
    </row>
    <row r="43" spans="2:9" s="560" customFormat="1" ht="19.95" customHeight="1">
      <c r="B43" s="478" t="s">
        <v>723</v>
      </c>
      <c r="C43" s="551">
        <f t="shared" si="4"/>
        <v>20</v>
      </c>
      <c r="D43" s="498">
        <f>COUNTIF('2.Infor Detallado Desempeño POA'!AD57:AD76,"&gt;=99%")-COUNTIF('2.Infor Detallado Desempeño POA'!AD57:AD76,"&gt;100%")</f>
        <v>0</v>
      </c>
      <c r="E43" s="499">
        <f>COUNTIF('2.Infor Detallado Desempeño POA'!AD57:AD76,"&gt;100%")</f>
        <v>13</v>
      </c>
      <c r="F43" s="549">
        <f>COUNTIF('2.Infor Detallado Desempeño POA'!AD57:AD76,"&lt;99%")</f>
        <v>5</v>
      </c>
      <c r="G43" s="547">
        <f>COUNTIF('2.Infor Detallado Desempeño POA'!AD57:AD76,"=No programado")</f>
        <v>2</v>
      </c>
      <c r="H43" s="496">
        <f t="shared" si="6"/>
        <v>20</v>
      </c>
      <c r="I43" s="497">
        <f t="shared" si="3"/>
        <v>0</v>
      </c>
    </row>
    <row r="44" spans="2:9" s="560" customFormat="1" ht="19.95" customHeight="1">
      <c r="B44" s="478" t="s">
        <v>858</v>
      </c>
      <c r="C44" s="551">
        <f t="shared" si="4"/>
        <v>7</v>
      </c>
      <c r="D44" s="498">
        <f>COUNTIF('2.Infor Detallado Desempeño POA'!AD82:AD88,"&gt;=99%")-COUNTIF('2.Infor Detallado Desempeño POA'!AD82:AD88,"&gt;100%")</f>
        <v>1</v>
      </c>
      <c r="E44" s="499">
        <f>COUNTIF('2.Infor Detallado Desempeño POA'!AD82:AD88,"&gt;100%")</f>
        <v>1</v>
      </c>
      <c r="F44" s="549">
        <f>COUNTIF('2.Infor Detallado Desempeño POA'!AD82:AD88,"&lt;99%")</f>
        <v>4</v>
      </c>
      <c r="G44" s="547">
        <f>COUNTIF('2.Infor Detallado Desempeño POA'!AD82:AD88,"=No programado")</f>
        <v>1</v>
      </c>
      <c r="H44" s="496">
        <f t="shared" si="6"/>
        <v>7</v>
      </c>
      <c r="I44" s="497">
        <f t="shared" si="3"/>
        <v>0</v>
      </c>
    </row>
    <row r="45" spans="2:9" s="560" customFormat="1" ht="19.95" customHeight="1">
      <c r="B45" s="478" t="s">
        <v>726</v>
      </c>
      <c r="C45" s="551">
        <f t="shared" si="4"/>
        <v>8</v>
      </c>
      <c r="D45" s="498">
        <f>COUNTIF('2.Infor Detallado Desempeño POA'!AD94:AD101,"&gt;=99%")-COUNTIF('2.Infor Detallado Desempeño POA'!AD94:AD101,"&gt;100%")</f>
        <v>4</v>
      </c>
      <c r="E45" s="499">
        <f>COUNTIF('2.Infor Detallado Desempeño POA'!AD94:AD101,"&gt;100%")</f>
        <v>1</v>
      </c>
      <c r="F45" s="549">
        <f>COUNTIF('2.Infor Detallado Desempeño POA'!AD94:AD101,"&lt;99%")</f>
        <v>3</v>
      </c>
      <c r="G45" s="547">
        <f>COUNTIF('2.Infor Detallado Desempeño POA'!AD94:AD101,"=No programado")</f>
        <v>0</v>
      </c>
      <c r="H45" s="496">
        <f t="shared" si="6"/>
        <v>8</v>
      </c>
      <c r="I45" s="497">
        <f t="shared" si="3"/>
        <v>0</v>
      </c>
    </row>
    <row r="46" spans="2:9" s="560" customFormat="1" ht="19.95" customHeight="1">
      <c r="B46" s="478" t="s">
        <v>727</v>
      </c>
      <c r="C46" s="551">
        <f t="shared" si="4"/>
        <v>8</v>
      </c>
      <c r="D46" s="498">
        <f>COUNTIF('2.Infor Detallado Desempeño POA'!AD107:AD114,"&gt;=99%")-COUNTIF('2.Infor Detallado Desempeño POA'!AD107:AD114,"&gt;100%")</f>
        <v>5</v>
      </c>
      <c r="E46" s="499">
        <f>COUNTIF('2.Infor Detallado Desempeño POA'!AD107:AD114,"&gt;100%")</f>
        <v>1</v>
      </c>
      <c r="F46" s="549">
        <f>COUNTIF('2.Infor Detallado Desempeño POA'!AD107:AD114,"&lt;99%")</f>
        <v>2</v>
      </c>
      <c r="G46" s="547">
        <f>COUNTIF('2.Infor Detallado Desempeño POA'!AD107:AD114,"=No programado")</f>
        <v>0</v>
      </c>
      <c r="H46" s="496">
        <f t="shared" si="6"/>
        <v>8</v>
      </c>
      <c r="I46" s="497">
        <f t="shared" si="3"/>
        <v>0</v>
      </c>
    </row>
    <row r="47" spans="2:9" s="560" customFormat="1" ht="19.95" customHeight="1">
      <c r="B47" s="478" t="s">
        <v>728</v>
      </c>
      <c r="C47" s="551">
        <f t="shared" si="4"/>
        <v>2</v>
      </c>
      <c r="D47" s="498">
        <f>COUNTIF('2.Infor Detallado Desempeño POA'!AD120:AD121,"&gt;=99%")-COUNTIF('2.Infor Detallado Desempeño POA'!AD120:AD121,"&gt;100%")</f>
        <v>1</v>
      </c>
      <c r="E47" s="499">
        <f>COUNTIF('2.Infor Detallado Desempeño POA'!AD120:AD121,"&gt;100%")</f>
        <v>1</v>
      </c>
      <c r="F47" s="549">
        <f>COUNTIF('2.Infor Detallado Desempeño POA'!AD120:AD121,"&lt;99%")</f>
        <v>0</v>
      </c>
      <c r="G47" s="547">
        <f>COUNTIF('2.Infor Detallado Desempeño POA'!AD120:AD121,"=No programado")</f>
        <v>0</v>
      </c>
      <c r="H47" s="496">
        <f t="shared" si="6"/>
        <v>2</v>
      </c>
      <c r="I47" s="497">
        <f t="shared" si="3"/>
        <v>0</v>
      </c>
    </row>
    <row r="48" spans="2:9" s="560" customFormat="1" ht="19.95" customHeight="1">
      <c r="B48" s="478" t="s">
        <v>729</v>
      </c>
      <c r="C48" s="551">
        <f t="shared" si="4"/>
        <v>3</v>
      </c>
      <c r="D48" s="498">
        <f>COUNTIF('2.Infor Detallado Desempeño POA'!AD127:AD129,"&gt;=99%")-COUNTIF('2.Infor Detallado Desempeño POA'!AD127:AD129,"&gt;100%")</f>
        <v>1</v>
      </c>
      <c r="E48" s="499">
        <f>COUNTIF('2.Infor Detallado Desempeño POA'!AD127:AD129,"&gt;100%")</f>
        <v>2</v>
      </c>
      <c r="F48" s="549">
        <f>COUNTIF('2.Infor Detallado Desempeño POA'!AD127:AD129,"&lt;99%")</f>
        <v>0</v>
      </c>
      <c r="G48" s="547">
        <f>COUNTIF('2.Infor Detallado Desempeño POA'!AD127:AD129,"=No programado")</f>
        <v>0</v>
      </c>
      <c r="H48" s="496">
        <f t="shared" si="6"/>
        <v>3</v>
      </c>
      <c r="I48" s="497">
        <f t="shared" si="3"/>
        <v>0</v>
      </c>
    </row>
    <row r="49" spans="2:17" s="560" customFormat="1" ht="19.95" customHeight="1">
      <c r="B49" s="478" t="s">
        <v>730</v>
      </c>
      <c r="C49" s="551">
        <f t="shared" si="4"/>
        <v>4</v>
      </c>
      <c r="D49" s="498">
        <f>COUNTIF('2.Infor Detallado Desempeño POA'!AD135:AD138,"&gt;=99%")-COUNTIF('2.Infor Detallado Desempeño POA'!AD135:AD138,"&gt;100%")</f>
        <v>0</v>
      </c>
      <c r="E49" s="499">
        <f>COUNTIF('2.Infor Detallado Desempeño POA'!AD135:AD138,"&gt;100%")</f>
        <v>2</v>
      </c>
      <c r="F49" s="549">
        <f>COUNTIF('2.Infor Detallado Desempeño POA'!AD135:AD138,"&lt;99%")</f>
        <v>2</v>
      </c>
      <c r="G49" s="547">
        <f>COUNTIF('2.Infor Detallado Desempeño POA'!AD135:AD138,"=No programado")</f>
        <v>0</v>
      </c>
      <c r="H49" s="496">
        <f t="shared" si="6"/>
        <v>4</v>
      </c>
      <c r="I49" s="497">
        <f t="shared" si="3"/>
        <v>0</v>
      </c>
    </row>
    <row r="50" spans="2:17" s="560" customFormat="1" ht="19.95" customHeight="1">
      <c r="B50" s="478" t="s">
        <v>731</v>
      </c>
      <c r="C50" s="551">
        <f t="shared" si="4"/>
        <v>4</v>
      </c>
      <c r="D50" s="498">
        <f>COUNTIF('2.Infor Detallado Desempeño POA'!AD144:AD147,"&gt;=99%")-COUNTIF('2.Infor Detallado Desempeño POA'!AD144:AD147,"&gt;100%")</f>
        <v>0</v>
      </c>
      <c r="E50" s="499">
        <f>COUNTIF('2.Infor Detallado Desempeño POA'!AD144:AD147,"&gt;100%")</f>
        <v>4</v>
      </c>
      <c r="F50" s="549">
        <f>COUNTIF('2.Infor Detallado Desempeño POA'!AD144:AD147,"&lt;99%")</f>
        <v>0</v>
      </c>
      <c r="G50" s="547">
        <f>COUNTIF('2.Infor Detallado Desempeño POA'!AD144:AD147,"=No programado")</f>
        <v>0</v>
      </c>
      <c r="H50" s="496">
        <f t="shared" si="6"/>
        <v>4</v>
      </c>
      <c r="I50" s="497">
        <f t="shared" si="3"/>
        <v>0</v>
      </c>
    </row>
    <row r="51" spans="2:17" s="560" customFormat="1" ht="19.95" customHeight="1">
      <c r="B51" s="478" t="s">
        <v>732</v>
      </c>
      <c r="C51" s="551">
        <f t="shared" si="4"/>
        <v>5</v>
      </c>
      <c r="D51" s="498">
        <f>COUNTIF('2.Infor Detallado Desempeño POA'!AD153:AD157,"&gt;=99%")-COUNTIF('2.Infor Detallado Desempeño POA'!AD153:AD157,"&gt;100%")</f>
        <v>5</v>
      </c>
      <c r="E51" s="499">
        <f>COUNTIF('2.Infor Detallado Desempeño POA'!AD153:AD157,"&gt;100%")</f>
        <v>0</v>
      </c>
      <c r="F51" s="549">
        <f>COUNTIF('2.Infor Detallado Desempeño POA'!AD153:AD157,"&lt;99%")</f>
        <v>0</v>
      </c>
      <c r="G51" s="547">
        <f>COUNTIF('2.Infor Detallado Desempeño POA'!AD153:AD157,"=No programado")</f>
        <v>0</v>
      </c>
      <c r="H51" s="496">
        <f t="shared" si="6"/>
        <v>5</v>
      </c>
      <c r="I51" s="497">
        <f t="shared" si="3"/>
        <v>0</v>
      </c>
    </row>
    <row r="52" spans="2:17" s="560" customFormat="1" ht="19.95" customHeight="1">
      <c r="B52" s="478" t="s">
        <v>734</v>
      </c>
      <c r="C52" s="551">
        <f t="shared" si="4"/>
        <v>3</v>
      </c>
      <c r="D52" s="498">
        <f>COUNTIF('2.Infor Detallado Desempeño POA'!AD163:AD165,"&gt;=99%")-COUNTIF('2.Infor Detallado Desempeño POA'!AD163:AD165,"&gt;100%")</f>
        <v>0</v>
      </c>
      <c r="E52" s="499">
        <f>COUNTIF('2.Infor Detallado Desempeño POA'!AD163:AD165,"&gt;100%")</f>
        <v>2</v>
      </c>
      <c r="F52" s="549">
        <f>COUNTIF('2.Infor Detallado Desempeño POA'!AD163:AD165,"&lt;99%")</f>
        <v>1</v>
      </c>
      <c r="G52" s="547">
        <f>COUNTIF('2.Infor Detallado Desempeño POA'!AD163:AD165,"=No programado")</f>
        <v>0</v>
      </c>
      <c r="H52" s="496">
        <f t="shared" si="6"/>
        <v>3</v>
      </c>
      <c r="I52" s="497">
        <f t="shared" si="3"/>
        <v>0</v>
      </c>
    </row>
    <row r="53" spans="2:17" s="560" customFormat="1" ht="19.95" customHeight="1">
      <c r="B53" s="478" t="s">
        <v>735</v>
      </c>
      <c r="C53" s="551">
        <f t="shared" si="4"/>
        <v>3</v>
      </c>
      <c r="D53" s="498">
        <f>COUNTIF('2.Infor Detallado Desempeño POA'!AD171:AD173,"&gt;=99%")-COUNTIF('2.Infor Detallado Desempeño POA'!AD171:AD173,"&gt;100%")</f>
        <v>2</v>
      </c>
      <c r="E53" s="499">
        <f>COUNTIF('2.Infor Detallado Desempeño POA'!AD171:AD173,"&gt;100%")</f>
        <v>0</v>
      </c>
      <c r="F53" s="549">
        <f>COUNTIF('2.Infor Detallado Desempeño POA'!AD171:AD173,"&lt;99%")</f>
        <v>0</v>
      </c>
      <c r="G53" s="547">
        <f>COUNTIF('2.Infor Detallado Desempeño POA'!AD171:AD173,"=No programado")</f>
        <v>1</v>
      </c>
      <c r="H53" s="496">
        <f t="shared" si="6"/>
        <v>3</v>
      </c>
      <c r="I53" s="497">
        <f t="shared" si="3"/>
        <v>0</v>
      </c>
    </row>
    <row r="54" spans="2:17" s="560" customFormat="1" ht="19.95" customHeight="1">
      <c r="B54" s="511" t="s">
        <v>887</v>
      </c>
      <c r="C54" s="512">
        <f>SUM(C38:C53)</f>
        <v>87</v>
      </c>
      <c r="D54" s="513">
        <f t="shared" ref="D54:E54" si="7">SUM(D38:D53)</f>
        <v>33</v>
      </c>
      <c r="E54" s="514">
        <f t="shared" si="7"/>
        <v>30</v>
      </c>
      <c r="F54" s="550">
        <f>SUM(F38:F53)</f>
        <v>17</v>
      </c>
      <c r="G54" s="548">
        <f>SUM(G38:G53)</f>
        <v>7</v>
      </c>
      <c r="H54" s="496">
        <f>SUM(D54:G54)</f>
        <v>87</v>
      </c>
      <c r="I54" s="497">
        <f t="shared" si="3"/>
        <v>0</v>
      </c>
    </row>
    <row r="55" spans="2:17" s="560" customFormat="1" ht="19.95" customHeight="1">
      <c r="B55" s="771"/>
      <c r="C55" s="773"/>
      <c r="D55" s="773"/>
      <c r="E55" s="773"/>
      <c r="F55" s="773"/>
      <c r="G55" s="773"/>
      <c r="H55" s="772"/>
      <c r="I55" s="497"/>
    </row>
    <row r="56" spans="2:17" s="560" customFormat="1" ht="3" customHeight="1">
      <c r="C56" s="776"/>
      <c r="D56" s="774" t="str">
        <f>+D37</f>
        <v>No de Indicadores con Meta Cumplida según programación</v>
      </c>
      <c r="E56" s="775">
        <f>+D54</f>
        <v>33</v>
      </c>
      <c r="F56" s="777"/>
      <c r="G56" s="778"/>
      <c r="H56" s="561"/>
    </row>
    <row r="57" spans="2:17" s="560" customFormat="1" ht="3" customHeight="1">
      <c r="C57" s="776"/>
      <c r="D57" s="774" t="str">
        <f>+E37</f>
        <v xml:space="preserve">No de Indicadores con ejecución superior a la programada </v>
      </c>
      <c r="E57" s="775">
        <f>+E54</f>
        <v>30</v>
      </c>
      <c r="F57" s="777"/>
      <c r="G57" s="778"/>
      <c r="H57" s="561"/>
    </row>
    <row r="58" spans="2:17" s="560" customFormat="1" ht="3" customHeight="1">
      <c r="C58" s="776"/>
      <c r="D58" s="774" t="str">
        <f>+F37</f>
        <v xml:space="preserve">No de Indicadores con ejecución menor a la programada </v>
      </c>
      <c r="E58" s="775">
        <f>+F54</f>
        <v>17</v>
      </c>
      <c r="F58" s="777"/>
      <c r="G58" s="778"/>
      <c r="H58" s="561"/>
    </row>
    <row r="59" spans="2:17" s="560" customFormat="1" ht="3" customHeight="1">
      <c r="C59" s="776"/>
      <c r="D59" s="774" t="str">
        <f>+G37</f>
        <v>No de indicadores sin programar en el periodo</v>
      </c>
      <c r="E59" s="775">
        <f>+G54</f>
        <v>7</v>
      </c>
      <c r="F59" s="777"/>
      <c r="G59" s="778"/>
      <c r="H59" s="561"/>
    </row>
    <row r="60" spans="2:17" s="560" customFormat="1" ht="10.199999999999999" customHeight="1">
      <c r="C60" s="561"/>
      <c r="D60" s="561"/>
      <c r="E60" s="562">
        <f>SUM(E27:E30)</f>
        <v>87</v>
      </c>
      <c r="F60" s="559"/>
      <c r="H60" s="561"/>
    </row>
    <row r="61" spans="2:17" ht="15.6" thickBot="1"/>
    <row r="62" spans="2:17" s="485" customFormat="1" ht="15.6">
      <c r="B62" s="1340" t="s">
        <v>744</v>
      </c>
      <c r="C62" s="1342" t="s">
        <v>885</v>
      </c>
      <c r="D62" s="1344" t="s">
        <v>886</v>
      </c>
      <c r="E62" s="1345"/>
      <c r="F62" s="1346"/>
      <c r="P62" s="473"/>
      <c r="Q62" s="473"/>
    </row>
    <row r="63" spans="2:17" ht="33" customHeight="1">
      <c r="B63" s="1341"/>
      <c r="C63" s="1343"/>
      <c r="D63" s="870" t="s">
        <v>753</v>
      </c>
      <c r="E63" s="870" t="s">
        <v>757</v>
      </c>
      <c r="F63" s="488" t="s">
        <v>761</v>
      </c>
      <c r="H63" s="473"/>
    </row>
    <row r="64" spans="2:17">
      <c r="B64" s="489" t="s">
        <v>718</v>
      </c>
      <c r="C64" s="490">
        <f>+'3.Resum Desemp Procesos POA T1'!C41</f>
        <v>4</v>
      </c>
      <c r="D64" s="490">
        <f>+'Rango indicadores'!E111</f>
        <v>4</v>
      </c>
      <c r="E64" s="490">
        <f>+'Rango indicadores'!F111</f>
        <v>0</v>
      </c>
      <c r="F64" s="491">
        <f>+'Rango indicadores'!G111</f>
        <v>0</v>
      </c>
      <c r="H64" s="473"/>
    </row>
    <row r="65" spans="2:8">
      <c r="B65" s="489" t="s">
        <v>720</v>
      </c>
      <c r="C65" s="490">
        <f>+'3.Resum Desemp Procesos POA T1'!C42</f>
        <v>4</v>
      </c>
      <c r="D65" s="490">
        <f>+'Rango indicadores'!E112</f>
        <v>4</v>
      </c>
      <c r="E65" s="490">
        <f>+'Rango indicadores'!F112</f>
        <v>0</v>
      </c>
      <c r="F65" s="491">
        <f>+'Rango indicadores'!G112</f>
        <v>0</v>
      </c>
      <c r="H65" s="473"/>
    </row>
    <row r="66" spans="2:8">
      <c r="B66" s="489" t="s">
        <v>721</v>
      </c>
      <c r="C66" s="490">
        <f>+'3.Resum Desemp Procesos POA T1'!C43</f>
        <v>7</v>
      </c>
      <c r="D66" s="490">
        <f>+'Rango indicadores'!E113</f>
        <v>7</v>
      </c>
      <c r="E66" s="490">
        <f>+'Rango indicadores'!F113</f>
        <v>0</v>
      </c>
      <c r="F66" s="491">
        <f>+'Rango indicadores'!G113</f>
        <v>0</v>
      </c>
      <c r="H66" s="473"/>
    </row>
    <row r="67" spans="2:8">
      <c r="B67" s="489" t="s">
        <v>722</v>
      </c>
      <c r="C67" s="490">
        <f>+'3.Resum Desemp Procesos POA T1'!C44</f>
        <v>2</v>
      </c>
      <c r="D67" s="490">
        <f>+'Rango indicadores'!E114</f>
        <v>2</v>
      </c>
      <c r="E67" s="490">
        <f>+'Rango indicadores'!F114</f>
        <v>0</v>
      </c>
      <c r="F67" s="491">
        <f>+'Rango indicadores'!G114</f>
        <v>0</v>
      </c>
      <c r="H67" s="473"/>
    </row>
    <row r="68" spans="2:8">
      <c r="B68" s="489" t="s">
        <v>733</v>
      </c>
      <c r="C68" s="490">
        <f>+'3.Resum Desemp Procesos POA T1'!C45</f>
        <v>3</v>
      </c>
      <c r="D68" s="490">
        <f>+'Rango indicadores'!E124</f>
        <v>3</v>
      </c>
      <c r="E68" s="490">
        <f>+'Rango indicadores'!F115</f>
        <v>0</v>
      </c>
      <c r="F68" s="491">
        <f>+'Rango indicadores'!G115</f>
        <v>0</v>
      </c>
      <c r="H68" s="473"/>
    </row>
    <row r="69" spans="2:8">
      <c r="B69" s="489" t="s">
        <v>723</v>
      </c>
      <c r="C69" s="490">
        <f>+'3.Resum Desemp Procesos POA T1'!C47</f>
        <v>20</v>
      </c>
      <c r="D69" s="490">
        <f>+'Rango indicadores'!E115</f>
        <v>20</v>
      </c>
      <c r="E69" s="490">
        <f>+'Rango indicadores'!F116</f>
        <v>0</v>
      </c>
      <c r="F69" s="491">
        <f>+'Rango indicadores'!G116</f>
        <v>0</v>
      </c>
      <c r="H69" s="473"/>
    </row>
    <row r="70" spans="2:8">
      <c r="B70" s="489" t="s">
        <v>858</v>
      </c>
      <c r="C70" s="490">
        <f>+'3.Resum Desemp Procesos POA T1'!C48</f>
        <v>7</v>
      </c>
      <c r="D70" s="490">
        <f>+'Rango indicadores'!E116</f>
        <v>7</v>
      </c>
      <c r="E70" s="490">
        <f>+'Rango indicadores'!F117</f>
        <v>0</v>
      </c>
      <c r="F70" s="491">
        <f>+'Rango indicadores'!G117</f>
        <v>0</v>
      </c>
      <c r="H70" s="473"/>
    </row>
    <row r="71" spans="2:8">
      <c r="B71" s="489" t="s">
        <v>726</v>
      </c>
      <c r="C71" s="490">
        <f>+'3.Resum Desemp Procesos POA T1'!C49</f>
        <v>8</v>
      </c>
      <c r="D71" s="490">
        <f>+'Rango indicadores'!E117</f>
        <v>8</v>
      </c>
      <c r="E71" s="490">
        <f>+'Rango indicadores'!F118</f>
        <v>0</v>
      </c>
      <c r="F71" s="491">
        <f>+'Rango indicadores'!G118</f>
        <v>1</v>
      </c>
      <c r="H71" s="473"/>
    </row>
    <row r="72" spans="2:8">
      <c r="B72" s="489" t="s">
        <v>727</v>
      </c>
      <c r="C72" s="490">
        <f>+'3.Resum Desemp Procesos POA T1'!C51</f>
        <v>8</v>
      </c>
      <c r="D72" s="490">
        <f>+'Rango indicadores'!E118</f>
        <v>7</v>
      </c>
      <c r="E72" s="490">
        <f>+'Rango indicadores'!F119</f>
        <v>0</v>
      </c>
      <c r="F72" s="491">
        <f>+'Rango indicadores'!G119</f>
        <v>0</v>
      </c>
      <c r="H72" s="473"/>
    </row>
    <row r="73" spans="2:8">
      <c r="B73" s="489" t="s">
        <v>728</v>
      </c>
      <c r="C73" s="490">
        <f>+'3.Resum Desemp Procesos POA T1'!C52</f>
        <v>2</v>
      </c>
      <c r="D73" s="490">
        <f>+'Rango indicadores'!E119</f>
        <v>2</v>
      </c>
      <c r="E73" s="490">
        <f>+'Rango indicadores'!F120</f>
        <v>0</v>
      </c>
      <c r="F73" s="491">
        <f>+'Rango indicadores'!G120</f>
        <v>0</v>
      </c>
      <c r="H73" s="473"/>
    </row>
    <row r="74" spans="2:8">
      <c r="B74" s="489" t="s">
        <v>729</v>
      </c>
      <c r="C74" s="490">
        <f>+'3.Resum Desemp Procesos POA T1'!C53</f>
        <v>3</v>
      </c>
      <c r="D74" s="490">
        <f>+'Rango indicadores'!E120</f>
        <v>3</v>
      </c>
      <c r="E74" s="490">
        <f>+'Rango indicadores'!F121</f>
        <v>3</v>
      </c>
      <c r="F74" s="491">
        <f>+'Rango indicadores'!G121</f>
        <v>0</v>
      </c>
      <c r="H74" s="473"/>
    </row>
    <row r="75" spans="2:8">
      <c r="B75" s="489" t="s">
        <v>730</v>
      </c>
      <c r="C75" s="490">
        <f>+'3.Resum Desemp Procesos POA T1'!C54</f>
        <v>4</v>
      </c>
      <c r="D75" s="490">
        <f>+'Rango indicadores'!E121</f>
        <v>1</v>
      </c>
      <c r="E75" s="490">
        <f>+'Rango indicadores'!F122</f>
        <v>1</v>
      </c>
      <c r="F75" s="491">
        <f>+'Rango indicadores'!G122</f>
        <v>0</v>
      </c>
      <c r="H75" s="473"/>
    </row>
    <row r="76" spans="2:8">
      <c r="B76" s="489" t="s">
        <v>731</v>
      </c>
      <c r="C76" s="490">
        <f>+'3.Resum Desemp Procesos POA T1'!C55</f>
        <v>4</v>
      </c>
      <c r="D76" s="490">
        <f>+'Rango indicadores'!E122</f>
        <v>3</v>
      </c>
      <c r="E76" s="490">
        <f>+'Rango indicadores'!F123</f>
        <v>0</v>
      </c>
      <c r="F76" s="491">
        <f>+'Rango indicadores'!G123</f>
        <v>0</v>
      </c>
      <c r="H76" s="473"/>
    </row>
    <row r="77" spans="2:8">
      <c r="B77" s="489" t="s">
        <v>732</v>
      </c>
      <c r="C77" s="490">
        <f>+'3.Resum Desemp Procesos POA T1'!C56</f>
        <v>5</v>
      </c>
      <c r="D77" s="490">
        <f>+'Rango indicadores'!E123</f>
        <v>5</v>
      </c>
      <c r="E77" s="490">
        <f>+'Rango indicadores'!F124</f>
        <v>0</v>
      </c>
      <c r="F77" s="491">
        <f>+'Rango indicadores'!G124</f>
        <v>0</v>
      </c>
      <c r="H77" s="473"/>
    </row>
    <row r="78" spans="2:8">
      <c r="B78" s="489" t="s">
        <v>734</v>
      </c>
      <c r="C78" s="490">
        <f>+'3.Resum Desemp Procesos POA T1'!C58</f>
        <v>3</v>
      </c>
      <c r="D78" s="490">
        <f>+'Rango indicadores'!E124</f>
        <v>3</v>
      </c>
      <c r="E78" s="490">
        <f>+'Rango indicadores'!F125</f>
        <v>0</v>
      </c>
      <c r="F78" s="491">
        <f>+'Rango indicadores'!G125</f>
        <v>0</v>
      </c>
      <c r="H78" s="473"/>
    </row>
    <row r="79" spans="2:8">
      <c r="B79" s="489" t="s">
        <v>735</v>
      </c>
      <c r="C79" s="490">
        <f>+'3.Resum Desemp Procesos POA T1'!C59</f>
        <v>3</v>
      </c>
      <c r="D79" s="490">
        <f>+'Rango indicadores'!E125</f>
        <v>3</v>
      </c>
      <c r="E79" s="490">
        <f>+'Rango indicadores'!F126</f>
        <v>0</v>
      </c>
      <c r="F79" s="491">
        <f>+'Rango indicadores'!G126</f>
        <v>0</v>
      </c>
      <c r="H79" s="473"/>
    </row>
    <row r="80" spans="2:8" ht="16.2" thickBot="1">
      <c r="B80" s="492" t="s">
        <v>887</v>
      </c>
      <c r="C80" s="493">
        <f>SUM(C64:C79)</f>
        <v>87</v>
      </c>
      <c r="D80" s="493">
        <f>SUM(D64:D79)</f>
        <v>82</v>
      </c>
      <c r="E80" s="493">
        <f>SUM(E64:E79)</f>
        <v>4</v>
      </c>
      <c r="F80" s="494">
        <f>SUM(F64:F79)</f>
        <v>1</v>
      </c>
      <c r="H80" s="473"/>
    </row>
    <row r="81" spans="8:8">
      <c r="H81" s="473"/>
    </row>
    <row r="82" spans="8:8">
      <c r="H82" s="473"/>
    </row>
    <row r="84" spans="8:8" ht="15" customHeight="1"/>
  </sheetData>
  <mergeCells count="14">
    <mergeCell ref="B2:B3"/>
    <mergeCell ref="C2:G2"/>
    <mergeCell ref="C3:G3"/>
    <mergeCell ref="B4:F4"/>
    <mergeCell ref="B7:B8"/>
    <mergeCell ref="C7:G7"/>
    <mergeCell ref="D34:E34"/>
    <mergeCell ref="B35:B37"/>
    <mergeCell ref="C35:G35"/>
    <mergeCell ref="E36:F36"/>
    <mergeCell ref="B62:B63"/>
    <mergeCell ref="C62:C63"/>
    <mergeCell ref="D62:F62"/>
    <mergeCell ref="C36:D3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rgb="FF00FF99"/>
  </sheetPr>
  <dimension ref="B1:R85"/>
  <sheetViews>
    <sheetView showGridLines="0" zoomScale="85" zoomScaleNormal="85" workbookViewId="0">
      <selection activeCell="B5" sqref="B5"/>
    </sheetView>
  </sheetViews>
  <sheetFormatPr baseColWidth="10" defaultColWidth="11.44140625" defaultRowHeight="15"/>
  <cols>
    <col min="1" max="1" width="3.6640625" style="473" customWidth="1"/>
    <col min="2" max="2" width="52.44140625" style="473" customWidth="1"/>
    <col min="3" max="5" width="18.44140625" style="475" customWidth="1"/>
    <col min="6" max="7" width="18.44140625" style="473" customWidth="1"/>
    <col min="8" max="8" width="6.109375" style="475" hidden="1" customWidth="1"/>
    <col min="9" max="9" width="11.44140625" style="473" hidden="1" customWidth="1"/>
    <col min="10" max="16" width="11.44140625" style="473"/>
    <col min="17" max="17" width="62.44140625" style="473" bestFit="1" customWidth="1"/>
    <col min="18" max="18" width="40" style="473" customWidth="1"/>
    <col min="19" max="16356" width="11.44140625" style="473"/>
    <col min="16357" max="16357" width="1.44140625" style="473" customWidth="1"/>
    <col min="16358" max="16384" width="2.88671875" style="473" customWidth="1"/>
  </cols>
  <sheetData>
    <row r="1" spans="2:9">
      <c r="C1" s="474"/>
      <c r="D1" s="474"/>
      <c r="E1" s="474"/>
    </row>
    <row r="2" spans="2:9" ht="15.6">
      <c r="B2" s="1349" t="s">
        <v>883</v>
      </c>
      <c r="C2" s="1350" t="s">
        <v>888</v>
      </c>
      <c r="D2" s="1351"/>
      <c r="E2" s="1351"/>
      <c r="F2" s="1351"/>
      <c r="G2" s="1352"/>
      <c r="H2" s="519"/>
    </row>
    <row r="3" spans="2:9" ht="17.399999999999999">
      <c r="B3" s="1349"/>
      <c r="C3" s="1353" t="str">
        <f>+'3.Resum Desemp Procesos POA T1'!C3</f>
        <v>PLAN OPERATIVO ANUAL 2022</v>
      </c>
      <c r="D3" s="1354"/>
      <c r="E3" s="1354"/>
      <c r="F3" s="1354"/>
      <c r="G3" s="1355"/>
      <c r="H3" s="519"/>
    </row>
    <row r="4" spans="2:9" ht="9.75" customHeight="1">
      <c r="B4" s="1356"/>
      <c r="C4" s="1356"/>
      <c r="D4" s="1356"/>
      <c r="E4" s="1356"/>
      <c r="F4" s="1356"/>
      <c r="G4" s="1020"/>
      <c r="H4" s="495"/>
    </row>
    <row r="5" spans="2:9" ht="19.5" customHeight="1">
      <c r="B5" s="473" t="str">
        <f>+'3.Resum Desemp Procesos POA T1'!B5</f>
        <v xml:space="preserve">Fecha de corte: </v>
      </c>
      <c r="C5" s="884">
        <f>+'3.Resum Desemp Procesos POA T4 '!C5</f>
        <v>44926</v>
      </c>
    </row>
    <row r="6" spans="2:9" ht="19.5" customHeight="1">
      <c r="B6" s="476"/>
    </row>
    <row r="7" spans="2:9" s="560" customFormat="1" ht="26.25" customHeight="1">
      <c r="B7" s="1312" t="s">
        <v>711</v>
      </c>
      <c r="C7" s="1336" t="s">
        <v>1148</v>
      </c>
      <c r="D7" s="1337"/>
      <c r="E7" s="1337"/>
      <c r="F7" s="1337"/>
      <c r="G7" s="1338"/>
      <c r="H7" s="561"/>
    </row>
    <row r="8" spans="2:9" s="560" customFormat="1" ht="29.4" customHeight="1">
      <c r="B8" s="1312"/>
      <c r="C8" s="885"/>
      <c r="D8" s="1021" t="s">
        <v>1149</v>
      </c>
      <c r="E8" s="1339">
        <f>C5</f>
        <v>44926</v>
      </c>
      <c r="F8" s="1339"/>
      <c r="G8" s="886"/>
      <c r="H8" s="561"/>
    </row>
    <row r="9" spans="2:9" s="560" customFormat="1" ht="72.599999999999994" customHeight="1">
      <c r="B9" s="1312"/>
      <c r="C9" s="546" t="s">
        <v>889</v>
      </c>
      <c r="D9" s="546" t="s">
        <v>890</v>
      </c>
      <c r="E9" s="546" t="s">
        <v>891</v>
      </c>
      <c r="F9" s="546" t="s">
        <v>898</v>
      </c>
      <c r="G9" s="520" t="s">
        <v>917</v>
      </c>
      <c r="H9" s="561"/>
    </row>
    <row r="10" spans="2:9" s="560" customFormat="1" ht="19.95" customHeight="1">
      <c r="B10" s="478" t="s">
        <v>718</v>
      </c>
      <c r="C10" s="551">
        <f t="shared" ref="C10:C25" si="0">+C65</f>
        <v>4</v>
      </c>
      <c r="D10" s="498">
        <f>COUNTIF('2.Infor Detallado Desempeño POA'!AM12:AM15,"&gt;=99%")-COUNTIF('2.Infor Detallado Desempeño POA'!AM12:AM15,"&gt;100%")</f>
        <v>4</v>
      </c>
      <c r="E10" s="499">
        <f>COUNTIF('2.Infor Detallado Desempeño POA'!AM12:AM15,"&gt;100%")</f>
        <v>0</v>
      </c>
      <c r="F10" s="549">
        <f>COUNTIF('2.Infor Detallado Desempeño POA'!AM12:AM15,"&lt;99%")</f>
        <v>0</v>
      </c>
      <c r="G10" s="547">
        <f>COUNTIF('2.Infor Detallado Desempeño POA'!AM12:AM15,"=No programado")</f>
        <v>0</v>
      </c>
      <c r="H10" s="496">
        <f>SUM(D10:G10)</f>
        <v>4</v>
      </c>
      <c r="I10" s="497">
        <f t="shared" ref="I10:I26" si="1">C10-H10</f>
        <v>0</v>
      </c>
    </row>
    <row r="11" spans="2:9" s="560" customFormat="1" ht="19.95" customHeight="1">
      <c r="B11" s="478" t="s">
        <v>720</v>
      </c>
      <c r="C11" s="551">
        <f t="shared" si="0"/>
        <v>4</v>
      </c>
      <c r="D11" s="498">
        <f>COUNTIF('2.Infor Detallado Desempeño POA'!AM21:AM24,"&gt;=99%")-COUNTIF('2.Infor Detallado Desempeño POA'!AM21:AM24,"&gt;100%")</f>
        <v>4</v>
      </c>
      <c r="E11" s="499">
        <f>COUNTIF('2.Infor Detallado Desempeño POA'!AM21:AM24,"&gt;100%")</f>
        <v>0</v>
      </c>
      <c r="F11" s="549">
        <f>COUNTIF('2.Infor Detallado Desempeño POA'!AM21:AM24,"&lt;99%")</f>
        <v>0</v>
      </c>
      <c r="G11" s="547">
        <f>COUNTIF('2.Infor Detallado Desempeño POA'!AM21:AM24,"=No programado")</f>
        <v>0</v>
      </c>
      <c r="H11" s="496">
        <f t="shared" ref="H11:H12" si="2">SUM(D11:G11)</f>
        <v>4</v>
      </c>
      <c r="I11" s="497">
        <f t="shared" si="1"/>
        <v>0</v>
      </c>
    </row>
    <row r="12" spans="2:9" s="560" customFormat="1" ht="19.95" customHeight="1">
      <c r="B12" s="478" t="s">
        <v>721</v>
      </c>
      <c r="C12" s="551">
        <f t="shared" si="0"/>
        <v>7</v>
      </c>
      <c r="D12" s="498">
        <f>COUNTIF('2.Infor Detallado Desempeño POA'!AM30:AM36,"&gt;=99%")-COUNTIF('2.Infor Detallado Desempeño POA'!AM30:AM36,"&gt;100%")</f>
        <v>7</v>
      </c>
      <c r="E12" s="499">
        <f>COUNTIF('2.Infor Detallado Desempeño POA'!AM30:AM36,"&gt;100%")</f>
        <v>0</v>
      </c>
      <c r="F12" s="549">
        <f>COUNTIF('2.Infor Detallado Desempeño POA'!AM30:AM36,"&lt;99%")</f>
        <v>0</v>
      </c>
      <c r="G12" s="547">
        <f>COUNTIF('2.Infor Detallado Desempeño POA'!AM30:AM36,"=No programado")</f>
        <v>0</v>
      </c>
      <c r="H12" s="496">
        <f t="shared" si="2"/>
        <v>7</v>
      </c>
      <c r="I12" s="497">
        <f t="shared" si="1"/>
        <v>0</v>
      </c>
    </row>
    <row r="13" spans="2:9" s="560" customFormat="1" ht="19.95" customHeight="1">
      <c r="B13" s="478" t="s">
        <v>722</v>
      </c>
      <c r="C13" s="551">
        <f t="shared" si="0"/>
        <v>2</v>
      </c>
      <c r="D13" s="498">
        <f>COUNTIF('2.Infor Detallado Desempeño POA'!AM42:AM43,"&gt;=99%")-COUNTIF('2.Infor Detallado Desempeño POA'!AM42:AM43,"&gt;100%")</f>
        <v>2</v>
      </c>
      <c r="E13" s="499">
        <f>COUNTIF('2.Infor Detallado Desempeño POA'!AM42:AM43,"&gt;100%")</f>
        <v>0</v>
      </c>
      <c r="F13" s="549">
        <f>COUNTIF('2.Infor Detallado Desempeño POA'!AM42:AM43,"&lt;99%")</f>
        <v>0</v>
      </c>
      <c r="G13" s="547">
        <f>COUNTIF('2.Infor Detallado Desempeño POA'!AM42:AM43,"=No programado")</f>
        <v>0</v>
      </c>
      <c r="H13" s="496">
        <f>SUM(D13:G13)</f>
        <v>2</v>
      </c>
      <c r="I13" s="497">
        <f t="shared" si="1"/>
        <v>0</v>
      </c>
    </row>
    <row r="14" spans="2:9" s="560" customFormat="1" ht="19.95" customHeight="1">
      <c r="B14" s="478" t="s">
        <v>733</v>
      </c>
      <c r="C14" s="551">
        <f t="shared" si="0"/>
        <v>3</v>
      </c>
      <c r="D14" s="498">
        <f>COUNTIF('2.Infor Detallado Desempeño POA'!AM49:AM51,"&gt;=99%")-COUNTIF('2.Infor Detallado Desempeño POA'!AM49:AM51,"&gt;100%")</f>
        <v>1</v>
      </c>
      <c r="E14" s="514">
        <f>COUNTIF('2.Infor Detallado Desempeño POA'!AM49:AM51,"&gt;100%")</f>
        <v>2</v>
      </c>
      <c r="F14" s="549">
        <f>COUNTIF('2.Infor Detallado Desempeño POA'!AM49:AM51,"&lt;99%")</f>
        <v>0</v>
      </c>
      <c r="G14" s="547">
        <f>COUNTIF('2.Infor Detallado Desempeño POA'!AM49:AM51,"=No programado")</f>
        <v>0</v>
      </c>
      <c r="H14" s="496">
        <f t="shared" ref="H14:H25" si="3">SUM(D14:G14)</f>
        <v>3</v>
      </c>
      <c r="I14" s="497">
        <f t="shared" si="1"/>
        <v>0</v>
      </c>
    </row>
    <row r="15" spans="2:9" s="560" customFormat="1" ht="19.95" customHeight="1">
      <c r="B15" s="478" t="s">
        <v>723</v>
      </c>
      <c r="C15" s="551">
        <f t="shared" si="0"/>
        <v>20</v>
      </c>
      <c r="D15" s="498">
        <f>COUNTIF('2.Infor Detallado Desempeño POA'!AM57:AM76,"&gt;=99%")-COUNTIF('2.Infor Detallado Desempeño POA'!AM57:AM76,"&gt;100%")</f>
        <v>4</v>
      </c>
      <c r="E15" s="514">
        <f>COUNTIF('2.Infor Detallado Desempeño POA'!AM57:AM76,"&gt;100%")</f>
        <v>15</v>
      </c>
      <c r="F15" s="549">
        <f>COUNTIF('2.Infor Detallado Desempeño POA'!AM57:AM76,"&lt;99%")</f>
        <v>0</v>
      </c>
      <c r="G15" s="547">
        <f>COUNTIF('2.Infor Detallado Desempeño POA'!AM57:AM76,"=No programado")</f>
        <v>1</v>
      </c>
      <c r="H15" s="496">
        <f t="shared" si="3"/>
        <v>20</v>
      </c>
      <c r="I15" s="497">
        <f t="shared" si="1"/>
        <v>0</v>
      </c>
    </row>
    <row r="16" spans="2:9" s="560" customFormat="1" ht="19.95" customHeight="1">
      <c r="B16" s="478" t="s">
        <v>858</v>
      </c>
      <c r="C16" s="551">
        <f t="shared" si="0"/>
        <v>7</v>
      </c>
      <c r="D16" s="498">
        <f>COUNTIF('2.Infor Detallado Desempeño POA'!AM82:AM88,"&gt;=99%")-COUNTIF('2.Infor Detallado Desempeño POA'!AM82:AM88,"&gt;100%")</f>
        <v>3</v>
      </c>
      <c r="E16" s="514">
        <f>COUNTIF('2.Infor Detallado Desempeño POA'!AM82:AM88,"&gt;100%")</f>
        <v>4</v>
      </c>
      <c r="F16" s="549">
        <f>COUNTIF('2.Infor Detallado Desempeño POA'!AM82:AM88,"&lt;99%")</f>
        <v>0</v>
      </c>
      <c r="G16" s="547">
        <f>COUNTIF('2.Infor Detallado Desempeño POA'!AM82:AM88,"=No programado")</f>
        <v>0</v>
      </c>
      <c r="H16" s="496">
        <f t="shared" si="3"/>
        <v>7</v>
      </c>
      <c r="I16" s="497">
        <f t="shared" si="1"/>
        <v>0</v>
      </c>
    </row>
    <row r="17" spans="2:9" s="560" customFormat="1" ht="19.95" customHeight="1">
      <c r="B17" s="478" t="s">
        <v>726</v>
      </c>
      <c r="C17" s="551">
        <f t="shared" si="0"/>
        <v>8</v>
      </c>
      <c r="D17" s="498">
        <f>COUNTIF('2.Infor Detallado Desempeño POA'!AM94:AM101,"&gt;=99%")-COUNTIF('2.Infor Detallado Desempeño POA'!AM94:AM101,"&gt;100%")</f>
        <v>5</v>
      </c>
      <c r="E17" s="499">
        <f>COUNTIF('2.Infor Detallado Desempeño POA'!AM94:AM101,"&gt;100%")</f>
        <v>0</v>
      </c>
      <c r="F17" s="550">
        <f>COUNTIF('2.Infor Detallado Desempeño POA'!AM94:AM101,"&lt;99%")</f>
        <v>3</v>
      </c>
      <c r="G17" s="547">
        <f>COUNTIF('2.Infor Detallado Desempeño POA'!AM94:AM101,"=No programado")</f>
        <v>0</v>
      </c>
      <c r="H17" s="496">
        <f t="shared" si="3"/>
        <v>8</v>
      </c>
      <c r="I17" s="497">
        <f t="shared" si="1"/>
        <v>0</v>
      </c>
    </row>
    <row r="18" spans="2:9" s="560" customFormat="1" ht="19.95" customHeight="1">
      <c r="B18" s="478" t="s">
        <v>727</v>
      </c>
      <c r="C18" s="551">
        <f t="shared" si="0"/>
        <v>8</v>
      </c>
      <c r="D18" s="498">
        <f>COUNTIF('2.Infor Detallado Desempeño POA'!AM107:AM114,"&gt;=99%")-COUNTIF('2.Infor Detallado Desempeño POA'!AM107:AM114,"&gt;100%")</f>
        <v>4</v>
      </c>
      <c r="E18" s="514">
        <f>COUNTIF('2.Infor Detallado Desempeño POA'!AM107:AM114,"&gt;100%")</f>
        <v>2</v>
      </c>
      <c r="F18" s="550">
        <f>COUNTIF('2.Infor Detallado Desempeño POA'!AM107:AM114,"&lt;99%")</f>
        <v>2</v>
      </c>
      <c r="G18" s="547">
        <f>COUNTIF('2.Infor Detallado Desempeño POA'!AM107:AM114,"=No programado")</f>
        <v>0</v>
      </c>
      <c r="H18" s="496">
        <f t="shared" si="3"/>
        <v>8</v>
      </c>
      <c r="I18" s="497">
        <f t="shared" si="1"/>
        <v>0</v>
      </c>
    </row>
    <row r="19" spans="2:9" s="560" customFormat="1" ht="19.95" customHeight="1">
      <c r="B19" s="478" t="s">
        <v>728</v>
      </c>
      <c r="C19" s="551">
        <f t="shared" si="0"/>
        <v>2</v>
      </c>
      <c r="D19" s="498">
        <f>COUNTIF('2.Infor Detallado Desempeño POA'!AM120:AM121,"&gt;=99%")-COUNTIF('2.Infor Detallado Desempeño POA'!AM120:AM121,"&gt;100%")</f>
        <v>1</v>
      </c>
      <c r="E19" s="514">
        <f>COUNTIF('2.Infor Detallado Desempeño POA'!AM120:AM121,"&gt;100%")</f>
        <v>1</v>
      </c>
      <c r="F19" s="549">
        <f>COUNTIF('2.Infor Detallado Desempeño POA'!AM120:AM121,"&lt;99%")</f>
        <v>0</v>
      </c>
      <c r="G19" s="547">
        <f>COUNTIF('2.Infor Detallado Desempeño POA'!AM120:AM121,"=No programado")</f>
        <v>0</v>
      </c>
      <c r="H19" s="496">
        <f t="shared" si="3"/>
        <v>2</v>
      </c>
      <c r="I19" s="497">
        <f t="shared" si="1"/>
        <v>0</v>
      </c>
    </row>
    <row r="20" spans="2:9" s="560" customFormat="1" ht="19.95" customHeight="1">
      <c r="B20" s="478" t="s">
        <v>729</v>
      </c>
      <c r="C20" s="551">
        <f t="shared" si="0"/>
        <v>3</v>
      </c>
      <c r="D20" s="498">
        <f>COUNTIF('2.Infor Detallado Desempeño POA'!AM127:AM129,"&gt;=99%")-COUNTIF('2.Infor Detallado Desempeño POA'!AM127:AM129,"&gt;100%")</f>
        <v>1</v>
      </c>
      <c r="E20" s="514">
        <f>COUNTIF('2.Infor Detallado Desempeño POA'!AM127:AM129,"&gt;100%")</f>
        <v>2</v>
      </c>
      <c r="F20" s="549">
        <f>COUNTIF('2.Infor Detallado Desempeño POA'!AM127:AM129,"&lt;99%")</f>
        <v>0</v>
      </c>
      <c r="G20" s="547">
        <f>COUNTIF('2.Infor Detallado Desempeño POA'!AM127:AM129,"=No programado")</f>
        <v>0</v>
      </c>
      <c r="H20" s="496">
        <f t="shared" si="3"/>
        <v>3</v>
      </c>
      <c r="I20" s="497">
        <f t="shared" si="1"/>
        <v>0</v>
      </c>
    </row>
    <row r="21" spans="2:9" s="560" customFormat="1" ht="19.95" customHeight="1">
      <c r="B21" s="478" t="s">
        <v>730</v>
      </c>
      <c r="C21" s="551">
        <f t="shared" si="0"/>
        <v>4</v>
      </c>
      <c r="D21" s="498">
        <f>COUNTIF('2.Infor Detallado Desempeño POA'!AM135:AM138,"&gt;=99%")-COUNTIF('2.Infor Detallado Desempeño POA'!AM135:AM138,"&gt;100%")</f>
        <v>0</v>
      </c>
      <c r="E21" s="514">
        <f>COUNTIF('2.Infor Detallado Desempeño POA'!AM135:AM138,"&gt;100%")</f>
        <v>3</v>
      </c>
      <c r="F21" s="550">
        <f>COUNTIF('2.Infor Detallado Desempeño POA'!AM135:AM138,"&lt;99%")</f>
        <v>1</v>
      </c>
      <c r="G21" s="547">
        <f>COUNTIF('2.Infor Detallado Desempeño POA'!AM135:AM138,"=No programado")</f>
        <v>0</v>
      </c>
      <c r="H21" s="496">
        <f t="shared" si="3"/>
        <v>4</v>
      </c>
      <c r="I21" s="497">
        <f t="shared" si="1"/>
        <v>0</v>
      </c>
    </row>
    <row r="22" spans="2:9" s="560" customFormat="1" ht="19.95" customHeight="1">
      <c r="B22" s="478" t="s">
        <v>731</v>
      </c>
      <c r="C22" s="551">
        <f t="shared" si="0"/>
        <v>4</v>
      </c>
      <c r="D22" s="498">
        <f>COUNTIF('2.Infor Detallado Desempeño POA'!AM144:AM147,"&gt;=99%")-COUNTIF('2.Infor Detallado Desempeño POA'!AM144:AM147,"&gt;100%")</f>
        <v>1</v>
      </c>
      <c r="E22" s="514">
        <f>COUNTIF('2.Infor Detallado Desempeño POA'!AM144:AM147,"&gt;100%")</f>
        <v>3</v>
      </c>
      <c r="F22" s="549">
        <f>COUNTIF('2.Infor Detallado Desempeño POA'!AM144:AM147,"&lt;99%")</f>
        <v>0</v>
      </c>
      <c r="G22" s="547">
        <f>COUNTIF('2.Infor Detallado Desempeño POA'!AM144:AM147,"=No programado")</f>
        <v>0</v>
      </c>
      <c r="H22" s="496">
        <f t="shared" si="3"/>
        <v>4</v>
      </c>
      <c r="I22" s="497">
        <f t="shared" si="1"/>
        <v>0</v>
      </c>
    </row>
    <row r="23" spans="2:9" s="560" customFormat="1" ht="19.95" customHeight="1">
      <c r="B23" s="478" t="s">
        <v>732</v>
      </c>
      <c r="C23" s="551">
        <f t="shared" si="0"/>
        <v>5</v>
      </c>
      <c r="D23" s="498">
        <f>COUNTIF('2.Infor Detallado Desempeño POA'!AM153:AM157,"&gt;=99%")-COUNTIF('2.Infor Detallado Desempeño POA'!AM153:AM157,"&gt;100%")</f>
        <v>5</v>
      </c>
      <c r="E23" s="499">
        <f>COUNTIF('2.Infor Detallado Desempeño POA'!AM153:AM157,"&gt;100%")</f>
        <v>0</v>
      </c>
      <c r="F23" s="549">
        <f>COUNTIF('2.Infor Detallado Desempeño POA'!AM153:AM157,"&lt;99%")</f>
        <v>0</v>
      </c>
      <c r="G23" s="547">
        <f>COUNTIF('2.Infor Detallado Desempeño POA'!AM153:AM157,"=No programado")</f>
        <v>0</v>
      </c>
      <c r="H23" s="496">
        <f t="shared" si="3"/>
        <v>5</v>
      </c>
      <c r="I23" s="497">
        <f t="shared" si="1"/>
        <v>0</v>
      </c>
    </row>
    <row r="24" spans="2:9" s="560" customFormat="1" ht="19.95" customHeight="1">
      <c r="B24" s="478" t="s">
        <v>734</v>
      </c>
      <c r="C24" s="551">
        <f t="shared" si="0"/>
        <v>3</v>
      </c>
      <c r="D24" s="498">
        <f>COUNTIF('2.Infor Detallado Desempeño POA'!AM163:AM165,"&gt;=99%")-COUNTIF('2.Infor Detallado Desempeño POA'!AM163:AM165,"&gt;100%")</f>
        <v>1</v>
      </c>
      <c r="E24" s="514">
        <f>COUNTIF('2.Infor Detallado Desempeño POA'!AM163:AM165,"&gt;100%")</f>
        <v>2</v>
      </c>
      <c r="F24" s="549">
        <f>COUNTIF('2.Infor Detallado Desempeño POA'!AM163:AM165,"&lt;99%")</f>
        <v>0</v>
      </c>
      <c r="G24" s="547">
        <f>COUNTIF('2.Infor Detallado Desempeño POA'!AM163:AM165,"=No programado")</f>
        <v>0</v>
      </c>
      <c r="H24" s="496">
        <f t="shared" si="3"/>
        <v>3</v>
      </c>
      <c r="I24" s="497">
        <f t="shared" si="1"/>
        <v>0</v>
      </c>
    </row>
    <row r="25" spans="2:9" s="560" customFormat="1" ht="19.95" customHeight="1">
      <c r="B25" s="478" t="s">
        <v>735</v>
      </c>
      <c r="C25" s="551">
        <f t="shared" si="0"/>
        <v>3</v>
      </c>
      <c r="D25" s="498">
        <f>COUNTIF('2.Infor Detallado Desempeño POA'!AM171:AM173,"&gt;=99%")-COUNTIF('2.Infor Detallado Desempeño POA'!AM171:AM173,"&gt;100%")</f>
        <v>3</v>
      </c>
      <c r="E25" s="499">
        <f>COUNTIF('2.Infor Detallado Desempeño POA'!AM171:AM173,"&gt;100%")</f>
        <v>0</v>
      </c>
      <c r="F25" s="549">
        <f>COUNTIF('2.Infor Detallado Desempeño POA'!AM171:AM173,"&lt;99%")</f>
        <v>0</v>
      </c>
      <c r="G25" s="547">
        <f>COUNTIF('2.Infor Detallado Desempeño POA'!AM171:AM173,"=No programado")</f>
        <v>0</v>
      </c>
      <c r="H25" s="496">
        <f t="shared" si="3"/>
        <v>3</v>
      </c>
      <c r="I25" s="497">
        <f t="shared" si="1"/>
        <v>0</v>
      </c>
    </row>
    <row r="26" spans="2:9" s="560" customFormat="1" ht="19.95" customHeight="1">
      <c r="B26" s="511" t="s">
        <v>887</v>
      </c>
      <c r="C26" s="512">
        <f>SUM(C10:C25)</f>
        <v>87</v>
      </c>
      <c r="D26" s="513">
        <f t="shared" ref="D26:E26" si="4">SUM(D10:D25)</f>
        <v>46</v>
      </c>
      <c r="E26" s="514">
        <f t="shared" si="4"/>
        <v>34</v>
      </c>
      <c r="F26" s="550">
        <f>SUM(F10:F25)</f>
        <v>6</v>
      </c>
      <c r="G26" s="548">
        <f>SUM(G10:G25)</f>
        <v>1</v>
      </c>
      <c r="H26" s="496">
        <f>SUM(D26:G26)</f>
        <v>87</v>
      </c>
      <c r="I26" s="497">
        <f t="shared" si="1"/>
        <v>0</v>
      </c>
    </row>
    <row r="27" spans="2:9" s="560" customFormat="1" ht="19.95" customHeight="1">
      <c r="B27" s="771"/>
      <c r="C27" s="773"/>
      <c r="D27" s="773"/>
      <c r="E27" s="773"/>
      <c r="F27" s="773"/>
      <c r="G27" s="773"/>
      <c r="H27" s="772"/>
      <c r="I27" s="497"/>
    </row>
    <row r="28" spans="2:9" s="560" customFormat="1" ht="3" customHeight="1">
      <c r="C28" s="776"/>
      <c r="D28" s="774" t="str">
        <f>+D9</f>
        <v>No de Indicadores con Meta Cumplida según programación</v>
      </c>
      <c r="E28" s="775">
        <f>+D26</f>
        <v>46</v>
      </c>
      <c r="F28" s="777"/>
      <c r="G28" s="778"/>
      <c r="H28" s="561"/>
    </row>
    <row r="29" spans="2:9" s="560" customFormat="1" ht="3" customHeight="1">
      <c r="C29" s="776"/>
      <c r="D29" s="774" t="str">
        <f>+E9</f>
        <v xml:space="preserve">No de Indicadores con ejecución superior a la programada </v>
      </c>
      <c r="E29" s="775">
        <f>+E26</f>
        <v>34</v>
      </c>
      <c r="F29" s="777"/>
      <c r="G29" s="778"/>
      <c r="H29" s="561"/>
    </row>
    <row r="30" spans="2:9" s="560" customFormat="1" ht="3" customHeight="1">
      <c r="C30" s="776"/>
      <c r="D30" s="774" t="str">
        <f>+F9</f>
        <v xml:space="preserve">No de Indicadores con ejecución menor a la programada </v>
      </c>
      <c r="E30" s="775">
        <f>+F26</f>
        <v>6</v>
      </c>
      <c r="F30" s="777"/>
      <c r="G30" s="778"/>
      <c r="H30" s="561"/>
    </row>
    <row r="31" spans="2:9" s="560" customFormat="1" ht="3" customHeight="1">
      <c r="C31" s="776"/>
      <c r="D31" s="774" t="str">
        <f>+G9</f>
        <v>No de indicadores sin programar en el periodo</v>
      </c>
      <c r="E31" s="775">
        <f>+G26</f>
        <v>1</v>
      </c>
      <c r="F31" s="777"/>
      <c r="G31" s="778"/>
      <c r="H31" s="561"/>
    </row>
    <row r="32" spans="2:9" s="560" customFormat="1" ht="10.199999999999999" customHeight="1">
      <c r="C32" s="561"/>
      <c r="D32" s="561"/>
      <c r="E32" s="562">
        <f>SUM(E55:E58)</f>
        <v>87</v>
      </c>
      <c r="F32" s="559"/>
      <c r="H32" s="561"/>
    </row>
    <row r="34" spans="2:18" ht="19.5" customHeight="1">
      <c r="B34" s="476"/>
    </row>
    <row r="35" spans="2:18" s="485" customFormat="1" ht="31.5" customHeight="1">
      <c r="B35" s="1312" t="s">
        <v>711</v>
      </c>
      <c r="C35" s="1357" t="s">
        <v>1047</v>
      </c>
      <c r="D35" s="1358"/>
      <c r="E35" s="1358"/>
      <c r="F35" s="1358"/>
      <c r="G35" s="1359"/>
      <c r="H35" s="486"/>
      <c r="Q35" s="473"/>
      <c r="R35" s="473"/>
    </row>
    <row r="36" spans="2:18" s="485" customFormat="1" ht="74.400000000000006" customHeight="1">
      <c r="B36" s="1312"/>
      <c r="C36" s="546" t="s">
        <v>889</v>
      </c>
      <c r="D36" s="546" t="s">
        <v>890</v>
      </c>
      <c r="E36" s="546" t="s">
        <v>891</v>
      </c>
      <c r="F36" s="546" t="s">
        <v>898</v>
      </c>
      <c r="G36" s="520" t="s">
        <v>917</v>
      </c>
      <c r="H36" s="486"/>
      <c r="Q36" s="473"/>
      <c r="R36" s="473"/>
    </row>
    <row r="37" spans="2:18">
      <c r="B37" s="478" t="s">
        <v>718</v>
      </c>
      <c r="C37" s="551">
        <f>+'4.Segto Medición POA 2022 T4'!C65</f>
        <v>4</v>
      </c>
      <c r="D37" s="498">
        <f>COUNTIF('2.Infor Detallado Desempeño POA'!AL12:AL15,"=100%")</f>
        <v>1</v>
      </c>
      <c r="E37" s="499">
        <f>COUNTIF('2.Infor Detallado Desempeño POA'!AL12:AL15,"&gt;100%")</f>
        <v>1</v>
      </c>
      <c r="F37" s="549">
        <f>COUNTIF('2.Infor Detallado Desempeño POA'!AL12:AL15,"&lt;100%")</f>
        <v>1</v>
      </c>
      <c r="G37" s="547">
        <f>COUNTIF('2.Infor Detallado Desempeño POA'!AL12:AL15,"=No programado")</f>
        <v>1</v>
      </c>
      <c r="H37" s="496">
        <f>SUM(D37:G37)</f>
        <v>4</v>
      </c>
      <c r="I37" s="497">
        <f t="shared" ref="I37:I53" si="5">C37-H37</f>
        <v>0</v>
      </c>
    </row>
    <row r="38" spans="2:18">
      <c r="B38" s="478" t="s">
        <v>720</v>
      </c>
      <c r="C38" s="551">
        <f>+'4.Segto Medición POA 2022 T4'!C66</f>
        <v>4</v>
      </c>
      <c r="D38" s="498">
        <f>COUNTIF('2.Infor Detallado Desempeño POA'!AL21:AL24,"=100%")</f>
        <v>3</v>
      </c>
      <c r="E38" s="499">
        <f>COUNTIF('2.Infor Detallado Desempeño POA'!AL21:AL24,"&gt;100%")</f>
        <v>0</v>
      </c>
      <c r="F38" s="549">
        <f>COUNTIF('2.Infor Detallado Desempeño POA'!AL21:AL24,"&lt;100%")</f>
        <v>1</v>
      </c>
      <c r="G38" s="547">
        <f>COUNTIF('2.Infor Detallado Desempeño POA'!AL21:AL24,"=No programado")</f>
        <v>0</v>
      </c>
      <c r="H38" s="496">
        <f t="shared" ref="H38:H52" si="6">SUM(D38:G38)</f>
        <v>4</v>
      </c>
      <c r="I38" s="497">
        <f t="shared" si="5"/>
        <v>0</v>
      </c>
    </row>
    <row r="39" spans="2:18">
      <c r="B39" s="478" t="s">
        <v>721</v>
      </c>
      <c r="C39" s="551">
        <f>+'4.Segto Medición POA 2022 T4'!C67</f>
        <v>7</v>
      </c>
      <c r="D39" s="498">
        <f>COUNTIF('2.Infor Detallado Desempeño POA'!AL30:AL36,"=100%")</f>
        <v>7</v>
      </c>
      <c r="E39" s="499">
        <f>COUNTIF('2.Infor Detallado Desempeño POA'!AL30:AL36,"&gt;100%")</f>
        <v>0</v>
      </c>
      <c r="F39" s="549">
        <f>COUNTIF('2.Infor Detallado Desempeño POA'!AL30:AL36,"&lt;100%")</f>
        <v>0</v>
      </c>
      <c r="G39" s="547">
        <f>COUNTIF('2.Infor Detallado Desempeño POA'!AL30:AL36,"=No programado")</f>
        <v>0</v>
      </c>
      <c r="H39" s="496">
        <f t="shared" si="6"/>
        <v>7</v>
      </c>
      <c r="I39" s="497">
        <f t="shared" si="5"/>
        <v>0</v>
      </c>
    </row>
    <row r="40" spans="2:18">
      <c r="B40" s="478" t="s">
        <v>722</v>
      </c>
      <c r="C40" s="551">
        <f>+'4.Segto Medición POA 2022 T4'!C68</f>
        <v>2</v>
      </c>
      <c r="D40" s="498">
        <f>COUNTIF('2.Infor Detallado Desempeño POA'!AL42:AL43,"=100%")</f>
        <v>2</v>
      </c>
      <c r="E40" s="499">
        <f>COUNTIF('2.Infor Detallado Desempeño POA'!AL42:AL43,"&gt;100%")</f>
        <v>0</v>
      </c>
      <c r="F40" s="549">
        <f>COUNTIF('2.Infor Detallado Desempeño POA'!AL42:AL43,"&lt;100%")</f>
        <v>0</v>
      </c>
      <c r="G40" s="547">
        <f>COUNTIF('2.Infor Detallado Desempeño POA'!AL42:AL43,"=No programado")</f>
        <v>0</v>
      </c>
      <c r="H40" s="496">
        <f>SUM(D40:G40)</f>
        <v>2</v>
      </c>
      <c r="I40" s="497">
        <f t="shared" si="5"/>
        <v>0</v>
      </c>
    </row>
    <row r="41" spans="2:18">
      <c r="B41" s="478" t="s">
        <v>733</v>
      </c>
      <c r="C41" s="551">
        <f>+'4.Segto Medición POA 2022 T4'!C69</f>
        <v>3</v>
      </c>
      <c r="D41" s="498">
        <f>COUNTIF('2.Infor Detallado Desempeño POA'!AL49:AL51,"=100%")</f>
        <v>1</v>
      </c>
      <c r="E41" s="499">
        <f>COUNTIF('2.Infor Detallado Desempeño POA'!AL49:AL51,"&gt;100%")</f>
        <v>1</v>
      </c>
      <c r="F41" s="549">
        <f>COUNTIF('2.Infor Detallado Desempeño POA'!AL49:AL51,"&lt;100%")</f>
        <v>0</v>
      </c>
      <c r="G41" s="547">
        <f>COUNTIF('2.Infor Detallado Desempeño POA'!AL49:AL51,"=No programado")</f>
        <v>1</v>
      </c>
      <c r="H41" s="496">
        <f t="shared" si="6"/>
        <v>3</v>
      </c>
      <c r="I41" s="497">
        <f t="shared" si="5"/>
        <v>0</v>
      </c>
    </row>
    <row r="42" spans="2:18">
      <c r="B42" s="478" t="s">
        <v>723</v>
      </c>
      <c r="C42" s="551">
        <f>+'4.Segto Medición POA 2022 T4'!C70</f>
        <v>20</v>
      </c>
      <c r="D42" s="498">
        <f>COUNTIF('2.Infor Detallado Desempeño POA'!AL57:AL76,"=100%")</f>
        <v>1</v>
      </c>
      <c r="E42" s="499">
        <f>COUNTIF('2.Infor Detallado Desempeño POA'!AL57:AL76,"&gt;100%")</f>
        <v>16</v>
      </c>
      <c r="F42" s="549">
        <f>COUNTIF('2.Infor Detallado Desempeño POA'!AL57:AL76,"&lt;100%")</f>
        <v>1</v>
      </c>
      <c r="G42" s="547">
        <f>COUNTIF('2.Infor Detallado Desempeño POA'!AL57:AL76,"=No programado")</f>
        <v>2</v>
      </c>
      <c r="H42" s="496">
        <f t="shared" si="6"/>
        <v>20</v>
      </c>
      <c r="I42" s="497">
        <f t="shared" si="5"/>
        <v>0</v>
      </c>
    </row>
    <row r="43" spans="2:18">
      <c r="B43" s="478" t="s">
        <v>858</v>
      </c>
      <c r="C43" s="551">
        <f>+'4.Segto Medición POA 2022 T4'!C71</f>
        <v>7</v>
      </c>
      <c r="D43" s="498">
        <f>COUNTIF('2.Infor Detallado Desempeño POA'!AL82:AL88,"=100%")</f>
        <v>2</v>
      </c>
      <c r="E43" s="499">
        <f>COUNTIF('2.Infor Detallado Desempeño POA'!AL82:AL88,"&gt;100%")</f>
        <v>5</v>
      </c>
      <c r="F43" s="549">
        <f>COUNTIF('2.Infor Detallado Desempeño POA'!AL82:AL88,"&lt;100%")</f>
        <v>0</v>
      </c>
      <c r="G43" s="547">
        <f>COUNTIF('2.Infor Detallado Desempeño POA'!AL82:AL88,"=No programado")</f>
        <v>0</v>
      </c>
      <c r="H43" s="496">
        <f t="shared" si="6"/>
        <v>7</v>
      </c>
      <c r="I43" s="497">
        <f t="shared" si="5"/>
        <v>0</v>
      </c>
    </row>
    <row r="44" spans="2:18">
      <c r="B44" s="478" t="s">
        <v>726</v>
      </c>
      <c r="C44" s="551">
        <f>+'4.Segto Medición POA 2022 T4'!C72</f>
        <v>8</v>
      </c>
      <c r="D44" s="498">
        <f>COUNTIF('2.Infor Detallado Desempeño POA'!AL94:AL101,"=100%")</f>
        <v>4</v>
      </c>
      <c r="E44" s="499">
        <f>COUNTIF('2.Infor Detallado Desempeño POA'!AL94:AL101,"&gt;100%")</f>
        <v>3</v>
      </c>
      <c r="F44" s="549">
        <f>COUNTIF('2.Infor Detallado Desempeño POA'!AL94:AL101,"&lt;100%")</f>
        <v>0</v>
      </c>
      <c r="G44" s="547">
        <f>COUNTIF('2.Infor Detallado Desempeño POA'!AL94:AL101,"=No programado")</f>
        <v>1</v>
      </c>
      <c r="H44" s="496">
        <f t="shared" si="6"/>
        <v>8</v>
      </c>
      <c r="I44" s="497">
        <f t="shared" si="5"/>
        <v>0</v>
      </c>
    </row>
    <row r="45" spans="2:18">
      <c r="B45" s="478" t="s">
        <v>727</v>
      </c>
      <c r="C45" s="551">
        <f>+'4.Segto Medición POA 2022 T4'!C73</f>
        <v>8</v>
      </c>
      <c r="D45" s="498">
        <f>COUNTIF('2.Infor Detallado Desempeño POA'!AL107:AL114,"=100%")</f>
        <v>2</v>
      </c>
      <c r="E45" s="499">
        <f>COUNTIF('2.Infor Detallado Desempeño POA'!AL107:AL114,"&gt;100%")</f>
        <v>3</v>
      </c>
      <c r="F45" s="549">
        <f>COUNTIF('2.Infor Detallado Desempeño POA'!AL107:AL114,"&lt;100%")</f>
        <v>2</v>
      </c>
      <c r="G45" s="547">
        <f>COUNTIF('2.Infor Detallado Desempeño POA'!AL107:AL114,"=No programado")</f>
        <v>1</v>
      </c>
      <c r="H45" s="496">
        <f t="shared" si="6"/>
        <v>8</v>
      </c>
      <c r="I45" s="497">
        <f t="shared" si="5"/>
        <v>0</v>
      </c>
    </row>
    <row r="46" spans="2:18" ht="16.5" customHeight="1">
      <c r="B46" s="478" t="s">
        <v>728</v>
      </c>
      <c r="C46" s="551">
        <f>+'4.Segto Medición POA 2022 T4'!C74</f>
        <v>2</v>
      </c>
      <c r="D46" s="498">
        <f>COUNTIF('2.Infor Detallado Desempeño POA'!AL120:AL121,"=100%")</f>
        <v>1</v>
      </c>
      <c r="E46" s="499">
        <f>COUNTIF('2.Infor Detallado Desempeño POA'!AL120:AL121,"&gt;100%")</f>
        <v>1</v>
      </c>
      <c r="F46" s="549">
        <f>COUNTIF('2.Infor Detallado Desempeño POA'!AL120:AL121,"&lt;100%")</f>
        <v>0</v>
      </c>
      <c r="G46" s="547">
        <f>COUNTIF('2.Infor Detallado Desempeño POA'!AL120:AL121,"=No programado")</f>
        <v>0</v>
      </c>
      <c r="H46" s="496">
        <f t="shared" si="6"/>
        <v>2</v>
      </c>
      <c r="I46" s="497">
        <f t="shared" si="5"/>
        <v>0</v>
      </c>
    </row>
    <row r="47" spans="2:18">
      <c r="B47" s="478" t="s">
        <v>729</v>
      </c>
      <c r="C47" s="551">
        <f>+'4.Segto Medición POA 2022 T4'!C75</f>
        <v>3</v>
      </c>
      <c r="D47" s="498">
        <f>COUNTIF('2.Infor Detallado Desempeño POA'!AL127:AL129,"=100%")</f>
        <v>1</v>
      </c>
      <c r="E47" s="499">
        <f>COUNTIF('2.Infor Detallado Desempeño POA'!AL127:AL129,"&gt;100%")</f>
        <v>2</v>
      </c>
      <c r="F47" s="549">
        <f>COUNTIF('2.Infor Detallado Desempeño POA'!AL127:AL129,"&lt;100%")</f>
        <v>0</v>
      </c>
      <c r="G47" s="547">
        <f>COUNTIF('2.Infor Detallado Desempeño POA'!AL127:AL129,"=No programado")</f>
        <v>0</v>
      </c>
      <c r="H47" s="496">
        <f t="shared" si="6"/>
        <v>3</v>
      </c>
      <c r="I47" s="497">
        <f t="shared" si="5"/>
        <v>0</v>
      </c>
    </row>
    <row r="48" spans="2:18">
      <c r="B48" s="478" t="s">
        <v>730</v>
      </c>
      <c r="C48" s="551">
        <f>+'4.Segto Medición POA 2022 T4'!C76</f>
        <v>4</v>
      </c>
      <c r="D48" s="498">
        <f>COUNTIF('2.Infor Detallado Desempeño POA'!AL135:AL138,"=100%")</f>
        <v>1</v>
      </c>
      <c r="E48" s="499">
        <f>COUNTIF('2.Infor Detallado Desempeño POA'!AL135:AL138,"&gt;100%")</f>
        <v>3</v>
      </c>
      <c r="F48" s="549">
        <f>COUNTIF('2.Infor Detallado Desempeño POA'!AL135:AL138,"&lt;100%")</f>
        <v>0</v>
      </c>
      <c r="G48" s="547">
        <f>COUNTIF('2.Infor Detallado Desempeño POA'!AL135:AL138,"=No programado")</f>
        <v>0</v>
      </c>
      <c r="H48" s="496">
        <f t="shared" si="6"/>
        <v>4</v>
      </c>
      <c r="I48" s="497">
        <f t="shared" si="5"/>
        <v>0</v>
      </c>
    </row>
    <row r="49" spans="2:17">
      <c r="B49" s="478" t="s">
        <v>731</v>
      </c>
      <c r="C49" s="551">
        <f>+'4.Segto Medición POA 2022 T4'!C77</f>
        <v>4</v>
      </c>
      <c r="D49" s="498">
        <f>COUNTIF('2.Infor Detallado Desempeño POA'!AL144:AL147,"=100%")</f>
        <v>0</v>
      </c>
      <c r="E49" s="499">
        <f>COUNTIF('2.Infor Detallado Desempeño POA'!AL144:AL147,"&gt;100%")</f>
        <v>3</v>
      </c>
      <c r="F49" s="549">
        <f>COUNTIF('2.Infor Detallado Desempeño POA'!AL144:AL147,"&lt;100%")</f>
        <v>1</v>
      </c>
      <c r="G49" s="547">
        <f>COUNTIF('2.Infor Detallado Desempeño POA'!AL144:AL147,"=No programado")</f>
        <v>0</v>
      </c>
      <c r="H49" s="496">
        <f t="shared" si="6"/>
        <v>4</v>
      </c>
      <c r="I49" s="497">
        <f t="shared" si="5"/>
        <v>0</v>
      </c>
    </row>
    <row r="50" spans="2:17">
      <c r="B50" s="478" t="s">
        <v>732</v>
      </c>
      <c r="C50" s="551">
        <f>+'4.Segto Medición POA 2022 T4'!C78</f>
        <v>5</v>
      </c>
      <c r="D50" s="498">
        <f>COUNTIF('2.Infor Detallado Desempeño POA'!AL153:AL157,"=100%")</f>
        <v>5</v>
      </c>
      <c r="E50" s="499">
        <f>COUNTIF('2.Infor Detallado Desempeño POA'!AL153:AL157,"&gt;100%")</f>
        <v>0</v>
      </c>
      <c r="F50" s="549">
        <f>COUNTIF('2.Infor Detallado Desempeño POA'!AL153:AL157,"&lt;100%")</f>
        <v>0</v>
      </c>
      <c r="G50" s="547">
        <f>COUNTIF('2.Infor Detallado Desempeño POA'!AL153:AL157,"=No programado")</f>
        <v>0</v>
      </c>
      <c r="H50" s="496">
        <f t="shared" si="6"/>
        <v>5</v>
      </c>
      <c r="I50" s="497">
        <f t="shared" si="5"/>
        <v>0</v>
      </c>
    </row>
    <row r="51" spans="2:17">
      <c r="B51" s="478" t="s">
        <v>734</v>
      </c>
      <c r="C51" s="551">
        <f>+'4.Segto Medición POA 2022 T4'!C79</f>
        <v>3</v>
      </c>
      <c r="D51" s="498">
        <f>COUNTIF('2.Infor Detallado Desempeño POA'!AL163:AL165,"=100%")</f>
        <v>1</v>
      </c>
      <c r="E51" s="499">
        <f>COUNTIF('2.Infor Detallado Desempeño POA'!AL163:AL165,"&gt;100%")</f>
        <v>2</v>
      </c>
      <c r="F51" s="549">
        <f>COUNTIF('2.Infor Detallado Desempeño POA'!AL163:AL165,"&lt;100%")</f>
        <v>0</v>
      </c>
      <c r="G51" s="547">
        <f>COUNTIF('2.Infor Detallado Desempeño POA'!AL163:AL165,"=No programado")</f>
        <v>0</v>
      </c>
      <c r="H51" s="496">
        <f t="shared" si="6"/>
        <v>3</v>
      </c>
      <c r="I51" s="497">
        <f t="shared" si="5"/>
        <v>0</v>
      </c>
    </row>
    <row r="52" spans="2:17">
      <c r="B52" s="478" t="s">
        <v>735</v>
      </c>
      <c r="C52" s="551">
        <f>+'4.Segto Medición POA 2022 T4'!C80</f>
        <v>3</v>
      </c>
      <c r="D52" s="498">
        <f>COUNTIF('2.Infor Detallado Desempeño POA'!AL171:AL173,"=100%")</f>
        <v>2</v>
      </c>
      <c r="E52" s="499">
        <f>COUNTIF('2.Infor Detallado Desempeño POA'!AL171:AL173,"&gt;100%")</f>
        <v>0</v>
      </c>
      <c r="F52" s="549">
        <f>COUNTIF('2.Infor Detallado Desempeño POA'!AL171:AL173,"&lt;100%")</f>
        <v>0</v>
      </c>
      <c r="G52" s="547">
        <f>COUNTIF('2.Infor Detallado Desempeño POA'!AL171:AL173,"=No programado")</f>
        <v>1</v>
      </c>
      <c r="H52" s="496">
        <f t="shared" si="6"/>
        <v>3</v>
      </c>
      <c r="I52" s="497">
        <f t="shared" si="5"/>
        <v>0</v>
      </c>
    </row>
    <row r="53" spans="2:17" ht="19.5" customHeight="1">
      <c r="B53" s="511" t="s">
        <v>887</v>
      </c>
      <c r="C53" s="512">
        <f>SUM(C37:C52)</f>
        <v>87</v>
      </c>
      <c r="D53" s="513">
        <f t="shared" ref="D53:E53" si="7">SUM(D37:D52)</f>
        <v>34</v>
      </c>
      <c r="E53" s="514">
        <f t="shared" si="7"/>
        <v>40</v>
      </c>
      <c r="F53" s="550">
        <f>SUM(F37:F52)</f>
        <v>6</v>
      </c>
      <c r="G53" s="548">
        <f>SUM(G37:G52)</f>
        <v>7</v>
      </c>
      <c r="H53" s="496">
        <f>SUM(D53:G53)</f>
        <v>87</v>
      </c>
      <c r="I53" s="497">
        <f t="shared" si="5"/>
        <v>0</v>
      </c>
    </row>
    <row r="54" spans="2:17" s="557" customFormat="1" ht="6" customHeight="1">
      <c r="C54" s="558"/>
      <c r="D54" s="558"/>
      <c r="E54" s="558"/>
      <c r="H54" s="558"/>
    </row>
    <row r="55" spans="2:17" s="557" customFormat="1" ht="6" customHeight="1">
      <c r="C55" s="561"/>
      <c r="D55" s="774" t="str">
        <f>+D36</f>
        <v>No de Indicadores con Meta Cumplida según programación</v>
      </c>
      <c r="E55" s="775">
        <f>+D53</f>
        <v>34</v>
      </c>
      <c r="H55" s="558"/>
    </row>
    <row r="56" spans="2:17" s="557" customFormat="1" ht="6" customHeight="1">
      <c r="C56" s="561"/>
      <c r="D56" s="774" t="str">
        <f>+E36</f>
        <v xml:space="preserve">No de Indicadores con ejecución superior a la programada </v>
      </c>
      <c r="E56" s="775">
        <f>+E53</f>
        <v>40</v>
      </c>
      <c r="H56" s="558"/>
    </row>
    <row r="57" spans="2:17" s="557" customFormat="1" ht="6" customHeight="1">
      <c r="C57" s="561"/>
      <c r="D57" s="774" t="str">
        <f>+F36</f>
        <v xml:space="preserve">No de Indicadores con ejecución menor a la programada </v>
      </c>
      <c r="E57" s="775">
        <f>+F53</f>
        <v>6</v>
      </c>
      <c r="H57" s="558"/>
    </row>
    <row r="58" spans="2:17" s="557" customFormat="1" ht="6" customHeight="1">
      <c r="C58" s="561"/>
      <c r="D58" s="774" t="str">
        <f>+G36</f>
        <v>No de indicadores sin programar en el periodo</v>
      </c>
      <c r="E58" s="775">
        <f>+G53</f>
        <v>7</v>
      </c>
      <c r="H58" s="558"/>
    </row>
    <row r="59" spans="2:17" s="557" customFormat="1" ht="6" customHeight="1">
      <c r="C59" s="558"/>
      <c r="D59" s="558"/>
      <c r="E59" s="558"/>
      <c r="H59" s="558"/>
    </row>
    <row r="60" spans="2:17" s="557" customFormat="1" ht="6" customHeight="1">
      <c r="C60" s="558"/>
      <c r="D60" s="558"/>
      <c r="E60" s="558"/>
      <c r="H60" s="558"/>
    </row>
    <row r="61" spans="2:17" s="557" customFormat="1" ht="6" customHeight="1">
      <c r="C61" s="558"/>
      <c r="D61" s="558"/>
      <c r="E61" s="558"/>
      <c r="H61" s="558"/>
    </row>
    <row r="62" spans="2:17" s="560" customFormat="1" ht="6" customHeight="1" thickBot="1">
      <c r="C62" s="561"/>
      <c r="D62" s="1335" t="str">
        <f>+C35</f>
        <v>CUMPLIMIENTO PROGRAMACIÓN EN EL PERIODO 
Cuarto Trimestre de 2021</v>
      </c>
      <c r="E62" s="1335"/>
      <c r="H62" s="561"/>
    </row>
    <row r="63" spans="2:17" s="485" customFormat="1" ht="15.6">
      <c r="B63" s="1340" t="s">
        <v>744</v>
      </c>
      <c r="C63" s="1342" t="s">
        <v>885</v>
      </c>
      <c r="D63" s="1344" t="s">
        <v>886</v>
      </c>
      <c r="E63" s="1345"/>
      <c r="F63" s="1346"/>
      <c r="P63" s="473"/>
      <c r="Q63" s="473"/>
    </row>
    <row r="64" spans="2:17" ht="33" customHeight="1">
      <c r="B64" s="1341"/>
      <c r="C64" s="1343"/>
      <c r="D64" s="977" t="s">
        <v>753</v>
      </c>
      <c r="E64" s="977" t="s">
        <v>757</v>
      </c>
      <c r="F64" s="488" t="s">
        <v>761</v>
      </c>
      <c r="H64" s="473"/>
    </row>
    <row r="65" spans="2:8">
      <c r="B65" s="489" t="s">
        <v>718</v>
      </c>
      <c r="C65" s="490">
        <f>+'3.Resum Desemp Procesos POA T1'!C41</f>
        <v>4</v>
      </c>
      <c r="D65" s="490">
        <f>+'Rango indicadores'!E111</f>
        <v>4</v>
      </c>
      <c r="E65" s="490">
        <f>+'Rango indicadores'!F111</f>
        <v>0</v>
      </c>
      <c r="F65" s="491">
        <f>+'Rango indicadores'!G111</f>
        <v>0</v>
      </c>
      <c r="H65" s="473"/>
    </row>
    <row r="66" spans="2:8">
      <c r="B66" s="489" t="s">
        <v>720</v>
      </c>
      <c r="C66" s="490">
        <f>+'3.Resum Desemp Procesos POA T1'!C42</f>
        <v>4</v>
      </c>
      <c r="D66" s="490">
        <f>+'Rango indicadores'!E112</f>
        <v>4</v>
      </c>
      <c r="E66" s="490">
        <f>+'Rango indicadores'!F112</f>
        <v>0</v>
      </c>
      <c r="F66" s="491">
        <f>+'Rango indicadores'!G112</f>
        <v>0</v>
      </c>
      <c r="H66" s="473"/>
    </row>
    <row r="67" spans="2:8">
      <c r="B67" s="489" t="s">
        <v>721</v>
      </c>
      <c r="C67" s="490">
        <f>+'3.Resum Desemp Procesos POA T1'!C43</f>
        <v>7</v>
      </c>
      <c r="D67" s="490">
        <f>+'Rango indicadores'!E113</f>
        <v>7</v>
      </c>
      <c r="E67" s="490">
        <f>+'Rango indicadores'!F113</f>
        <v>0</v>
      </c>
      <c r="F67" s="491">
        <f>+'Rango indicadores'!G113</f>
        <v>0</v>
      </c>
      <c r="H67" s="473"/>
    </row>
    <row r="68" spans="2:8">
      <c r="B68" s="489" t="s">
        <v>722</v>
      </c>
      <c r="C68" s="490">
        <f>+'3.Resum Desemp Procesos POA T1'!C44</f>
        <v>2</v>
      </c>
      <c r="D68" s="490">
        <f>+'Rango indicadores'!E114</f>
        <v>2</v>
      </c>
      <c r="E68" s="490">
        <f>+'Rango indicadores'!F114</f>
        <v>0</v>
      </c>
      <c r="F68" s="491">
        <f>+'Rango indicadores'!G114</f>
        <v>0</v>
      </c>
      <c r="H68" s="473"/>
    </row>
    <row r="69" spans="2:8">
      <c r="B69" s="489" t="s">
        <v>733</v>
      </c>
      <c r="C69" s="490">
        <f>+'3.Resum Desemp Procesos POA T1'!C45</f>
        <v>3</v>
      </c>
      <c r="D69" s="490">
        <f>+'Rango indicadores'!E115</f>
        <v>20</v>
      </c>
      <c r="E69" s="490">
        <f>+'Rango indicadores'!F115</f>
        <v>0</v>
      </c>
      <c r="F69" s="491">
        <f>+'Rango indicadores'!G115</f>
        <v>0</v>
      </c>
      <c r="H69" s="473"/>
    </row>
    <row r="70" spans="2:8">
      <c r="B70" s="489" t="s">
        <v>723</v>
      </c>
      <c r="C70" s="490">
        <f>+'3.Resum Desemp Procesos POA T1'!C47</f>
        <v>20</v>
      </c>
      <c r="D70" s="490">
        <f>+'Rango indicadores'!E116</f>
        <v>7</v>
      </c>
      <c r="E70" s="490">
        <f>+'Rango indicadores'!F116</f>
        <v>0</v>
      </c>
      <c r="F70" s="491">
        <f>+'Rango indicadores'!G116</f>
        <v>0</v>
      </c>
      <c r="H70" s="473"/>
    </row>
    <row r="71" spans="2:8">
      <c r="B71" s="489" t="s">
        <v>858</v>
      </c>
      <c r="C71" s="490">
        <f>+'3.Resum Desemp Procesos POA T1'!C48</f>
        <v>7</v>
      </c>
      <c r="D71" s="490">
        <f>+'Rango indicadores'!E117</f>
        <v>8</v>
      </c>
      <c r="E71" s="490">
        <f>+'Rango indicadores'!F117</f>
        <v>0</v>
      </c>
      <c r="F71" s="491">
        <f>+'Rango indicadores'!G117</f>
        <v>0</v>
      </c>
      <c r="H71" s="473"/>
    </row>
    <row r="72" spans="2:8">
      <c r="B72" s="489" t="s">
        <v>726</v>
      </c>
      <c r="C72" s="490">
        <f>+'3.Resum Desemp Procesos POA T1'!C49</f>
        <v>8</v>
      </c>
      <c r="D72" s="490">
        <f>+'Rango indicadores'!E118</f>
        <v>7</v>
      </c>
      <c r="E72" s="490">
        <f>+'Rango indicadores'!F118</f>
        <v>0</v>
      </c>
      <c r="F72" s="491">
        <f>+'Rango indicadores'!G118</f>
        <v>1</v>
      </c>
      <c r="H72" s="473"/>
    </row>
    <row r="73" spans="2:8">
      <c r="B73" s="489" t="s">
        <v>727</v>
      </c>
      <c r="C73" s="490">
        <f>+'3.Resum Desemp Procesos POA T1'!C51</f>
        <v>8</v>
      </c>
      <c r="D73" s="490">
        <f>+'Rango indicadores'!E119</f>
        <v>2</v>
      </c>
      <c r="E73" s="490">
        <f>+'Rango indicadores'!F119</f>
        <v>0</v>
      </c>
      <c r="F73" s="491">
        <f>+'Rango indicadores'!G119</f>
        <v>0</v>
      </c>
      <c r="H73" s="473"/>
    </row>
    <row r="74" spans="2:8">
      <c r="B74" s="489" t="s">
        <v>728</v>
      </c>
      <c r="C74" s="490">
        <f>+'3.Resum Desemp Procesos POA T1'!C52</f>
        <v>2</v>
      </c>
      <c r="D74" s="490">
        <f>+'Rango indicadores'!E120</f>
        <v>3</v>
      </c>
      <c r="E74" s="490">
        <f>+'Rango indicadores'!F120</f>
        <v>0</v>
      </c>
      <c r="F74" s="491">
        <f>+'Rango indicadores'!G120</f>
        <v>0</v>
      </c>
      <c r="H74" s="473"/>
    </row>
    <row r="75" spans="2:8">
      <c r="B75" s="489" t="s">
        <v>729</v>
      </c>
      <c r="C75" s="490">
        <f>+'3.Resum Desemp Procesos POA T1'!C53</f>
        <v>3</v>
      </c>
      <c r="D75" s="490">
        <f>+'Rango indicadores'!E121</f>
        <v>1</v>
      </c>
      <c r="E75" s="490">
        <f>+'Rango indicadores'!F121</f>
        <v>3</v>
      </c>
      <c r="F75" s="491">
        <f>+'Rango indicadores'!G121</f>
        <v>0</v>
      </c>
      <c r="H75" s="473"/>
    </row>
    <row r="76" spans="2:8">
      <c r="B76" s="489" t="s">
        <v>730</v>
      </c>
      <c r="C76" s="490">
        <f>+'3.Resum Desemp Procesos POA T1'!C54</f>
        <v>4</v>
      </c>
      <c r="D76" s="490">
        <f>+'Rango indicadores'!E122</f>
        <v>3</v>
      </c>
      <c r="E76" s="490">
        <f>+'Rango indicadores'!F122</f>
        <v>1</v>
      </c>
      <c r="F76" s="491">
        <f>+'Rango indicadores'!G122</f>
        <v>0</v>
      </c>
      <c r="H76" s="473"/>
    </row>
    <row r="77" spans="2:8">
      <c r="B77" s="489" t="s">
        <v>731</v>
      </c>
      <c r="C77" s="490">
        <f>+'3.Resum Desemp Procesos POA T1'!C55</f>
        <v>4</v>
      </c>
      <c r="D77" s="490">
        <f>+'Rango indicadores'!E123</f>
        <v>5</v>
      </c>
      <c r="E77" s="490">
        <f>+'Rango indicadores'!F123</f>
        <v>0</v>
      </c>
      <c r="F77" s="491">
        <f>+'Rango indicadores'!G123</f>
        <v>0</v>
      </c>
      <c r="H77" s="473"/>
    </row>
    <row r="78" spans="2:8">
      <c r="B78" s="489" t="s">
        <v>732</v>
      </c>
      <c r="C78" s="490">
        <f>+'3.Resum Desemp Procesos POA T1'!C56</f>
        <v>5</v>
      </c>
      <c r="D78" s="490">
        <f>+'Rango indicadores'!E124</f>
        <v>3</v>
      </c>
      <c r="E78" s="490">
        <f>+'Rango indicadores'!F124</f>
        <v>0</v>
      </c>
      <c r="F78" s="491">
        <f>+'Rango indicadores'!G124</f>
        <v>0</v>
      </c>
      <c r="H78" s="473"/>
    </row>
    <row r="79" spans="2:8">
      <c r="B79" s="489" t="s">
        <v>734</v>
      </c>
      <c r="C79" s="490">
        <f>+'3.Resum Desemp Procesos POA T1'!C58</f>
        <v>3</v>
      </c>
      <c r="D79" s="490">
        <f>+'Rango indicadores'!E125</f>
        <v>3</v>
      </c>
      <c r="E79" s="490">
        <f>+'Rango indicadores'!F125</f>
        <v>0</v>
      </c>
      <c r="F79" s="491">
        <f>+'Rango indicadores'!G125</f>
        <v>0</v>
      </c>
      <c r="H79" s="473"/>
    </row>
    <row r="80" spans="2:8">
      <c r="B80" s="489" t="s">
        <v>735</v>
      </c>
      <c r="C80" s="490">
        <f>+'3.Resum Desemp Procesos POA T1'!C59</f>
        <v>3</v>
      </c>
      <c r="D80" s="490">
        <f>+'Rango indicadores'!E126</f>
        <v>3</v>
      </c>
      <c r="E80" s="490">
        <f>+'Rango indicadores'!F126</f>
        <v>0</v>
      </c>
      <c r="F80" s="491">
        <f>+'Rango indicadores'!G126</f>
        <v>0</v>
      </c>
      <c r="H80" s="473"/>
    </row>
    <row r="81" spans="2:8" ht="16.2" thickBot="1">
      <c r="B81" s="492" t="s">
        <v>887</v>
      </c>
      <c r="C81" s="493">
        <f>SUM(C65:C80)</f>
        <v>87</v>
      </c>
      <c r="D81" s="493">
        <f>SUM(D65:D80)</f>
        <v>82</v>
      </c>
      <c r="E81" s="493">
        <f>SUM(E65:E80)</f>
        <v>4</v>
      </c>
      <c r="F81" s="494">
        <f>SUM(F65:F80)</f>
        <v>1</v>
      </c>
      <c r="H81" s="473"/>
    </row>
    <row r="82" spans="2:8">
      <c r="H82" s="473"/>
    </row>
    <row r="83" spans="2:8">
      <c r="H83" s="473"/>
    </row>
    <row r="85" spans="2:8" ht="15" customHeight="1"/>
  </sheetData>
  <sheetProtection algorithmName="SHA-512" hashValue="dfbJPKY6hC3NeuF2zd8qrKmm/d5M75m4KJoTvNW1ymGx9Id3MA3+I7gfIughV0mWHgEWBUd4WDvxORL+QiNKdw==" saltValue="+oK1stXK1Nv+Cp4JrlQ7Hw==" spinCount="100000" sheet="1" objects="1" scenarios="1"/>
  <mergeCells count="13">
    <mergeCell ref="B2:B3"/>
    <mergeCell ref="C2:G2"/>
    <mergeCell ref="C3:G3"/>
    <mergeCell ref="B63:B64"/>
    <mergeCell ref="C63:C64"/>
    <mergeCell ref="D63:F63"/>
    <mergeCell ref="D62:E62"/>
    <mergeCell ref="B4:F4"/>
    <mergeCell ref="B35:B36"/>
    <mergeCell ref="C35:G35"/>
    <mergeCell ref="B7:B9"/>
    <mergeCell ref="C7:G7"/>
    <mergeCell ref="E8:F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EE5F-C848-40CC-99F6-AA12AE5264D0}">
  <sheetPr>
    <tabColor rgb="FF00FF99"/>
  </sheetPr>
  <dimension ref="B1:V116"/>
  <sheetViews>
    <sheetView showGridLines="0" zoomScale="85" zoomScaleNormal="85" workbookViewId="0">
      <selection activeCell="B5" sqref="B5"/>
    </sheetView>
  </sheetViews>
  <sheetFormatPr baseColWidth="10" defaultColWidth="11.44140625" defaultRowHeight="15" customHeight="1" zeroHeight="1"/>
  <cols>
    <col min="1" max="1" width="3.6640625" style="473" customWidth="1"/>
    <col min="2" max="2" width="47.33203125" style="473" customWidth="1"/>
    <col min="3" max="3" width="20.33203125" style="475" customWidth="1"/>
    <col min="4" max="5" width="18.88671875" style="475" customWidth="1"/>
    <col min="6" max="6" width="19.44140625" style="473" customWidth="1"/>
    <col min="7" max="7" width="47" style="473" customWidth="1"/>
    <col min="8" max="15" width="11.44140625" style="473"/>
    <col min="16" max="16" width="62.44140625" style="473" bestFit="1" customWidth="1"/>
    <col min="17" max="17" width="40" style="473" customWidth="1"/>
    <col min="18" max="16355" width="11.44140625" style="473"/>
    <col min="16356" max="16356" width="1.44140625" style="473" customWidth="1"/>
    <col min="16357" max="16384" width="2.88671875" style="473" customWidth="1"/>
  </cols>
  <sheetData>
    <row r="1" spans="2:22" s="413" customFormat="1">
      <c r="D1" s="416"/>
      <c r="E1" s="414"/>
      <c r="F1" s="415"/>
      <c r="G1" s="415"/>
      <c r="H1" s="415"/>
      <c r="I1" s="415"/>
      <c r="J1" s="415"/>
      <c r="K1" s="415"/>
      <c r="L1" s="415"/>
      <c r="V1" s="416"/>
    </row>
    <row r="2" spans="2:22" s="413" customFormat="1" ht="28.95" customHeight="1">
      <c r="B2" s="1349" t="s">
        <v>883</v>
      </c>
      <c r="C2" s="1368" t="s">
        <v>892</v>
      </c>
      <c r="D2" s="1368"/>
      <c r="E2" s="1368"/>
      <c r="F2" s="1368"/>
      <c r="G2" s="1368"/>
      <c r="H2" s="1368"/>
      <c r="I2" s="467"/>
      <c r="J2" s="467"/>
      <c r="K2" s="467"/>
      <c r="L2" s="467"/>
      <c r="M2" s="467"/>
      <c r="N2" s="877"/>
      <c r="O2" s="877"/>
      <c r="P2" s="877"/>
      <c r="Q2" s="877"/>
      <c r="R2" s="877"/>
      <c r="S2" s="877"/>
      <c r="T2" s="877"/>
      <c r="U2" s="877"/>
      <c r="V2" s="416"/>
    </row>
    <row r="3" spans="2:22" s="413" customFormat="1" ht="17.399999999999999" customHeight="1">
      <c r="B3" s="1349"/>
      <c r="C3" s="1369" t="s">
        <v>1144</v>
      </c>
      <c r="D3" s="1369"/>
      <c r="E3" s="1369"/>
      <c r="F3" s="1369"/>
      <c r="G3" s="1369"/>
      <c r="H3" s="1369"/>
      <c r="I3" s="466"/>
      <c r="J3" s="466"/>
      <c r="K3" s="466"/>
      <c r="L3" s="466"/>
      <c r="M3" s="466"/>
      <c r="N3" s="1027"/>
      <c r="O3" s="1027"/>
      <c r="P3" s="1027"/>
      <c r="Q3" s="1027"/>
      <c r="R3" s="1027"/>
      <c r="S3" s="1027"/>
      <c r="T3" s="1027"/>
      <c r="U3" s="1027"/>
      <c r="V3" s="417"/>
    </row>
    <row r="4" spans="2:22" s="413" customFormat="1" ht="6" customHeight="1">
      <c r="B4" s="500"/>
      <c r="D4" s="1370"/>
      <c r="E4" s="1370"/>
      <c r="F4" s="1370"/>
      <c r="G4" s="1370"/>
      <c r="H4" s="1370"/>
      <c r="I4" s="458"/>
      <c r="J4" s="458"/>
      <c r="K4" s="458"/>
      <c r="L4" s="458"/>
      <c r="M4" s="458"/>
      <c r="N4" s="1023"/>
      <c r="O4" s="1023"/>
      <c r="P4" s="1023"/>
      <c r="Q4" s="1023"/>
      <c r="R4" s="1023"/>
      <c r="S4" s="1023"/>
      <c r="T4" s="1023"/>
      <c r="U4" s="1023"/>
      <c r="V4" s="418"/>
    </row>
    <row r="5" spans="2:22" s="413" customFormat="1" ht="19.5" customHeight="1">
      <c r="B5" s="863" t="str">
        <f>+'2.Infor Detallado Desempeño POA'!C7</f>
        <v xml:space="preserve">Fecha de corte: </v>
      </c>
      <c r="C5" s="974">
        <f>+'2.Infor Detallado Desempeño POA'!D7</f>
        <v>44926</v>
      </c>
      <c r="D5" s="459"/>
      <c r="E5" s="419"/>
      <c r="V5" s="416"/>
    </row>
    <row r="6" spans="2:22" ht="1.95" customHeight="1">
      <c r="B6" s="476"/>
    </row>
    <row r="7" spans="2:22" ht="8.4" customHeight="1">
      <c r="B7" s="476"/>
    </row>
    <row r="8" spans="2:22" ht="54" customHeight="1">
      <c r="B8" s="1013" t="s">
        <v>744</v>
      </c>
      <c r="C8" s="1005" t="s">
        <v>1145</v>
      </c>
      <c r="D8" s="477"/>
      <c r="E8" s="473"/>
    </row>
    <row r="9" spans="2:22">
      <c r="B9" s="478" t="s">
        <v>718</v>
      </c>
      <c r="C9" s="479">
        <f>+F41</f>
        <v>0.99990000000000001</v>
      </c>
      <c r="D9" s="480"/>
      <c r="E9" s="473"/>
    </row>
    <row r="10" spans="2:22">
      <c r="B10" s="478" t="s">
        <v>720</v>
      </c>
      <c r="C10" s="479">
        <f>+F42</f>
        <v>1</v>
      </c>
      <c r="D10" s="480"/>
      <c r="E10" s="473"/>
      <c r="H10" s="531"/>
      <c r="I10" s="532" t="s">
        <v>1146</v>
      </c>
    </row>
    <row r="11" spans="2:22">
      <c r="B11" s="478" t="s">
        <v>721</v>
      </c>
      <c r="C11" s="479">
        <f>+F43</f>
        <v>1</v>
      </c>
      <c r="D11" s="480"/>
      <c r="E11" s="473"/>
      <c r="H11" s="770"/>
      <c r="I11" s="532" t="s">
        <v>899</v>
      </c>
    </row>
    <row r="12" spans="2:22">
      <c r="B12" s="478" t="s">
        <v>722</v>
      </c>
      <c r="C12" s="479">
        <f>+F44</f>
        <v>1</v>
      </c>
      <c r="D12" s="480"/>
      <c r="E12" s="473"/>
      <c r="H12" s="533"/>
      <c r="I12" s="532" t="s">
        <v>900</v>
      </c>
    </row>
    <row r="13" spans="2:22">
      <c r="B13" s="478" t="s">
        <v>733</v>
      </c>
      <c r="C13" s="479">
        <f>+F45</f>
        <v>1.355185185185185</v>
      </c>
      <c r="D13" s="481"/>
      <c r="E13" s="473"/>
      <c r="H13" s="534"/>
      <c r="I13" s="532" t="s">
        <v>901</v>
      </c>
    </row>
    <row r="14" spans="2:22">
      <c r="B14" s="478" t="s">
        <v>723</v>
      </c>
      <c r="C14" s="479">
        <f>+F47</f>
        <v>1.2962340594143875</v>
      </c>
      <c r="D14" s="480"/>
      <c r="E14" s="473"/>
    </row>
    <row r="15" spans="2:22">
      <c r="B15" s="478" t="s">
        <v>858</v>
      </c>
      <c r="C15" s="479">
        <f>+F48</f>
        <v>1.1623400409114697</v>
      </c>
      <c r="D15" s="480"/>
      <c r="E15" s="473"/>
    </row>
    <row r="16" spans="2:22">
      <c r="B16" s="478" t="s">
        <v>726</v>
      </c>
      <c r="C16" s="479">
        <f>+F49</f>
        <v>0.99051388888888892</v>
      </c>
      <c r="D16" s="480"/>
      <c r="E16" s="473"/>
    </row>
    <row r="17" spans="2:17">
      <c r="B17" s="478" t="s">
        <v>727</v>
      </c>
      <c r="C17" s="479">
        <f t="shared" ref="C17:C22" si="0">+F51</f>
        <v>0.99233635204081627</v>
      </c>
      <c r="D17" s="480"/>
      <c r="E17" s="473"/>
    </row>
    <row r="18" spans="2:17">
      <c r="B18" s="478" t="s">
        <v>728</v>
      </c>
      <c r="C18" s="479">
        <f t="shared" si="0"/>
        <v>1.0829896907216496</v>
      </c>
      <c r="D18" s="480"/>
      <c r="E18" s="473"/>
    </row>
    <row r="19" spans="2:17">
      <c r="B19" s="478" t="s">
        <v>729</v>
      </c>
      <c r="C19" s="479">
        <f t="shared" si="0"/>
        <v>1.0485935769416643</v>
      </c>
      <c r="D19" s="480"/>
      <c r="E19" s="473"/>
    </row>
    <row r="20" spans="2:17">
      <c r="B20" s="478" t="s">
        <v>730</v>
      </c>
      <c r="C20" s="479">
        <f t="shared" si="0"/>
        <v>1.0832072368421053</v>
      </c>
      <c r="D20" s="480"/>
      <c r="E20" s="473"/>
    </row>
    <row r="21" spans="2:17">
      <c r="B21" s="478" t="s">
        <v>731</v>
      </c>
      <c r="C21" s="479">
        <f t="shared" si="0"/>
        <v>1.0295427631578948</v>
      </c>
      <c r="D21" s="480"/>
      <c r="E21" s="473"/>
    </row>
    <row r="22" spans="2:17">
      <c r="B22" s="478" t="s">
        <v>732</v>
      </c>
      <c r="C22" s="479">
        <f t="shared" si="0"/>
        <v>1</v>
      </c>
      <c r="D22" s="480"/>
      <c r="E22" s="473"/>
    </row>
    <row r="23" spans="2:17">
      <c r="B23" s="478" t="s">
        <v>734</v>
      </c>
      <c r="C23" s="479">
        <f>+F58</f>
        <v>1.3423076923076922</v>
      </c>
      <c r="D23" s="480"/>
      <c r="E23" s="473"/>
    </row>
    <row r="24" spans="2:17" ht="15.6" thickBot="1">
      <c r="B24" s="482" t="s">
        <v>735</v>
      </c>
      <c r="C24" s="479">
        <f>+F59</f>
        <v>1</v>
      </c>
      <c r="D24" s="480"/>
      <c r="E24" s="473"/>
    </row>
    <row r="25" spans="2:17" ht="31.8" thickBot="1">
      <c r="B25" s="973" t="s">
        <v>884</v>
      </c>
      <c r="C25" s="806">
        <f>+F62</f>
        <v>1.1078279540532883</v>
      </c>
      <c r="D25" s="484"/>
      <c r="E25" s="473"/>
    </row>
    <row r="26" spans="2:17" s="485" customFormat="1">
      <c r="C26" s="486"/>
      <c r="D26" s="486"/>
      <c r="E26" s="486"/>
      <c r="P26" s="473"/>
      <c r="Q26" s="473"/>
    </row>
    <row r="27" spans="2:17" s="485" customFormat="1" ht="56.25" customHeight="1" thickBot="1">
      <c r="B27" s="485" t="s">
        <v>674</v>
      </c>
      <c r="C27" s="486"/>
      <c r="P27" s="473"/>
      <c r="Q27" s="473"/>
    </row>
    <row r="28" spans="2:17" ht="57" customHeight="1">
      <c r="B28" s="1371" t="s">
        <v>924</v>
      </c>
      <c r="C28" s="1373" t="s">
        <v>856</v>
      </c>
      <c r="D28" s="1375" t="s">
        <v>925</v>
      </c>
      <c r="E28" s="1376"/>
      <c r="F28" s="1377"/>
      <c r="H28" s="475"/>
    </row>
    <row r="29" spans="2:17" ht="54.6" customHeight="1" thickBot="1">
      <c r="B29" s="1372"/>
      <c r="C29" s="1374"/>
      <c r="D29" s="594" t="str">
        <f>+D39</f>
        <v>Cuarto Trimestre
31-12-2022</v>
      </c>
      <c r="E29" s="598" t="s">
        <v>926</v>
      </c>
      <c r="F29" s="600" t="s">
        <v>918</v>
      </c>
      <c r="H29" s="475"/>
    </row>
    <row r="30" spans="2:17" ht="29.4" customHeight="1">
      <c r="B30" s="581" t="s">
        <v>919</v>
      </c>
      <c r="C30" s="564">
        <f>+C46</f>
        <v>20</v>
      </c>
      <c r="D30" s="595">
        <f>IFERROR(AVERAGE(D41:D45),0)</f>
        <v>1.0903187645687644</v>
      </c>
      <c r="E30" s="601">
        <f>IFERROR(AVERAGE(E41:E45),0)</f>
        <v>1.0065911111111112</v>
      </c>
      <c r="F30" s="768">
        <f>IFERROR(AVERAGE(F41:F45),0)</f>
        <v>1.0710170370370371</v>
      </c>
      <c r="H30" s="475"/>
    </row>
    <row r="31" spans="2:17" ht="36.6" customHeight="1">
      <c r="B31" s="566" t="s">
        <v>920</v>
      </c>
      <c r="C31" s="565">
        <f>+C50</f>
        <v>35</v>
      </c>
      <c r="D31" s="596">
        <f>IFERROR(AVERAGE(D47:D49),0)</f>
        <v>2.1833252064070625</v>
      </c>
      <c r="E31" s="601">
        <f>IFERROR(AVERAGE(E47:E49),0)</f>
        <v>1.1497334021451431</v>
      </c>
      <c r="F31" s="768">
        <f>IFERROR(AVERAGE(F47:F49),0)</f>
        <v>1.1496959964049154</v>
      </c>
      <c r="H31" s="475"/>
    </row>
    <row r="32" spans="2:17" ht="41.4" customHeight="1">
      <c r="B32" s="566" t="s">
        <v>921</v>
      </c>
      <c r="C32" s="565">
        <f>+C57</f>
        <v>26</v>
      </c>
      <c r="D32" s="596">
        <f>IFERROR(AVERAGE(D51:D56),0)</f>
        <v>1.0815196599453263</v>
      </c>
      <c r="E32" s="601">
        <f>IFERROR(AVERAGE(E51:E56),0)</f>
        <v>1.0395129526419564</v>
      </c>
      <c r="F32" s="768">
        <f>IFERROR(AVERAGE(F51:F56),0)</f>
        <v>1.039444936617355</v>
      </c>
      <c r="H32" s="475"/>
    </row>
    <row r="33" spans="2:22" ht="40.799999999999997">
      <c r="B33" s="566" t="s">
        <v>922</v>
      </c>
      <c r="C33" s="565">
        <f>+C60</f>
        <v>6</v>
      </c>
      <c r="D33" s="597">
        <f>IFERROR(AVERAGE(D58:D59),0)</f>
        <v>1.5972222222222223</v>
      </c>
      <c r="E33" s="602">
        <f>IFERROR(AVERAGE(E58:E59),0)</f>
        <v>1.2149122807017543</v>
      </c>
      <c r="F33" s="769">
        <f>IFERROR(AVERAGE(F58:F59),0)</f>
        <v>1.171153846153846</v>
      </c>
      <c r="H33" s="475"/>
    </row>
    <row r="34" spans="2:22" ht="23.4">
      <c r="B34" s="568" t="s">
        <v>923</v>
      </c>
      <c r="C34" s="574">
        <f>SUM(C30:C33)</f>
        <v>87</v>
      </c>
      <c r="D34" s="567">
        <f>AVERAGE(D30:D33)</f>
        <v>1.4880964632858438</v>
      </c>
      <c r="E34" s="599">
        <f>AVERAGE(E30:E33)</f>
        <v>1.1026874366499912</v>
      </c>
      <c r="F34" s="599">
        <f>AVERAGE(F30:F33)</f>
        <v>1.1078279540532883</v>
      </c>
      <c r="H34" s="475"/>
    </row>
    <row r="35" spans="2:22" s="572" customFormat="1" ht="23.4">
      <c r="B35" s="569"/>
      <c r="C35" s="570"/>
      <c r="D35" s="571"/>
      <c r="E35" s="571"/>
      <c r="H35" s="573"/>
    </row>
    <row r="36" spans="2:22" s="485" customFormat="1">
      <c r="C36" s="486"/>
      <c r="P36" s="473"/>
      <c r="Q36" s="473"/>
    </row>
    <row r="37" spans="2:22" s="413" customFormat="1" ht="19.5" customHeight="1" thickBot="1">
      <c r="B37" s="863" t="str">
        <f>+B5</f>
        <v xml:space="preserve">Fecha de corte: </v>
      </c>
      <c r="C37" s="974">
        <f>+C5</f>
        <v>44926</v>
      </c>
      <c r="D37" s="419"/>
      <c r="E37" s="419"/>
      <c r="V37" s="416"/>
    </row>
    <row r="38" spans="2:22" s="413" customFormat="1" ht="21" customHeight="1">
      <c r="B38" s="1360" t="s">
        <v>744</v>
      </c>
      <c r="C38" s="1362" t="s">
        <v>856</v>
      </c>
      <c r="D38" s="1362" t="s">
        <v>894</v>
      </c>
      <c r="E38" s="1362"/>
      <c r="F38" s="1364"/>
      <c r="G38" s="414"/>
      <c r="H38" s="414"/>
      <c r="I38" s="414"/>
      <c r="U38" s="416"/>
    </row>
    <row r="39" spans="2:22" s="413" customFormat="1" ht="49.5" customHeight="1" thickBot="1">
      <c r="B39" s="1361"/>
      <c r="C39" s="1363"/>
      <c r="D39" s="1022" t="str">
        <f>+'2.Infor Detallado Desempeño POA'!AL11</f>
        <v>Cuarto Trimestre
31-12-2022</v>
      </c>
      <c r="E39" s="1022" t="str">
        <f>+'2.Infor Detallado Desempeño POA'!AM11</f>
        <v>Acumulado Corte 
31/12/2022</v>
      </c>
      <c r="F39" s="583" t="str">
        <f>+'2.Infor Detallado Desempeño POA'!AN11</f>
        <v>Anual</v>
      </c>
      <c r="G39" s="501"/>
      <c r="H39" s="414"/>
      <c r="I39" s="414"/>
      <c r="J39" s="414"/>
      <c r="V39" s="416"/>
    </row>
    <row r="40" spans="2:22" s="577" customFormat="1" ht="6" customHeight="1" thickBot="1">
      <c r="B40" s="1365"/>
      <c r="C40" s="1366"/>
      <c r="D40" s="1366"/>
      <c r="E40" s="1366"/>
      <c r="F40" s="1367"/>
      <c r="G40" s="575"/>
      <c r="H40" s="576"/>
      <c r="I40" s="576"/>
      <c r="J40" s="576"/>
      <c r="V40" s="578"/>
    </row>
    <row r="41" spans="2:22" s="413" customFormat="1">
      <c r="B41" s="420" t="s">
        <v>718</v>
      </c>
      <c r="C41" s="421">
        <f>+'Rango indicadores'!D111</f>
        <v>4</v>
      </c>
      <c r="D41" s="422">
        <f>IF(AND('2.Infor Detallado Desempeño POA'!AL16&gt;0),'2.Infor Detallado Desempeño POA'!AL16,"No Programado")</f>
        <v>0.98284382284382277</v>
      </c>
      <c r="E41" s="422">
        <f>IF(AND('2.Infor Detallado Desempeño POA'!AM16&gt;0),'2.Infor Detallado Desempeño POA'!AM16,"No Programado")</f>
        <v>0.99990000000000001</v>
      </c>
      <c r="F41" s="422">
        <f>IF(AND('2.Infor Detallado Desempeño POA'!AN16&gt;0),'2.Infor Detallado Desempeño POA'!AN16,"No Programado")</f>
        <v>0.99990000000000001</v>
      </c>
      <c r="G41" s="423"/>
      <c r="H41" s="423"/>
      <c r="I41" s="423"/>
      <c r="J41" s="423"/>
      <c r="V41" s="416"/>
    </row>
    <row r="42" spans="2:22" s="413" customFormat="1">
      <c r="B42" s="424" t="s">
        <v>720</v>
      </c>
      <c r="C42" s="421">
        <f>+'Rango indicadores'!D112</f>
        <v>4</v>
      </c>
      <c r="D42" s="422">
        <f>IF(AND('2.Infor Detallado Desempeño POA'!AL25&gt;0),'2.Infor Detallado Desempeño POA'!AL25,"No Programado")</f>
        <v>0.96875</v>
      </c>
      <c r="E42" s="422">
        <f>IF(AND('2.Infor Detallado Desempeño POA'!AM25&gt;0),'2.Infor Detallado Desempeño POA'!AM25,"No Programado")</f>
        <v>1</v>
      </c>
      <c r="F42" s="422">
        <f>IF(AND('2.Infor Detallado Desempeño POA'!AN25&gt;0),'2.Infor Detallado Desempeño POA'!AN25,"No Programado")</f>
        <v>1</v>
      </c>
      <c r="G42" s="423"/>
      <c r="H42" s="423"/>
      <c r="I42" s="423"/>
      <c r="J42" s="423"/>
      <c r="V42" s="416"/>
    </row>
    <row r="43" spans="2:22" s="413" customFormat="1">
      <c r="B43" s="424" t="s">
        <v>721</v>
      </c>
      <c r="C43" s="421">
        <f>+'Rango indicadores'!D113</f>
        <v>7</v>
      </c>
      <c r="D43" s="422">
        <f>IF(AND('2.Infor Detallado Desempeño POA'!AL37&gt;0),'2.Infor Detallado Desempeño POA'!AL37,"No Programado")</f>
        <v>1</v>
      </c>
      <c r="E43" s="422">
        <f>IF(AND('2.Infor Detallado Desempeño POA'!AM37&gt;0),'2.Infor Detallado Desempeño POA'!AM37,"No Programado")</f>
        <v>1</v>
      </c>
      <c r="F43" s="422">
        <f>IF(AND('2.Infor Detallado Desempeño POA'!AN37&gt;0),'2.Infor Detallado Desempeño POA'!AN37,"No Programado")</f>
        <v>1</v>
      </c>
      <c r="G43" s="423"/>
      <c r="H43" s="423"/>
      <c r="I43" s="423"/>
      <c r="J43" s="423"/>
      <c r="V43" s="416"/>
    </row>
    <row r="44" spans="2:22" s="413" customFormat="1">
      <c r="B44" s="424" t="s">
        <v>722</v>
      </c>
      <c r="C44" s="421">
        <f>+'Rango indicadores'!D114</f>
        <v>2</v>
      </c>
      <c r="D44" s="422">
        <f>IF(AND('2.Infor Detallado Desempeño POA'!T44&gt;0),'2.Infor Detallado Desempeño POA'!T44,"No Programado")</f>
        <v>1</v>
      </c>
      <c r="E44" s="422">
        <f>IF(AND('2.Infor Detallado Desempeño POA'!AM44&gt;0),'2.Infor Detallado Desempeño POA'!AM44,"No Programado")</f>
        <v>1</v>
      </c>
      <c r="F44" s="422">
        <f>IF(AND('2.Infor Detallado Desempeño POA'!AN44&gt;0),'2.Infor Detallado Desempeño POA'!AN44,"No Programado")</f>
        <v>1</v>
      </c>
      <c r="G44" s="423"/>
      <c r="H44" s="423"/>
      <c r="I44" s="423"/>
      <c r="J44" s="423"/>
      <c r="V44" s="416"/>
    </row>
    <row r="45" spans="2:22" s="413" customFormat="1" ht="15.6" thickBot="1">
      <c r="B45" s="425" t="s">
        <v>733</v>
      </c>
      <c r="C45" s="421">
        <f>+'Rango indicadores'!D124</f>
        <v>3</v>
      </c>
      <c r="D45" s="422">
        <f>IF(AND('2.Infor Detallado Desempeño POA'!AL52&gt;0),'2.Infor Detallado Desempeño POA'!AL52,"No Programado")</f>
        <v>1.5</v>
      </c>
      <c r="E45" s="422">
        <f>IF(AND('2.Infor Detallado Desempeño POA'!AD52&gt;0),'2.Infor Detallado Desempeño POA'!AD52,"No Programado")</f>
        <v>1.0330555555555554</v>
      </c>
      <c r="F45" s="422">
        <f>IF(AND('2.Infor Detallado Desempeño POA'!AN52&gt;0),'2.Infor Detallado Desempeño POA'!AN52,"No Programado")</f>
        <v>1.355185185185185</v>
      </c>
      <c r="G45" s="423"/>
      <c r="H45" s="423"/>
      <c r="I45" s="423"/>
      <c r="J45" s="423"/>
      <c r="V45" s="416"/>
    </row>
    <row r="46" spans="2:22" s="413" customFormat="1" ht="34.950000000000003" customHeight="1" thickBot="1">
      <c r="B46" s="584" t="s">
        <v>895</v>
      </c>
      <c r="C46" s="585">
        <f>SUM(C41:C45)</f>
        <v>20</v>
      </c>
      <c r="D46" s="586">
        <f>IFERROR(AVERAGE(D41:D45),0)</f>
        <v>1.0903187645687644</v>
      </c>
      <c r="E46" s="586">
        <f>IFERROR(AVERAGE(E41:E45),0)</f>
        <v>1.0065911111111112</v>
      </c>
      <c r="F46" s="586">
        <f>IFERROR(AVERAGE(F41:F45),0)</f>
        <v>1.0710170370370371</v>
      </c>
      <c r="G46" s="426"/>
      <c r="H46" s="423"/>
      <c r="I46" s="423"/>
      <c r="J46" s="423"/>
      <c r="V46" s="416"/>
    </row>
    <row r="47" spans="2:22" s="413" customFormat="1">
      <c r="B47" s="420" t="s">
        <v>723</v>
      </c>
      <c r="C47" s="421">
        <f>+'Rango indicadores'!D115</f>
        <v>20</v>
      </c>
      <c r="D47" s="422">
        <f>IF(AND('2.Infor Detallado Desempeño POA'!AL77&gt;0),'2.Infor Detallado Desempeño POA'!AL77,"No Programado")</f>
        <v>1.9841087297753512</v>
      </c>
      <c r="E47" s="422">
        <f>IF(AND('2.Infor Detallado Desempeño POA'!AM77&gt;0),'2.Infor Detallado Desempeño POA'!AM77,"No Programado")</f>
        <v>1.2962525266350706</v>
      </c>
      <c r="F47" s="422">
        <f>IF(AND('2.Infor Detallado Desempeño POA'!AN77&gt;0),'2.Infor Detallado Desempeño POA'!AN77,"No Programado")</f>
        <v>1.2962340594143875</v>
      </c>
      <c r="G47" s="423"/>
      <c r="H47" s="423"/>
      <c r="I47" s="423"/>
      <c r="J47" s="423"/>
      <c r="V47" s="416"/>
    </row>
    <row r="48" spans="2:22" s="413" customFormat="1">
      <c r="B48" s="424" t="s">
        <v>858</v>
      </c>
      <c r="C48" s="421">
        <f>+'Rango indicadores'!D116</f>
        <v>7</v>
      </c>
      <c r="D48" s="422">
        <f>IF(AND('2.Infor Detallado Desempeño POA'!AL89&gt;0),'2.Infor Detallado Desempeño POA'!AL89,"No Programado")</f>
        <v>3.4411375661375665</v>
      </c>
      <c r="E48" s="422">
        <f>IF(AND('2.Infor Detallado Desempeño POA'!AM89&gt;0),'2.Infor Detallado Desempeño POA'!AM89,"No Programado")</f>
        <v>1.1623400409114697</v>
      </c>
      <c r="F48" s="422">
        <f>IF(AND('2.Infor Detallado Desempeño POA'!AN89&gt;0),'2.Infor Detallado Desempeño POA'!AN89,"No Programado")</f>
        <v>1.1623400409114697</v>
      </c>
      <c r="G48" s="423"/>
      <c r="H48" s="423"/>
      <c r="I48" s="423"/>
      <c r="J48" s="423"/>
      <c r="V48" s="416"/>
    </row>
    <row r="49" spans="2:22" s="413" customFormat="1" ht="15.6" thickBot="1">
      <c r="B49" s="425" t="s">
        <v>726</v>
      </c>
      <c r="C49" s="421">
        <f>+'Rango indicadores'!D117</f>
        <v>8</v>
      </c>
      <c r="D49" s="422">
        <f>IF(AND('2.Infor Detallado Desempeño POA'!AL102&gt;0),'2.Infor Detallado Desempeño POA'!AL102,"No Programado")</f>
        <v>1.1247293233082707</v>
      </c>
      <c r="E49" s="422">
        <f>IF(AND('2.Infor Detallado Desempeño POA'!AM102&gt;0),'2.Infor Detallado Desempeño POA'!AM102,"No Programado")</f>
        <v>0.99060763888888892</v>
      </c>
      <c r="F49" s="422">
        <f>IF(AND('2.Infor Detallado Desempeño POA'!AN102&gt;0),'2.Infor Detallado Desempeño POA'!AN102,"No Programado")</f>
        <v>0.99051388888888892</v>
      </c>
      <c r="G49" s="423"/>
      <c r="H49" s="423"/>
      <c r="I49" s="423"/>
      <c r="J49" s="423"/>
      <c r="V49" s="416"/>
    </row>
    <row r="50" spans="2:22" s="413" customFormat="1" ht="34.950000000000003" customHeight="1" thickBot="1">
      <c r="B50" s="584" t="s">
        <v>896</v>
      </c>
      <c r="C50" s="585">
        <f>SUM(C47:C49)</f>
        <v>35</v>
      </c>
      <c r="D50" s="586">
        <f>IFERROR(AVERAGE(D47:D49),0)</f>
        <v>2.1833252064070625</v>
      </c>
      <c r="E50" s="586">
        <f>IFERROR(AVERAGE(E47:E49),0)</f>
        <v>1.1497334021451431</v>
      </c>
      <c r="F50" s="586">
        <f>IFERROR(AVERAGE(F47:F49),0)</f>
        <v>1.1496959964049154</v>
      </c>
      <c r="G50" s="426"/>
      <c r="H50" s="423"/>
      <c r="I50" s="423"/>
      <c r="J50" s="423"/>
      <c r="V50" s="416"/>
    </row>
    <row r="51" spans="2:22" s="413" customFormat="1">
      <c r="B51" s="420" t="s">
        <v>727</v>
      </c>
      <c r="C51" s="421">
        <f>+'Rango indicadores'!D118</f>
        <v>8</v>
      </c>
      <c r="D51" s="422">
        <f>IF(AND('2.Infor Detallado Desempeño POA'!AL115&gt;0),'2.Infor Detallado Desempeño POA'!AL115,"No Programado")</f>
        <v>1.0325009781278003</v>
      </c>
      <c r="E51" s="422">
        <f>IF(AND('2.Infor Detallado Desempeño POA'!AM115&gt;0),'2.Infor Detallado Desempeño POA'!AM115,"No Programado")</f>
        <v>0.99252967155612237</v>
      </c>
      <c r="F51" s="422">
        <f>IF(AND('2.Infor Detallado Desempeño POA'!AN115&gt;0),'2.Infor Detallado Desempeño POA'!AN115,"No Programado")</f>
        <v>0.99233635204081627</v>
      </c>
      <c r="G51" s="423"/>
      <c r="H51" s="423"/>
      <c r="I51" s="423"/>
      <c r="J51" s="423"/>
      <c r="V51" s="416"/>
    </row>
    <row r="52" spans="2:22" s="413" customFormat="1">
      <c r="B52" s="424" t="s">
        <v>728</v>
      </c>
      <c r="C52" s="421">
        <f>+'Rango indicadores'!D119</f>
        <v>2</v>
      </c>
      <c r="D52" s="422">
        <f>IF(AND('2.Infor Detallado Desempeño POA'!AL122),'2.Infor Detallado Desempeño POA'!AL122,"No Programado")</f>
        <v>1.0498281786941579</v>
      </c>
      <c r="E52" s="422">
        <f>IF(AND('2.Infor Detallado Desempeño POA'!AM122),'2.Infor Detallado Desempeño POA'!AM122,"No Programado")</f>
        <v>1.0832044673539518</v>
      </c>
      <c r="F52" s="422">
        <f>IF(AND('2.Infor Detallado Desempeño POA'!AN122),'2.Infor Detallado Desempeño POA'!AN122,"No Programado")</f>
        <v>1.0829896907216496</v>
      </c>
      <c r="G52" s="423"/>
      <c r="H52" s="423"/>
      <c r="I52" s="423"/>
      <c r="J52" s="423"/>
      <c r="V52" s="416"/>
    </row>
    <row r="53" spans="2:22" s="413" customFormat="1">
      <c r="B53" s="424" t="s">
        <v>729</v>
      </c>
      <c r="C53" s="421">
        <f>+'Rango indicadores'!D120</f>
        <v>3</v>
      </c>
      <c r="D53" s="422">
        <f>IF(AND('2.Infor Detallado Desempeño POA'!AL130&gt;0),'2.Infor Detallado Desempeño POA'!AL130,"No Programado")</f>
        <v>1.1380245484640354</v>
      </c>
      <c r="E53" s="422">
        <f>IF(AND('2.Infor Detallado Desempeño POA'!AM130&gt;0),'2.Infor Detallado Desempeño POA'!AM130,"No Programado")</f>
        <v>1.0485935769416641</v>
      </c>
      <c r="F53" s="422">
        <f>IF(AND('2.Infor Detallado Desempeño POA'!AN130&gt;0),'2.Infor Detallado Desempeño POA'!AN130,"No Programado")</f>
        <v>1.0485935769416643</v>
      </c>
      <c r="G53" s="423"/>
      <c r="H53" s="423"/>
      <c r="I53" s="423"/>
      <c r="J53" s="423"/>
      <c r="V53" s="416"/>
    </row>
    <row r="54" spans="2:22" s="413" customFormat="1">
      <c r="B54" s="424" t="s">
        <v>730</v>
      </c>
      <c r="C54" s="421">
        <f>+'Rango indicadores'!D121</f>
        <v>4</v>
      </c>
      <c r="D54" s="422">
        <f>IF(AND('2.Infor Detallado Desempeño POA'!AL139&gt;0),'2.Infor Detallado Desempeño POA'!AL139,"No Programado")</f>
        <v>1.2566666666666666</v>
      </c>
      <c r="E54" s="422">
        <f>IF(AND('2.Infor Detallado Desempeño POA'!AM139&gt;0),'2.Infor Detallado Desempeño POA'!AM139,"No Programado")</f>
        <v>1.0832072368421051</v>
      </c>
      <c r="F54" s="422">
        <f>IF(AND('2.Infor Detallado Desempeño POA'!AN139&gt;0),'2.Infor Detallado Desempeño POA'!AN139,"No Programado")</f>
        <v>1.0832072368421053</v>
      </c>
      <c r="G54" s="423"/>
      <c r="H54" s="423"/>
      <c r="I54" s="423"/>
      <c r="J54" s="423"/>
      <c r="V54" s="416"/>
    </row>
    <row r="55" spans="2:22" s="413" customFormat="1">
      <c r="B55" s="424" t="s">
        <v>731</v>
      </c>
      <c r="C55" s="421">
        <f>+'Rango indicadores'!D122</f>
        <v>4</v>
      </c>
      <c r="D55" s="422">
        <f>IF(AND('2.Infor Detallado Desempeño POA'!AL148&gt;0),'2.Infor Detallado Desempeño POA'!AL148,"No Programado")</f>
        <v>1.0120975877192981</v>
      </c>
      <c r="E55" s="422">
        <f>IF(AND('2.Infor Detallado Desempeño POA'!AM148&gt;0),'2.Infor Detallado Desempeño POA'!AM148,"No Programado")</f>
        <v>1.0295427631578948</v>
      </c>
      <c r="F55" s="422">
        <f>IF(AND('2.Infor Detallado Desempeño POA'!AN148&gt;0),'2.Infor Detallado Desempeño POA'!AN148,"No Programado")</f>
        <v>1.0295427631578948</v>
      </c>
      <c r="G55" s="423"/>
      <c r="H55" s="423"/>
      <c r="I55" s="423"/>
      <c r="J55" s="423"/>
      <c r="V55" s="416"/>
    </row>
    <row r="56" spans="2:22" s="413" customFormat="1" ht="15.6" thickBot="1">
      <c r="B56" s="425" t="s">
        <v>732</v>
      </c>
      <c r="C56" s="421">
        <f>+'Rango indicadores'!D123</f>
        <v>5</v>
      </c>
      <c r="D56" s="422">
        <f>IF(AND('2.Infor Detallado Desempeño POA'!AL158&gt;0),'2.Infor Detallado Desempeño POA'!AL158,"No Programado")</f>
        <v>1</v>
      </c>
      <c r="E56" s="422">
        <f>IF(AND('2.Infor Detallado Desempeño POA'!AM158&gt;0),'2.Infor Detallado Desempeño POA'!AM158,"No Programado")</f>
        <v>1</v>
      </c>
      <c r="F56" s="422">
        <f>IF(AND('2.Infor Detallado Desempeño POA'!AN158&gt;0),'2.Infor Detallado Desempeño POA'!AN158,"No Programado")</f>
        <v>1</v>
      </c>
      <c r="G56" s="423"/>
      <c r="H56" s="423"/>
      <c r="I56" s="423"/>
      <c r="J56" s="423"/>
      <c r="V56" s="416"/>
    </row>
    <row r="57" spans="2:22" s="413" customFormat="1" ht="34.950000000000003" customHeight="1" thickBot="1">
      <c r="B57" s="584" t="s">
        <v>897</v>
      </c>
      <c r="C57" s="585">
        <f>SUM(C51:C56)</f>
        <v>26</v>
      </c>
      <c r="D57" s="586">
        <f>IFERROR(AVERAGE(D51:D56),0)</f>
        <v>1.0815196599453263</v>
      </c>
      <c r="E57" s="586">
        <f>IFERROR(AVERAGE(E51:E56),0)</f>
        <v>1.0395129526419564</v>
      </c>
      <c r="F57" s="586">
        <f>IFERROR(AVERAGE(F51:F56),0)</f>
        <v>1.039444936617355</v>
      </c>
      <c r="G57" s="426"/>
      <c r="H57" s="423"/>
      <c r="I57" s="423"/>
      <c r="J57" s="423"/>
      <c r="V57" s="416"/>
    </row>
    <row r="58" spans="2:22" s="413" customFormat="1">
      <c r="B58" s="424" t="s">
        <v>734</v>
      </c>
      <c r="C58" s="421">
        <f>+'Rango indicadores'!D125</f>
        <v>3</v>
      </c>
      <c r="D58" s="422">
        <f>IF(AND('2.Infor Detallado Desempeño POA'!AL166&gt;0),'2.Infor Detallado Desempeño POA'!AL166,"No Programado")</f>
        <v>2.1944444444444446</v>
      </c>
      <c r="E58" s="422">
        <f>IF(AND('2.Infor Detallado Desempeño POA'!AM166&gt;0),'2.Infor Detallado Desempeño POA'!AM166,"No Programado")</f>
        <v>1.4298245614035088</v>
      </c>
      <c r="F58" s="422">
        <f>IF(AND('2.Infor Detallado Desempeño POA'!AN166&gt;0),'2.Infor Detallado Desempeño POA'!AN166,"No Programado")</f>
        <v>1.3423076923076922</v>
      </c>
      <c r="G58" s="423"/>
      <c r="H58" s="423"/>
      <c r="I58" s="423"/>
      <c r="J58" s="423"/>
      <c r="V58" s="416"/>
    </row>
    <row r="59" spans="2:22" s="413" customFormat="1" ht="15.6" thickBot="1">
      <c r="B59" s="509" t="s">
        <v>735</v>
      </c>
      <c r="C59" s="510">
        <f>+'Rango indicadores'!D126</f>
        <v>3</v>
      </c>
      <c r="D59" s="422">
        <f>IF(AND('2.Infor Detallado Desempeño POA'!AL174&gt;0),'2.Infor Detallado Desempeño POA'!AL174,"No Programado")</f>
        <v>1</v>
      </c>
      <c r="E59" s="422">
        <f>IF(AND('2.Infor Detallado Desempeño POA'!AM174&gt;0),'2.Infor Detallado Desempeño POA'!AM174,"No Programado")</f>
        <v>1</v>
      </c>
      <c r="F59" s="422">
        <f>IF(AND('2.Infor Detallado Desempeño POA'!AN174&gt;0),'2.Infor Detallado Desempeño POA'!AN174,"No Programado")</f>
        <v>1</v>
      </c>
      <c r="G59" s="423"/>
      <c r="H59" s="423"/>
      <c r="I59" s="423"/>
      <c r="J59" s="423"/>
      <c r="V59" s="416"/>
    </row>
    <row r="60" spans="2:22" s="413" customFormat="1" ht="46.95" customHeight="1" thickBot="1">
      <c r="B60" s="587" t="s">
        <v>859</v>
      </c>
      <c r="C60" s="585">
        <f>SUM(C58:C59)</f>
        <v>6</v>
      </c>
      <c r="D60" s="586">
        <f>IFERROR(AVERAGE(D58:D59),0)</f>
        <v>1.5972222222222223</v>
      </c>
      <c r="E60" s="586">
        <f>IFERROR(AVERAGE(E58:E59),0)</f>
        <v>1.2149122807017543</v>
      </c>
      <c r="F60" s="586">
        <f>IFERROR(AVERAGE(F58:F59),0)</f>
        <v>1.171153846153846</v>
      </c>
      <c r="G60" s="426"/>
      <c r="H60" s="423"/>
      <c r="I60" s="423"/>
      <c r="J60" s="423"/>
      <c r="V60" s="416"/>
    </row>
    <row r="61" spans="2:22" s="577" customFormat="1" ht="6" customHeight="1">
      <c r="B61" s="579"/>
      <c r="C61" s="580"/>
      <c r="D61" s="575"/>
      <c r="E61" s="575"/>
      <c r="F61" s="575"/>
      <c r="G61" s="575"/>
      <c r="H61" s="576"/>
      <c r="I61" s="576"/>
      <c r="J61" s="576"/>
      <c r="V61" s="578"/>
    </row>
    <row r="62" spans="2:22" ht="15" customHeight="1">
      <c r="B62" s="563" t="s">
        <v>923</v>
      </c>
      <c r="C62" s="574">
        <f>+C60+C57+C50+C46</f>
        <v>87</v>
      </c>
      <c r="D62" s="567">
        <f>AVERAGE(D46,D50,D57,D60)</f>
        <v>1.4880964632858438</v>
      </c>
      <c r="E62" s="567">
        <f>AVERAGE(E46,E50,E57,E60)</f>
        <v>1.1026874366499912</v>
      </c>
      <c r="F62" s="567">
        <f>AVERAGE(F46,F50,F57,F60)</f>
        <v>1.1078279540532883</v>
      </c>
      <c r="G62" s="603"/>
    </row>
    <row r="63" spans="2:22" ht="15" customHeight="1"/>
    <row r="64" spans="2:22" ht="15" customHeight="1">
      <c r="D64" s="59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DDVkTpvbVU5AIIx1IocWoUsUEn2BvxHDZlerbqkbncVQtY+qeYgGuknxmOoYggtaoCxhDSNq0a1ZZ7L3JrLOCg==" saltValue="FZFE5PlDIfdqOHeIHIdrQQ=="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768" priority="1" operator="equal">
      <formula>"No Programado"</formula>
    </cfRule>
    <cfRule type="cellIs" dxfId="767" priority="2" operator="lessThanOrEqual">
      <formula>0.6</formula>
    </cfRule>
    <cfRule type="cellIs" dxfId="766" priority="3" operator="between">
      <formula>0.6</formula>
      <formula>0.899999999999999</formula>
    </cfRule>
    <cfRule type="cellIs" dxfId="765" priority="4" operator="greaterThan">
      <formula>1</formula>
    </cfRule>
    <cfRule type="cellIs" dxfId="764" priority="5" operator="between">
      <formula>0.9</formula>
      <formula>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E2B1-122C-478C-A0A2-84234DA98240}">
  <sheetPr>
    <tabColor rgb="FF00FF99"/>
  </sheetPr>
  <dimension ref="B1:V116"/>
  <sheetViews>
    <sheetView showGridLines="0" topLeftCell="A16" zoomScale="85" zoomScaleNormal="85" workbookViewId="0">
      <selection activeCell="H10" sqref="H10"/>
    </sheetView>
  </sheetViews>
  <sheetFormatPr baseColWidth="10" defaultColWidth="11.44140625" defaultRowHeight="15" customHeight="1" zeroHeight="1"/>
  <cols>
    <col min="1" max="1" width="3.6640625" style="473" customWidth="1"/>
    <col min="2" max="2" width="47.33203125" style="473" customWidth="1"/>
    <col min="3" max="3" width="20.33203125" style="475" customWidth="1"/>
    <col min="4" max="5" width="18.88671875" style="475" customWidth="1"/>
    <col min="6" max="6" width="19.44140625" style="473" customWidth="1"/>
    <col min="7" max="7" width="47" style="473" customWidth="1"/>
    <col min="8" max="15" width="11.44140625" style="473"/>
    <col min="16" max="16" width="62.44140625" style="473" bestFit="1" customWidth="1"/>
    <col min="17" max="17" width="40" style="473" customWidth="1"/>
    <col min="18" max="16355" width="11.44140625" style="473"/>
    <col min="16356" max="16356" width="1.44140625" style="473" customWidth="1"/>
    <col min="16357" max="16384" width="2.88671875" style="473" customWidth="1"/>
  </cols>
  <sheetData>
    <row r="1" spans="2:22" s="413" customFormat="1">
      <c r="D1" s="416"/>
      <c r="E1" s="414"/>
      <c r="F1" s="415"/>
      <c r="G1" s="415"/>
      <c r="H1" s="415"/>
      <c r="I1" s="415"/>
      <c r="J1" s="415"/>
      <c r="K1" s="415"/>
      <c r="L1" s="415"/>
      <c r="V1" s="416"/>
    </row>
    <row r="2" spans="2:22" s="413" customFormat="1" ht="28.95" customHeight="1">
      <c r="B2" s="1349" t="s">
        <v>883</v>
      </c>
      <c r="C2" s="1368" t="s">
        <v>892</v>
      </c>
      <c r="D2" s="1368"/>
      <c r="E2" s="1368"/>
      <c r="F2" s="1368"/>
      <c r="G2" s="1368"/>
      <c r="H2" s="1368"/>
      <c r="I2" s="467"/>
      <c r="J2" s="467"/>
      <c r="K2" s="467"/>
      <c r="L2" s="467"/>
      <c r="M2" s="467"/>
      <c r="N2" s="877"/>
      <c r="O2" s="877"/>
      <c r="P2" s="877"/>
      <c r="Q2" s="877"/>
      <c r="R2" s="877"/>
      <c r="S2" s="877"/>
      <c r="T2" s="877"/>
      <c r="U2" s="877"/>
      <c r="V2" s="416"/>
    </row>
    <row r="3" spans="2:22" s="413" customFormat="1" ht="17.399999999999999" customHeight="1">
      <c r="B3" s="1349"/>
      <c r="C3" s="1369" t="s">
        <v>1144</v>
      </c>
      <c r="D3" s="1369"/>
      <c r="E3" s="1369"/>
      <c r="F3" s="1369"/>
      <c r="G3" s="1369"/>
      <c r="H3" s="1369"/>
      <c r="I3" s="466"/>
      <c r="J3" s="466"/>
      <c r="K3" s="466"/>
      <c r="L3" s="466"/>
      <c r="M3" s="466"/>
      <c r="N3" s="876"/>
      <c r="O3" s="876"/>
      <c r="P3" s="876"/>
      <c r="Q3" s="876"/>
      <c r="R3" s="876"/>
      <c r="S3" s="876"/>
      <c r="T3" s="876"/>
      <c r="U3" s="876"/>
      <c r="V3" s="417"/>
    </row>
    <row r="4" spans="2:22" s="413" customFormat="1" ht="6" customHeight="1">
      <c r="B4" s="500"/>
      <c r="D4" s="1370"/>
      <c r="E4" s="1370"/>
      <c r="F4" s="1370"/>
      <c r="G4" s="1370"/>
      <c r="H4" s="1370"/>
      <c r="I4" s="458"/>
      <c r="J4" s="458"/>
      <c r="K4" s="458"/>
      <c r="L4" s="458"/>
      <c r="M4" s="458"/>
      <c r="N4" s="874"/>
      <c r="O4" s="874"/>
      <c r="P4" s="874"/>
      <c r="Q4" s="874"/>
      <c r="R4" s="874"/>
      <c r="S4" s="874"/>
      <c r="T4" s="874"/>
      <c r="U4" s="874"/>
      <c r="V4" s="418"/>
    </row>
    <row r="5" spans="2:22" s="413" customFormat="1" ht="19.5" customHeight="1">
      <c r="B5" s="863" t="str">
        <f>+'2.Infor Detallado Desempeño POA'!C7</f>
        <v xml:space="preserve">Fecha de corte: </v>
      </c>
      <c r="C5" s="883">
        <v>44834</v>
      </c>
      <c r="D5" s="459"/>
      <c r="E5" s="419"/>
      <c r="V5" s="416"/>
    </row>
    <row r="6" spans="2:22" ht="1.95" customHeight="1">
      <c r="B6" s="476"/>
    </row>
    <row r="7" spans="2:22" ht="8.4" customHeight="1">
      <c r="B7" s="476"/>
    </row>
    <row r="8" spans="2:22" ht="54" customHeight="1">
      <c r="B8" s="872" t="s">
        <v>744</v>
      </c>
      <c r="C8" s="871" t="s">
        <v>1145</v>
      </c>
      <c r="D8" s="477"/>
      <c r="E8" s="473"/>
    </row>
    <row r="9" spans="2:22">
      <c r="B9" s="478" t="s">
        <v>718</v>
      </c>
      <c r="C9" s="479">
        <f>+F41</f>
        <v>0.85149999999999992</v>
      </c>
      <c r="D9" s="480"/>
      <c r="E9" s="473"/>
    </row>
    <row r="10" spans="2:22">
      <c r="B10" s="478" t="s">
        <v>720</v>
      </c>
      <c r="C10" s="479">
        <f>+F42</f>
        <v>0.32894736842105265</v>
      </c>
      <c r="D10" s="480"/>
      <c r="E10" s="473"/>
      <c r="H10" s="531"/>
      <c r="I10" s="532" t="s">
        <v>1146</v>
      </c>
    </row>
    <row r="11" spans="2:22">
      <c r="B11" s="478" t="s">
        <v>721</v>
      </c>
      <c r="C11" s="479">
        <f>+F43</f>
        <v>0.82500000000000007</v>
      </c>
      <c r="D11" s="480"/>
      <c r="E11" s="473"/>
      <c r="H11" s="770"/>
      <c r="I11" s="532" t="s">
        <v>899</v>
      </c>
    </row>
    <row r="12" spans="2:22">
      <c r="B12" s="478" t="s">
        <v>722</v>
      </c>
      <c r="C12" s="479">
        <f>+F44</f>
        <v>0.75</v>
      </c>
      <c r="D12" s="480"/>
      <c r="E12" s="473"/>
      <c r="H12" s="533"/>
      <c r="I12" s="532" t="s">
        <v>900</v>
      </c>
    </row>
    <row r="13" spans="2:22">
      <c r="B13" s="478" t="s">
        <v>733</v>
      </c>
      <c r="C13" s="479">
        <f>+F45</f>
        <v>0.57740740740740737</v>
      </c>
      <c r="D13" s="481"/>
      <c r="E13" s="473"/>
      <c r="H13" s="534"/>
      <c r="I13" s="532" t="s">
        <v>901</v>
      </c>
    </row>
    <row r="14" spans="2:22">
      <c r="B14" s="478" t="s">
        <v>723</v>
      </c>
      <c r="C14" s="479">
        <f>+F47</f>
        <v>0.87744668920257796</v>
      </c>
      <c r="D14" s="480"/>
      <c r="E14" s="473"/>
    </row>
    <row r="15" spans="2:22">
      <c r="B15" s="478" t="s">
        <v>858</v>
      </c>
      <c r="C15" s="479">
        <f>+F48</f>
        <v>0.53483211884064763</v>
      </c>
      <c r="D15" s="480"/>
      <c r="E15" s="473"/>
    </row>
    <row r="16" spans="2:22">
      <c r="B16" s="478" t="s">
        <v>726</v>
      </c>
      <c r="C16" s="479">
        <f>+F49</f>
        <v>0.64612132352941176</v>
      </c>
      <c r="D16" s="480"/>
      <c r="E16" s="473"/>
    </row>
    <row r="17" spans="2:17">
      <c r="B17" s="478" t="s">
        <v>727</v>
      </c>
      <c r="C17" s="479">
        <f t="shared" ref="C17:C22" si="0">+F51</f>
        <v>0.70113914221938778</v>
      </c>
      <c r="D17" s="480"/>
      <c r="E17" s="473"/>
    </row>
    <row r="18" spans="2:17">
      <c r="B18" s="478" t="s">
        <v>728</v>
      </c>
      <c r="C18" s="479">
        <f t="shared" si="0"/>
        <v>0.82074742268041234</v>
      </c>
      <c r="D18" s="480"/>
      <c r="E18" s="473"/>
    </row>
    <row r="19" spans="2:17">
      <c r="B19" s="478" t="s">
        <v>729</v>
      </c>
      <c r="C19" s="479">
        <f t="shared" si="0"/>
        <v>0.72951929824561412</v>
      </c>
      <c r="D19" s="480"/>
      <c r="E19" s="473"/>
    </row>
    <row r="20" spans="2:17">
      <c r="B20" s="478" t="s">
        <v>730</v>
      </c>
      <c r="C20" s="479">
        <f t="shared" si="0"/>
        <v>0.81530838815789475</v>
      </c>
      <c r="D20" s="480"/>
      <c r="E20" s="473"/>
    </row>
    <row r="21" spans="2:17">
      <c r="B21" s="478" t="s">
        <v>731</v>
      </c>
      <c r="C21" s="479">
        <f t="shared" si="0"/>
        <v>0.78152713815789476</v>
      </c>
      <c r="D21" s="480"/>
      <c r="E21" s="473"/>
    </row>
    <row r="22" spans="2:17">
      <c r="B22" s="478" t="s">
        <v>732</v>
      </c>
      <c r="C22" s="479">
        <f t="shared" si="0"/>
        <v>0.75</v>
      </c>
      <c r="D22" s="480"/>
      <c r="E22" s="473"/>
    </row>
    <row r="23" spans="2:17">
      <c r="B23" s="478" t="s">
        <v>734</v>
      </c>
      <c r="C23" s="479">
        <f>+F58</f>
        <v>1.0045299145299145</v>
      </c>
      <c r="D23" s="480"/>
      <c r="E23" s="473"/>
    </row>
    <row r="24" spans="2:17" ht="15.6" thickBot="1">
      <c r="B24" s="482" t="s">
        <v>735</v>
      </c>
      <c r="C24" s="479">
        <f>+F59</f>
        <v>0.64666666666666661</v>
      </c>
      <c r="D24" s="480"/>
      <c r="E24" s="473"/>
    </row>
    <row r="25" spans="2:17" ht="16.2" thickBot="1">
      <c r="B25" s="483" t="s">
        <v>884</v>
      </c>
      <c r="C25" s="806">
        <f>+F62</f>
        <v>0.73616904696626562</v>
      </c>
      <c r="D25" s="484"/>
      <c r="E25" s="473"/>
    </row>
    <row r="26" spans="2:17" s="485" customFormat="1">
      <c r="C26" s="486"/>
      <c r="D26" s="486"/>
      <c r="E26" s="486"/>
      <c r="P26" s="473"/>
      <c r="Q26" s="473"/>
    </row>
    <row r="27" spans="2:17" s="485" customFormat="1" ht="56.25" customHeight="1" thickBot="1">
      <c r="B27" s="485" t="s">
        <v>674</v>
      </c>
      <c r="C27" s="486"/>
      <c r="P27" s="473"/>
      <c r="Q27" s="473"/>
    </row>
    <row r="28" spans="2:17" ht="57" customHeight="1">
      <c r="B28" s="1371" t="s">
        <v>924</v>
      </c>
      <c r="C28" s="1373" t="s">
        <v>856</v>
      </c>
      <c r="D28" s="1375" t="s">
        <v>925</v>
      </c>
      <c r="E28" s="1376"/>
      <c r="F28" s="1377"/>
      <c r="H28" s="475"/>
    </row>
    <row r="29" spans="2:17" ht="54.6" customHeight="1" thickBot="1">
      <c r="B29" s="1372"/>
      <c r="C29" s="1374"/>
      <c r="D29" s="594" t="str">
        <f>+D39</f>
        <v>Tercer Trimestre</v>
      </c>
      <c r="E29" s="598" t="s">
        <v>926</v>
      </c>
      <c r="F29" s="600" t="s">
        <v>918</v>
      </c>
      <c r="H29" s="475"/>
    </row>
    <row r="30" spans="2:17" ht="29.4" customHeight="1">
      <c r="B30" s="581" t="s">
        <v>919</v>
      </c>
      <c r="C30" s="564">
        <f>+C46</f>
        <v>20</v>
      </c>
      <c r="D30" s="595">
        <f>IFERROR(AVERAGE(D41:D45),0)</f>
        <v>0.98148148148148151</v>
      </c>
      <c r="E30" s="601">
        <f>IFERROR(AVERAGE(E41:E45),0)</f>
        <v>1.0107069275753486</v>
      </c>
      <c r="F30" s="768">
        <f>IFERROR(AVERAGE(F41:F45),0)</f>
        <v>0.66657095516569198</v>
      </c>
      <c r="H30" s="475"/>
    </row>
    <row r="31" spans="2:17" ht="36.6" customHeight="1">
      <c r="B31" s="566" t="s">
        <v>920</v>
      </c>
      <c r="C31" s="565">
        <f>+C50</f>
        <v>35</v>
      </c>
      <c r="D31" s="596">
        <f>IFERROR(AVERAGE(D47:D49),0)</f>
        <v>1.0221288921048912</v>
      </c>
      <c r="E31" s="601">
        <f>IFERROR(AVERAGE(E47:E49),0)</f>
        <v>0.99755508131285253</v>
      </c>
      <c r="F31" s="768">
        <f>IFERROR(AVERAGE(F47:F49),0)</f>
        <v>0.68613337719087919</v>
      </c>
      <c r="H31" s="475"/>
    </row>
    <row r="32" spans="2:17" ht="41.4" customHeight="1">
      <c r="B32" s="566" t="s">
        <v>921</v>
      </c>
      <c r="C32" s="565">
        <f>+C57</f>
        <v>26</v>
      </c>
      <c r="D32" s="596">
        <f>IFERROR(AVERAGE(D51:D56),0)</f>
        <v>1.0109405278958119</v>
      </c>
      <c r="E32" s="601">
        <f>IFERROR(AVERAGE(E51:E56),0)</f>
        <v>1.0300502077396638</v>
      </c>
      <c r="F32" s="768">
        <f>IFERROR(AVERAGE(F51:F56),0)</f>
        <v>0.76637356491020059</v>
      </c>
      <c r="H32" s="475"/>
    </row>
    <row r="33" spans="2:22" ht="40.799999999999997">
      <c r="B33" s="566" t="s">
        <v>922</v>
      </c>
      <c r="C33" s="565">
        <f>+C60</f>
        <v>6</v>
      </c>
      <c r="D33" s="597">
        <f>IFERROR(AVERAGE(D58:D59),0)</f>
        <v>1.0214285714285714</v>
      </c>
      <c r="E33" s="602">
        <f>IFERROR(AVERAGE(E58:E59),0)</f>
        <v>1.1711816964829014</v>
      </c>
      <c r="F33" s="769">
        <f>IFERROR(AVERAGE(F58:F59),0)</f>
        <v>0.8255982905982906</v>
      </c>
      <c r="H33" s="475"/>
    </row>
    <row r="34" spans="2:22" ht="23.4">
      <c r="B34" s="568" t="s">
        <v>923</v>
      </c>
      <c r="C34" s="574">
        <f>SUM(C30:C33)</f>
        <v>87</v>
      </c>
      <c r="D34" s="567">
        <f>AVERAGE(D30:D33)</f>
        <v>1.008994868227689</v>
      </c>
      <c r="E34" s="599">
        <f>AVERAGE(E30:E33)</f>
        <v>1.0523734782776915</v>
      </c>
      <c r="F34" s="599">
        <f>AVERAGE(F30:F33)</f>
        <v>0.73616904696626562</v>
      </c>
      <c r="H34" s="475"/>
    </row>
    <row r="35" spans="2:22" s="572" customFormat="1" ht="23.4">
      <c r="B35" s="569"/>
      <c r="C35" s="570"/>
      <c r="D35" s="571"/>
      <c r="E35" s="571"/>
      <c r="H35" s="573"/>
    </row>
    <row r="36" spans="2:22" s="485" customFormat="1">
      <c r="C36" s="486"/>
      <c r="P36" s="473"/>
      <c r="Q36" s="473"/>
    </row>
    <row r="37" spans="2:22" s="413" customFormat="1" ht="19.5" customHeight="1" thickBot="1">
      <c r="B37" s="863" t="str">
        <f>+B5</f>
        <v xml:space="preserve">Fecha de corte: </v>
      </c>
      <c r="C37" s="883">
        <f>+C5</f>
        <v>44834</v>
      </c>
      <c r="D37" s="419"/>
      <c r="E37" s="419"/>
      <c r="V37" s="416"/>
    </row>
    <row r="38" spans="2:22" s="413" customFormat="1" ht="21" customHeight="1">
      <c r="B38" s="1360" t="s">
        <v>744</v>
      </c>
      <c r="C38" s="1362" t="s">
        <v>856</v>
      </c>
      <c r="D38" s="1362" t="s">
        <v>894</v>
      </c>
      <c r="E38" s="1362"/>
      <c r="F38" s="1364"/>
      <c r="G38" s="414"/>
      <c r="H38" s="414"/>
      <c r="I38" s="414"/>
      <c r="U38" s="416"/>
    </row>
    <row r="39" spans="2:22" s="413" customFormat="1" ht="49.5" customHeight="1" thickBot="1">
      <c r="B39" s="1361"/>
      <c r="C39" s="1363"/>
      <c r="D39" s="875" t="str">
        <f>+'2.Infor Detallado Desempeño POA'!AC11</f>
        <v>Tercer Trimestre</v>
      </c>
      <c r="E39" s="875" t="str">
        <f>+'2.Infor Detallado Desempeño POA'!AD11</f>
        <v>Acumulado Corte 
30/09/2022</v>
      </c>
      <c r="F39" s="583" t="str">
        <f>+'2.Infor Detallado Desempeño POA'!AE11</f>
        <v>Anual</v>
      </c>
      <c r="G39" s="501"/>
      <c r="H39" s="414"/>
      <c r="I39" s="414"/>
      <c r="J39" s="414"/>
      <c r="V39" s="416"/>
    </row>
    <row r="40" spans="2:22" s="577" customFormat="1" ht="6" customHeight="1" thickBot="1">
      <c r="B40" s="1365"/>
      <c r="C40" s="1366"/>
      <c r="D40" s="1366"/>
      <c r="E40" s="1366"/>
      <c r="F40" s="1367"/>
      <c r="G40" s="575"/>
      <c r="H40" s="576"/>
      <c r="I40" s="576"/>
      <c r="J40" s="576"/>
      <c r="V40" s="578"/>
    </row>
    <row r="41" spans="2:22" s="413" customFormat="1">
      <c r="B41" s="420" t="s">
        <v>718</v>
      </c>
      <c r="C41" s="421">
        <f>+'Rango indicadores'!D111</f>
        <v>4</v>
      </c>
      <c r="D41" s="422">
        <f>IF(AND('2.Infor Detallado Desempeño POA'!AC16&gt;0),'2.Infor Detallado Desempeño POA'!AC16,"No Programado")</f>
        <v>1.0074074074074075</v>
      </c>
      <c r="E41" s="422">
        <f>IF(AND('2.Infor Detallado Desempeño POA'!AD16&gt;0),'2.Infor Detallado Desempeño POA'!AD16,"No Programado")</f>
        <v>1.003812415654521</v>
      </c>
      <c r="F41" s="422">
        <f>IF(AND('2.Infor Detallado Desempeño POA'!AE16&gt;0),'2.Infor Detallado Desempeño POA'!AE16,"No Programado")</f>
        <v>0.85149999999999992</v>
      </c>
      <c r="G41" s="423"/>
      <c r="H41" s="423"/>
      <c r="I41" s="423"/>
      <c r="J41" s="423"/>
      <c r="V41" s="416"/>
    </row>
    <row r="42" spans="2:22" s="413" customFormat="1">
      <c r="B42" s="424" t="s">
        <v>720</v>
      </c>
      <c r="C42" s="421">
        <f>+'Rango indicadores'!D112</f>
        <v>4</v>
      </c>
      <c r="D42" s="422">
        <f>IF(AND('2.Infor Detallado Desempeño POA'!AC25&gt;0),'2.Infor Detallado Desempeño POA'!AC25,"No Programado")</f>
        <v>0.83333333333333337</v>
      </c>
      <c r="E42" s="422">
        <f>IF(AND('2.Infor Detallado Desempeño POA'!AD25&gt;0),'2.Infor Detallado Desempeño POA'!AD25,"No Programado")</f>
        <v>1.0166666666666666</v>
      </c>
      <c r="F42" s="422">
        <f>IF(AND('2.Infor Detallado Desempeño POA'!AE25&gt;0),'2.Infor Detallado Desempeño POA'!AE25,"No Programado")</f>
        <v>0.32894736842105265</v>
      </c>
      <c r="G42" s="423"/>
      <c r="H42" s="423"/>
      <c r="I42" s="423"/>
      <c r="J42" s="423"/>
      <c r="V42" s="416"/>
    </row>
    <row r="43" spans="2:22" s="413" customFormat="1">
      <c r="B43" s="424" t="s">
        <v>721</v>
      </c>
      <c r="C43" s="421">
        <f>+'Rango indicadores'!D113</f>
        <v>7</v>
      </c>
      <c r="D43" s="422">
        <f>IF(AND('2.Infor Detallado Desempeño POA'!AC37&gt;0),'2.Infor Detallado Desempeño POA'!AC37,"No Programado")</f>
        <v>1</v>
      </c>
      <c r="E43" s="422">
        <f>IF(AND('2.Infor Detallado Desempeño POA'!AD37&gt;0),'2.Infor Detallado Desempeño POA'!AD37,"No Programado")</f>
        <v>1</v>
      </c>
      <c r="F43" s="422">
        <f>IF(AND('2.Infor Detallado Desempeño POA'!AE37&gt;0),'2.Infor Detallado Desempeño POA'!AE37,"No Programado")</f>
        <v>0.82500000000000007</v>
      </c>
      <c r="G43" s="423"/>
      <c r="H43" s="423"/>
      <c r="I43" s="423"/>
      <c r="J43" s="423"/>
      <c r="V43" s="416"/>
    </row>
    <row r="44" spans="2:22" s="413" customFormat="1">
      <c r="B44" s="424" t="s">
        <v>722</v>
      </c>
      <c r="C44" s="421">
        <f>+'Rango indicadores'!D114</f>
        <v>2</v>
      </c>
      <c r="D44" s="422">
        <f>IF(AND('2.Infor Detallado Desempeño POA'!T44&gt;0),'2.Infor Detallado Desempeño POA'!T44,"No Programado")</f>
        <v>1</v>
      </c>
      <c r="E44" s="422">
        <f>IF(AND('2.Infor Detallado Desempeño POA'!AD44&gt;0),'2.Infor Detallado Desempeño POA'!AD44,"No Programado")</f>
        <v>1</v>
      </c>
      <c r="F44" s="422">
        <f>IF(AND('2.Infor Detallado Desempeño POA'!AE44&gt;0),'2.Infor Detallado Desempeño POA'!AE44,"No Programado")</f>
        <v>0.75</v>
      </c>
      <c r="G44" s="423"/>
      <c r="H44" s="423"/>
      <c r="I44" s="423"/>
      <c r="J44" s="423"/>
      <c r="V44" s="416"/>
    </row>
    <row r="45" spans="2:22" s="413" customFormat="1" ht="15.6" thickBot="1">
      <c r="B45" s="425" t="s">
        <v>733</v>
      </c>
      <c r="C45" s="421">
        <f>+'Rango indicadores'!D124</f>
        <v>3</v>
      </c>
      <c r="D45" s="422">
        <f>IF(AND('2.Infor Detallado Desempeño POA'!AC52&gt;0),'2.Infor Detallado Desempeño POA'!AC52,"No Programado")</f>
        <v>1.0666666666666667</v>
      </c>
      <c r="E45" s="422">
        <f>IF(AND('2.Infor Detallado Desempeño POA'!AD52&gt;0),'2.Infor Detallado Desempeño POA'!AD52,"No Programado")</f>
        <v>1.0330555555555554</v>
      </c>
      <c r="F45" s="422">
        <f>IF(AND('2.Infor Detallado Desempeño POA'!AE52&gt;0),'2.Infor Detallado Desempeño POA'!AE52,"No Programado")</f>
        <v>0.57740740740740737</v>
      </c>
      <c r="G45" s="423"/>
      <c r="H45" s="423"/>
      <c r="I45" s="423"/>
      <c r="J45" s="423"/>
      <c r="V45" s="416"/>
    </row>
    <row r="46" spans="2:22" s="413" customFormat="1" ht="34.950000000000003" customHeight="1" thickBot="1">
      <c r="B46" s="584" t="s">
        <v>895</v>
      </c>
      <c r="C46" s="585">
        <f>SUM(C41:C45)</f>
        <v>20</v>
      </c>
      <c r="D46" s="586">
        <f>IFERROR(AVERAGE(D41:D45),0)</f>
        <v>0.98148148148148151</v>
      </c>
      <c r="E46" s="586">
        <f>IFERROR(AVERAGE(E41:E45),0)</f>
        <v>1.0107069275753486</v>
      </c>
      <c r="F46" s="586">
        <f>IFERROR(AVERAGE(F41:F45),0)</f>
        <v>0.66657095516569198</v>
      </c>
      <c r="G46" s="426"/>
      <c r="H46" s="423"/>
      <c r="I46" s="423"/>
      <c r="J46" s="423"/>
      <c r="V46" s="416"/>
    </row>
    <row r="47" spans="2:22" s="413" customFormat="1">
      <c r="B47" s="420" t="s">
        <v>723</v>
      </c>
      <c r="C47" s="421">
        <f>+'Rango indicadores'!D115</f>
        <v>20</v>
      </c>
      <c r="D47" s="422">
        <f>IF(AND('2.Infor Detallado Desempeño POA'!AC77&gt;0),'2.Infor Detallado Desempeño POA'!AC77,"No Programado")</f>
        <v>1.2246645973770194</v>
      </c>
      <c r="E47" s="422">
        <f>IF(AND('2.Infor Detallado Desempeño POA'!AD77&gt;0),'2.Infor Detallado Desempeño POA'!AD77,"No Programado")</f>
        <v>1.1975440017005092</v>
      </c>
      <c r="F47" s="422">
        <f>IF(AND('2.Infor Detallado Desempeño POA'!AE77&gt;0),'2.Infor Detallado Desempeño POA'!AE77,"No Programado")</f>
        <v>0.87744668920257796</v>
      </c>
      <c r="G47" s="423"/>
      <c r="H47" s="423"/>
      <c r="I47" s="423"/>
      <c r="J47" s="423"/>
      <c r="V47" s="416"/>
    </row>
    <row r="48" spans="2:22" s="413" customFormat="1">
      <c r="B48" s="424" t="s">
        <v>858</v>
      </c>
      <c r="C48" s="421">
        <f>+'Rango indicadores'!D116</f>
        <v>7</v>
      </c>
      <c r="D48" s="422">
        <f>IF(AND('2.Infor Detallado Desempeño POA'!AC89&gt;0),'2.Infor Detallado Desempeño POA'!AC89,"No Programado")</f>
        <v>1.0513232694138448</v>
      </c>
      <c r="E48" s="422">
        <f>IF(AND('2.Infor Detallado Desempeño POA'!AD89&gt;0),'2.Infor Detallado Desempeño POA'!AD89,"No Programado")</f>
        <v>0.90537273430592391</v>
      </c>
      <c r="F48" s="422">
        <f>IF(AND('2.Infor Detallado Desempeño POA'!AE89&gt;0),'2.Infor Detallado Desempeño POA'!AE89,"No Programado")</f>
        <v>0.53483211884064763</v>
      </c>
      <c r="G48" s="423"/>
      <c r="H48" s="423"/>
      <c r="I48" s="423"/>
      <c r="J48" s="423"/>
      <c r="V48" s="416"/>
    </row>
    <row r="49" spans="2:22" s="413" customFormat="1" ht="15.6" thickBot="1">
      <c r="B49" s="425" t="s">
        <v>726</v>
      </c>
      <c r="C49" s="421">
        <f>+'Rango indicadores'!D117</f>
        <v>8</v>
      </c>
      <c r="D49" s="422">
        <f>IF(AND('2.Infor Detallado Desempeño POA'!AC102&gt;0),'2.Infor Detallado Desempeño POA'!AC102,"No Programado")</f>
        <v>0.79039880952380948</v>
      </c>
      <c r="E49" s="422">
        <f>IF(AND('2.Infor Detallado Desempeño POA'!AD102&gt;0),'2.Infor Detallado Desempeño POA'!AD102,"No Programado")</f>
        <v>0.88974850793212434</v>
      </c>
      <c r="F49" s="422">
        <f>IF(AND('2.Infor Detallado Desempeño POA'!AE102&gt;0),'2.Infor Detallado Desempeño POA'!AE102,"No Programado")</f>
        <v>0.64612132352941176</v>
      </c>
      <c r="G49" s="423"/>
      <c r="H49" s="423"/>
      <c r="I49" s="423"/>
      <c r="J49" s="423"/>
      <c r="V49" s="416"/>
    </row>
    <row r="50" spans="2:22" s="413" customFormat="1" ht="34.950000000000003" customHeight="1" thickBot="1">
      <c r="B50" s="584" t="s">
        <v>896</v>
      </c>
      <c r="C50" s="585">
        <f>SUM(C47:C49)</f>
        <v>35</v>
      </c>
      <c r="D50" s="586">
        <f>IFERROR(AVERAGE(D47:D49),0)</f>
        <v>1.0221288921048912</v>
      </c>
      <c r="E50" s="586">
        <f>IFERROR(AVERAGE(E47:E49),0)</f>
        <v>0.99755508131285253</v>
      </c>
      <c r="F50" s="586">
        <f>IFERROR(AVERAGE(F47:F49),0)</f>
        <v>0.68613337719087919</v>
      </c>
      <c r="G50" s="426"/>
      <c r="H50" s="423"/>
      <c r="I50" s="423"/>
      <c r="J50" s="423"/>
      <c r="V50" s="416"/>
    </row>
    <row r="51" spans="2:22" s="413" customFormat="1">
      <c r="B51" s="420" t="s">
        <v>727</v>
      </c>
      <c r="C51" s="421">
        <f>+'Rango indicadores'!D118</f>
        <v>8</v>
      </c>
      <c r="D51" s="422">
        <f>IF(AND('2.Infor Detallado Desempeño POA'!AC115&gt;0),'2.Infor Detallado Desempeño POA'!AC115,"No Programado")</f>
        <v>0.9509605218093049</v>
      </c>
      <c r="E51" s="422">
        <f>IF(AND('2.Infor Detallado Desempeño POA'!AD115&gt;0),'2.Infor Detallado Desempeño POA'!AD115,"No Programado")</f>
        <v>0.97732403062867224</v>
      </c>
      <c r="F51" s="422">
        <f>IF(AND('2.Infor Detallado Desempeño POA'!AE115&gt;0),'2.Infor Detallado Desempeño POA'!AE115,"No Programado")</f>
        <v>0.70113914221938778</v>
      </c>
      <c r="G51" s="423"/>
      <c r="H51" s="423"/>
      <c r="I51" s="423"/>
      <c r="J51" s="423"/>
      <c r="V51" s="416"/>
    </row>
    <row r="52" spans="2:22" s="413" customFormat="1">
      <c r="B52" s="424" t="s">
        <v>728</v>
      </c>
      <c r="C52" s="421">
        <f>+'Rango indicadores'!D119</f>
        <v>2</v>
      </c>
      <c r="D52" s="422">
        <f>IF(AND('2.Infor Detallado Desempeño POA'!AC122),'2.Infor Detallado Desempeño POA'!AC122,"No Programado")</f>
        <v>1.1556701030927834</v>
      </c>
      <c r="E52" s="422">
        <f>IF(AND('2.Infor Detallado Desempeño POA'!AD122),'2.Infor Detallado Desempeño POA'!AD122,"No Programado")</f>
        <v>1.0943298969072166</v>
      </c>
      <c r="F52" s="422">
        <f>IF(AND('2.Infor Detallado Desempeño POA'!AE122),'2.Infor Detallado Desempeño POA'!AE122,"No Programado")</f>
        <v>0.82074742268041234</v>
      </c>
      <c r="G52" s="423"/>
      <c r="H52" s="423"/>
      <c r="I52" s="423"/>
      <c r="J52" s="423"/>
      <c r="V52" s="416"/>
    </row>
    <row r="53" spans="2:22" s="413" customFormat="1">
      <c r="B53" s="424" t="s">
        <v>729</v>
      </c>
      <c r="C53" s="421">
        <f>+'Rango indicadores'!D120</f>
        <v>3</v>
      </c>
      <c r="D53" s="422">
        <f>IF(AND('2.Infor Detallado Desempeño POA'!AC130&gt;0),'2.Infor Detallado Desempeño POA'!AC130,"No Programado")</f>
        <v>0.95528985507246367</v>
      </c>
      <c r="E53" s="422">
        <f>IF(AND('2.Infor Detallado Desempeño POA'!AD130&gt;0),'2.Infor Detallado Desempeño POA'!AD130,"No Programado")</f>
        <v>1.0138691756272402</v>
      </c>
      <c r="F53" s="422">
        <f>IF(AND('2.Infor Detallado Desempeño POA'!AE130&gt;0),'2.Infor Detallado Desempeño POA'!AE130,"No Programado")</f>
        <v>0.72951929824561412</v>
      </c>
      <c r="G53" s="423"/>
      <c r="H53" s="423"/>
      <c r="I53" s="423"/>
      <c r="J53" s="423"/>
      <c r="V53" s="416"/>
    </row>
    <row r="54" spans="2:22" s="413" customFormat="1">
      <c r="B54" s="424" t="s">
        <v>730</v>
      </c>
      <c r="C54" s="421">
        <f>+'Rango indicadores'!D121</f>
        <v>4</v>
      </c>
      <c r="D54" s="422">
        <f>IF(AND('2.Infor Detallado Desempeño POA'!AC139&gt;0),'2.Infor Detallado Desempeño POA'!AC139,"No Programado")</f>
        <v>1.0330965909090908</v>
      </c>
      <c r="E54" s="422">
        <f>IF(AND('2.Infor Detallado Desempeño POA'!AD139&gt;0),'2.Infor Detallado Desempeño POA'!AD139,"No Programado")</f>
        <v>1.0594791666666665</v>
      </c>
      <c r="F54" s="422">
        <f>IF(AND('2.Infor Detallado Desempeño POA'!AE139&gt;0),'2.Infor Detallado Desempeño POA'!AE139,"No Programado")</f>
        <v>0.81530838815789475</v>
      </c>
      <c r="G54" s="423"/>
      <c r="H54" s="423"/>
      <c r="I54" s="423"/>
      <c r="J54" s="423"/>
      <c r="V54" s="416"/>
    </row>
    <row r="55" spans="2:22" s="413" customFormat="1">
      <c r="B55" s="424" t="s">
        <v>731</v>
      </c>
      <c r="C55" s="421">
        <f>+'Rango indicadores'!D122</f>
        <v>4</v>
      </c>
      <c r="D55" s="422">
        <f>IF(AND('2.Infor Detallado Desempeño POA'!AC148&gt;0),'2.Infor Detallado Desempeño POA'!AC148,"No Programado")</f>
        <v>0.97062609649122811</v>
      </c>
      <c r="E55" s="422">
        <f>IF(AND('2.Infor Detallado Desempeño POA'!AD148&gt;0),'2.Infor Detallado Desempeño POA'!AD148,"No Programado")</f>
        <v>1.0352989766081873</v>
      </c>
      <c r="F55" s="422">
        <f>IF(AND('2.Infor Detallado Desempeño POA'!AE148&gt;0),'2.Infor Detallado Desempeño POA'!AE148,"No Programado")</f>
        <v>0.78152713815789476</v>
      </c>
      <c r="G55" s="423"/>
      <c r="H55" s="423"/>
      <c r="I55" s="423"/>
      <c r="J55" s="423"/>
      <c r="V55" s="416"/>
    </row>
    <row r="56" spans="2:22" s="413" customFormat="1" ht="15.6" thickBot="1">
      <c r="B56" s="425" t="s">
        <v>732</v>
      </c>
      <c r="C56" s="421">
        <f>+'Rango indicadores'!D123</f>
        <v>5</v>
      </c>
      <c r="D56" s="422">
        <f>IF(AND('2.Infor Detallado Desempeño POA'!AC158&gt;0),'2.Infor Detallado Desempeño POA'!AC158,"No Programado")</f>
        <v>1</v>
      </c>
      <c r="E56" s="422">
        <f>IF(AND('2.Infor Detallado Desempeño POA'!AD158&gt;0),'2.Infor Detallado Desempeño POA'!AD158,"No Programado")</f>
        <v>1</v>
      </c>
      <c r="F56" s="422">
        <f>IF(AND('2.Infor Detallado Desempeño POA'!AE158&gt;0),'2.Infor Detallado Desempeño POA'!AE158,"No Programado")</f>
        <v>0.75</v>
      </c>
      <c r="G56" s="423"/>
      <c r="H56" s="423"/>
      <c r="I56" s="423"/>
      <c r="J56" s="423"/>
      <c r="V56" s="416"/>
    </row>
    <row r="57" spans="2:22" s="413" customFormat="1" ht="34.950000000000003" customHeight="1" thickBot="1">
      <c r="B57" s="584" t="s">
        <v>897</v>
      </c>
      <c r="C57" s="585">
        <f>SUM(C51:C56)</f>
        <v>26</v>
      </c>
      <c r="D57" s="586">
        <f>IFERROR(AVERAGE(D51:D56),0)</f>
        <v>1.0109405278958119</v>
      </c>
      <c r="E57" s="586">
        <f>IFERROR(AVERAGE(E51:E56),0)</f>
        <v>1.0300502077396638</v>
      </c>
      <c r="F57" s="586">
        <f>IFERROR(AVERAGE(F51:F56),0)</f>
        <v>0.76637356491020059</v>
      </c>
      <c r="G57" s="426"/>
      <c r="H57" s="423"/>
      <c r="I57" s="423"/>
      <c r="J57" s="423"/>
      <c r="V57" s="416"/>
    </row>
    <row r="58" spans="2:22" s="413" customFormat="1">
      <c r="B58" s="424" t="s">
        <v>734</v>
      </c>
      <c r="C58" s="421">
        <f>+'Rango indicadores'!D125</f>
        <v>3</v>
      </c>
      <c r="D58" s="422">
        <f>IF(AND('2.Infor Detallado Desempeño POA'!AC166&gt;0),'2.Infor Detallado Desempeño POA'!AC166,"No Programado")</f>
        <v>1.0428571428571427</v>
      </c>
      <c r="E58" s="422">
        <f>IF(AND('2.Infor Detallado Desempeño POA'!AD166&gt;0),'2.Infor Detallado Desempeño POA'!AD166,"No Programado")</f>
        <v>1.3423633929658028</v>
      </c>
      <c r="F58" s="422">
        <f>IF(AND('2.Infor Detallado Desempeño POA'!AE166&gt;0),'2.Infor Detallado Desempeño POA'!AE166,"No Programado")</f>
        <v>1.0045299145299145</v>
      </c>
      <c r="G58" s="423"/>
      <c r="H58" s="423"/>
      <c r="I58" s="423"/>
      <c r="J58" s="423"/>
      <c r="V58" s="416"/>
    </row>
    <row r="59" spans="2:22" s="413" customFormat="1" ht="15.6" thickBot="1">
      <c r="B59" s="509" t="s">
        <v>735</v>
      </c>
      <c r="C59" s="510">
        <f>+'Rango indicadores'!D126</f>
        <v>3</v>
      </c>
      <c r="D59" s="422">
        <f>IF(AND('2.Infor Detallado Desempeño POA'!AC174&gt;0),'2.Infor Detallado Desempeño POA'!AC174,"No Programado")</f>
        <v>1</v>
      </c>
      <c r="E59" s="422">
        <f>IF(AND('2.Infor Detallado Desempeño POA'!AD174&gt;0),'2.Infor Detallado Desempeño POA'!AD174,"No Programado")</f>
        <v>1</v>
      </c>
      <c r="F59" s="422">
        <f>IF(AND('2.Infor Detallado Desempeño POA'!AE174&gt;0),'2.Infor Detallado Desempeño POA'!AE174,"No Programado")</f>
        <v>0.64666666666666661</v>
      </c>
      <c r="G59" s="423"/>
      <c r="H59" s="423"/>
      <c r="I59" s="423"/>
      <c r="J59" s="423"/>
      <c r="V59" s="416"/>
    </row>
    <row r="60" spans="2:22" s="413" customFormat="1" ht="46.95" customHeight="1" thickBot="1">
      <c r="B60" s="587" t="s">
        <v>859</v>
      </c>
      <c r="C60" s="585">
        <f>SUM(C58:C59)</f>
        <v>6</v>
      </c>
      <c r="D60" s="586">
        <f>IFERROR(AVERAGE(D58:D59),0)</f>
        <v>1.0214285714285714</v>
      </c>
      <c r="E60" s="586">
        <f>IFERROR(AVERAGE(E58:E59),0)</f>
        <v>1.1711816964829014</v>
      </c>
      <c r="F60" s="586">
        <f>IFERROR(AVERAGE(F58:F59),0)</f>
        <v>0.8255982905982906</v>
      </c>
      <c r="G60" s="426"/>
      <c r="H60" s="423"/>
      <c r="I60" s="423"/>
      <c r="J60" s="423"/>
      <c r="V60" s="416"/>
    </row>
    <row r="61" spans="2:22" s="577" customFormat="1" ht="6" customHeight="1">
      <c r="B61" s="579"/>
      <c r="C61" s="580"/>
      <c r="D61" s="575"/>
      <c r="E61" s="575"/>
      <c r="F61" s="575"/>
      <c r="G61" s="575"/>
      <c r="H61" s="576"/>
      <c r="I61" s="576"/>
      <c r="J61" s="576"/>
      <c r="V61" s="578"/>
    </row>
    <row r="62" spans="2:22" ht="15" customHeight="1">
      <c r="B62" s="563" t="s">
        <v>923</v>
      </c>
      <c r="C62" s="574">
        <f>+C60+C57+C50+C46</f>
        <v>87</v>
      </c>
      <c r="D62" s="567">
        <f>AVERAGE(D46,D50,D57,D60)</f>
        <v>1.008994868227689</v>
      </c>
      <c r="E62" s="567">
        <f>AVERAGE(E46,E50,E57,E60)</f>
        <v>1.0523734782776915</v>
      </c>
      <c r="F62" s="567">
        <f>AVERAGE(F46,F50,F57,F60)</f>
        <v>0.73616904696626562</v>
      </c>
      <c r="G62" s="603"/>
    </row>
    <row r="63" spans="2:22" ht="15" customHeight="1"/>
    <row r="64" spans="2:22" ht="15" customHeight="1">
      <c r="D64" s="59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5S5DxJCSREFxS2fT07iV9aIc1Mmkmfo9+SzGRl1eIzVBWKdA6SO4VouvOd3Q9c9YXsCoObz7H7mPbJ1seTihtg==" saltValue="QNp/mf0wmHUauxad8yAqNQ==" spinCount="100000" sheet="1" objects="1" scenarios="1"/>
  <mergeCells count="11">
    <mergeCell ref="B38:B39"/>
    <mergeCell ref="C38:C39"/>
    <mergeCell ref="D38:F38"/>
    <mergeCell ref="B40:F40"/>
    <mergeCell ref="B2:B3"/>
    <mergeCell ref="C2:H2"/>
    <mergeCell ref="C3:H3"/>
    <mergeCell ref="D4:H4"/>
    <mergeCell ref="B28:B29"/>
    <mergeCell ref="C28:C29"/>
    <mergeCell ref="D28:F28"/>
  </mergeCells>
  <conditionalFormatting sqref="D41:F45 D47:F49 D51:F56 D58:F59">
    <cfRule type="cellIs" dxfId="763" priority="1" operator="equal">
      <formula>"No Programado"</formula>
    </cfRule>
    <cfRule type="cellIs" dxfId="762" priority="2" operator="lessThanOrEqual">
      <formula>0.6</formula>
    </cfRule>
    <cfRule type="cellIs" dxfId="761" priority="3" operator="between">
      <formula>0.6</formula>
      <formula>0.899999999999999</formula>
    </cfRule>
    <cfRule type="cellIs" dxfId="760" priority="4" operator="greaterThan">
      <formula>1</formula>
    </cfRule>
    <cfRule type="cellIs" dxfId="759" priority="5" operator="between">
      <formula>0.9</formula>
      <formula>1</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C768A-941F-43A9-B2B7-F769F295165F}">
  <sheetPr>
    <tabColor rgb="FF0070C0"/>
  </sheetPr>
  <dimension ref="B1:R84"/>
  <sheetViews>
    <sheetView showGridLines="0" topLeftCell="C1" workbookViewId="0">
      <selection activeCell="K30" sqref="K30"/>
    </sheetView>
  </sheetViews>
  <sheetFormatPr baseColWidth="10" defaultColWidth="11.44140625" defaultRowHeight="15"/>
  <cols>
    <col min="1" max="1" width="3.6640625" style="473" customWidth="1"/>
    <col min="2" max="2" width="52.44140625" style="473" customWidth="1"/>
    <col min="3" max="5" width="18.44140625" style="475" customWidth="1"/>
    <col min="6" max="7" width="18.44140625" style="473" customWidth="1"/>
    <col min="8" max="8" width="6.109375" style="475" hidden="1" customWidth="1"/>
    <col min="9" max="9" width="11.44140625" style="473" hidden="1" customWidth="1"/>
    <col min="10" max="16" width="11.44140625" style="473"/>
    <col min="17" max="17" width="62.44140625" style="473" bestFit="1" customWidth="1"/>
    <col min="18" max="18" width="40" style="473" customWidth="1"/>
    <col min="19" max="16356" width="11.44140625" style="473"/>
    <col min="16357" max="16357" width="1.44140625" style="473" customWidth="1"/>
    <col min="16358" max="16384" width="2.88671875" style="473" customWidth="1"/>
  </cols>
  <sheetData>
    <row r="1" spans="2:18">
      <c r="C1" s="474"/>
      <c r="D1" s="474"/>
      <c r="E1" s="474"/>
    </row>
    <row r="2" spans="2:18" ht="15.6">
      <c r="B2" s="1349" t="s">
        <v>883</v>
      </c>
      <c r="C2" s="1350" t="s">
        <v>888</v>
      </c>
      <c r="D2" s="1351"/>
      <c r="E2" s="1351"/>
      <c r="F2" s="1351"/>
      <c r="G2" s="1352"/>
      <c r="H2" s="519"/>
    </row>
    <row r="3" spans="2:18" ht="17.399999999999999">
      <c r="B3" s="1349"/>
      <c r="C3" s="1353" t="str">
        <f>+'3.Resum Desemp Procesos POA T1'!C3</f>
        <v>PLAN OPERATIVO ANUAL 2022</v>
      </c>
      <c r="D3" s="1354"/>
      <c r="E3" s="1354"/>
      <c r="F3" s="1354"/>
      <c r="G3" s="1355"/>
      <c r="H3" s="519"/>
    </row>
    <row r="4" spans="2:18" ht="9.75" customHeight="1">
      <c r="B4" s="1356"/>
      <c r="C4" s="1356"/>
      <c r="D4" s="1356"/>
      <c r="E4" s="1356"/>
      <c r="F4" s="1356"/>
      <c r="G4" s="873"/>
      <c r="H4" s="495"/>
    </row>
    <row r="5" spans="2:18" ht="19.5" customHeight="1">
      <c r="B5" s="889" t="str">
        <f>+'3.Resum Desemp Procesos POA T1'!B5</f>
        <v xml:space="preserve">Fecha de corte: </v>
      </c>
      <c r="C5" s="884">
        <f>+'3.Resum Desemp Procesos POA T1'!C5</f>
        <v>44926</v>
      </c>
    </row>
    <row r="6" spans="2:18" ht="19.5" customHeight="1">
      <c r="B6" s="476"/>
    </row>
    <row r="7" spans="2:18" s="485" customFormat="1" ht="31.5" customHeight="1">
      <c r="B7" s="1312" t="s">
        <v>711</v>
      </c>
      <c r="C7" s="1357" t="s">
        <v>1147</v>
      </c>
      <c r="D7" s="1358"/>
      <c r="E7" s="1358"/>
      <c r="F7" s="1358"/>
      <c r="G7" s="1359"/>
      <c r="H7" s="486"/>
      <c r="Q7" s="473"/>
      <c r="R7" s="473"/>
    </row>
    <row r="8" spans="2:18" s="485" customFormat="1" ht="74.400000000000006" customHeight="1">
      <c r="B8" s="1312"/>
      <c r="C8" s="546" t="s">
        <v>889</v>
      </c>
      <c r="D8" s="546" t="s">
        <v>890</v>
      </c>
      <c r="E8" s="546" t="s">
        <v>891</v>
      </c>
      <c r="F8" s="546" t="s">
        <v>898</v>
      </c>
      <c r="G8" s="520" t="s">
        <v>917</v>
      </c>
      <c r="H8" s="486"/>
      <c r="Q8" s="473"/>
      <c r="R8" s="473"/>
    </row>
    <row r="9" spans="2:18">
      <c r="B9" s="478" t="s">
        <v>718</v>
      </c>
      <c r="C9" s="551">
        <f>+'4.Segto Medición POA 2022 T4'!C65</f>
        <v>4</v>
      </c>
      <c r="D9" s="498">
        <f>COUNTIF('2.Infor Detallado Desempeño POA'!K12:K15,"=100%")</f>
        <v>4</v>
      </c>
      <c r="E9" s="499">
        <f>COUNTIF('2.Infor Detallado Desempeño POA'!K12:K15,"&gt;100%")</f>
        <v>0</v>
      </c>
      <c r="F9" s="549">
        <f>COUNTIF('2.Infor Detallado Desempeño POA'!K12:K15,"&lt;100%")</f>
        <v>0</v>
      </c>
      <c r="G9" s="547">
        <f>COUNTIF('2.Infor Detallado Desempeño POA'!K12:K15,"=No programado")</f>
        <v>0</v>
      </c>
      <c r="H9" s="496">
        <f>SUM(D9:G9)</f>
        <v>4</v>
      </c>
      <c r="I9" s="497">
        <f t="shared" ref="I9:I25" si="0">C9-H9</f>
        <v>0</v>
      </c>
    </row>
    <row r="10" spans="2:18">
      <c r="B10" s="478" t="s">
        <v>720</v>
      </c>
      <c r="C10" s="551">
        <f>+'4.Segto Medición POA 2022 T4'!C66</f>
        <v>4</v>
      </c>
      <c r="D10" s="498">
        <f>COUNTIF('2.Infor Detallado Desempeño POA'!K21:K24,"=100%")</f>
        <v>0</v>
      </c>
      <c r="E10" s="499">
        <f>COUNTIF('2.Infor Detallado Desempeño POA'!K21:K24,"&gt;100%")</f>
        <v>1</v>
      </c>
      <c r="F10" s="549">
        <f>COUNTIF('2.Infor Detallado Desempeño POA'!K21:K24,"&lt;100%")</f>
        <v>0</v>
      </c>
      <c r="G10" s="547">
        <f>COUNTIF('2.Infor Detallado Desempeño POA'!K21:K24,"=No programado")</f>
        <v>3</v>
      </c>
      <c r="H10" s="496">
        <f t="shared" ref="H10:H24" si="1">SUM(D10:G10)</f>
        <v>4</v>
      </c>
      <c r="I10" s="497">
        <f t="shared" si="0"/>
        <v>0</v>
      </c>
    </row>
    <row r="11" spans="2:18">
      <c r="B11" s="478" t="s">
        <v>721</v>
      </c>
      <c r="C11" s="551">
        <f>+'4.Segto Medición POA 2022 T4'!C67</f>
        <v>7</v>
      </c>
      <c r="D11" s="498">
        <f>COUNTIF('2.Infor Detallado Desempeño POA'!K30:K36,"=100%")</f>
        <v>7</v>
      </c>
      <c r="E11" s="499">
        <f>COUNTIF('2.Infor Detallado Desempeño POA'!K30:K36,"&gt;100%")</f>
        <v>0</v>
      </c>
      <c r="F11" s="549">
        <f>COUNTIF('2.Infor Detallado Desempeño POA'!K30:K36,"&lt;100%")</f>
        <v>0</v>
      </c>
      <c r="G11" s="547">
        <f>COUNTIF('2.Infor Detallado Desempeño POA'!K30:K36,"=No programado")</f>
        <v>0</v>
      </c>
      <c r="H11" s="496">
        <f t="shared" si="1"/>
        <v>7</v>
      </c>
      <c r="I11" s="497">
        <f t="shared" si="0"/>
        <v>0</v>
      </c>
    </row>
    <row r="12" spans="2:18">
      <c r="B12" s="478" t="s">
        <v>722</v>
      </c>
      <c r="C12" s="551">
        <f>+'4.Segto Medición POA 2022 T4'!C68</f>
        <v>2</v>
      </c>
      <c r="D12" s="498">
        <f>COUNTIF('2.Infor Detallado Desempeño POA'!K42:K43,"=100%")</f>
        <v>2</v>
      </c>
      <c r="E12" s="499">
        <f>COUNTIF('2.Infor Detallado Desempeño POA'!K42:K43,"&gt;100%")</f>
        <v>0</v>
      </c>
      <c r="F12" s="549">
        <f>COUNTIF('2.Infor Detallado Desempeño POA'!K42:K43,"&lt;100%")</f>
        <v>0</v>
      </c>
      <c r="G12" s="547">
        <f>COUNTIF('2.Infor Detallado Desempeño POA'!K42:K43,"=No programado")</f>
        <v>0</v>
      </c>
      <c r="H12" s="496">
        <f>SUM(D12:G12)</f>
        <v>2</v>
      </c>
      <c r="I12" s="497">
        <f t="shared" si="0"/>
        <v>0</v>
      </c>
    </row>
    <row r="13" spans="2:18">
      <c r="B13" s="478" t="s">
        <v>733</v>
      </c>
      <c r="C13" s="551">
        <f>+'4.Segto Medición POA 2022 T4'!C69</f>
        <v>3</v>
      </c>
      <c r="D13" s="498">
        <f>COUNTIF('2.Infor Detallado Desempeño POA'!K49:K51,"=100%")</f>
        <v>1</v>
      </c>
      <c r="E13" s="499">
        <f>COUNTIF('2.Infor Detallado Desempeño POA'!K49:K51,"&gt;100%")</f>
        <v>1</v>
      </c>
      <c r="F13" s="549">
        <f>COUNTIF('2.Infor Detallado Desempeño POA'!K49:K51,"&lt;100%")</f>
        <v>0</v>
      </c>
      <c r="G13" s="547">
        <f>COUNTIF('2.Infor Detallado Desempeño POA'!K49:K51,"=No programado")</f>
        <v>1</v>
      </c>
      <c r="H13" s="496">
        <f t="shared" si="1"/>
        <v>3</v>
      </c>
      <c r="I13" s="497">
        <f t="shared" si="0"/>
        <v>0</v>
      </c>
    </row>
    <row r="14" spans="2:18">
      <c r="B14" s="478" t="s">
        <v>723</v>
      </c>
      <c r="C14" s="551">
        <f>+'4.Segto Medición POA 2022 T4'!C70</f>
        <v>20</v>
      </c>
      <c r="D14" s="498">
        <f>COUNTIF('2.Infor Detallado Desempeño POA'!K57:K76,"=100%")</f>
        <v>0</v>
      </c>
      <c r="E14" s="499">
        <f>COUNTIF('2.Infor Detallado Desempeño POA'!K57:K76,"&gt;100%")</f>
        <v>11</v>
      </c>
      <c r="F14" s="549">
        <f>COUNTIF('2.Infor Detallado Desempeño POA'!K57:K76,"&lt;100%")</f>
        <v>5</v>
      </c>
      <c r="G14" s="547">
        <f>COUNTIF('2.Infor Detallado Desempeño POA'!K57:K76,"=No programado")</f>
        <v>4</v>
      </c>
      <c r="H14" s="496">
        <f t="shared" si="1"/>
        <v>20</v>
      </c>
      <c r="I14" s="497">
        <f t="shared" si="0"/>
        <v>0</v>
      </c>
    </row>
    <row r="15" spans="2:18">
      <c r="B15" s="478" t="s">
        <v>858</v>
      </c>
      <c r="C15" s="551">
        <f>+'4.Segto Medición POA 2022 T4'!C71</f>
        <v>7</v>
      </c>
      <c r="D15" s="498">
        <f>COUNTIF('2.Infor Detallado Desempeño POA'!K82:K88,"=100%")</f>
        <v>0</v>
      </c>
      <c r="E15" s="499">
        <f>COUNTIF('2.Infor Detallado Desempeño POA'!K82:K88,"&gt;100%")</f>
        <v>3</v>
      </c>
      <c r="F15" s="549">
        <f>COUNTIF('2.Infor Detallado Desempeño POA'!K82:K88,"&lt;100%")</f>
        <v>2</v>
      </c>
      <c r="G15" s="547">
        <f>COUNTIF('2.Infor Detallado Desempeño POA'!K82:K88,"=No programado")</f>
        <v>2</v>
      </c>
      <c r="H15" s="496">
        <f t="shared" si="1"/>
        <v>7</v>
      </c>
      <c r="I15" s="497">
        <f t="shared" si="0"/>
        <v>0</v>
      </c>
    </row>
    <row r="16" spans="2:18">
      <c r="B16" s="478" t="s">
        <v>726</v>
      </c>
      <c r="C16" s="551">
        <f>+'4.Segto Medición POA 2022 T4'!C72</f>
        <v>8</v>
      </c>
      <c r="D16" s="498">
        <f>COUNTIF('2.Infor Detallado Desempeño POA'!K94:K101,"=100%")</f>
        <v>3</v>
      </c>
      <c r="E16" s="499">
        <f>COUNTIF('2.Infor Detallado Desempeño POA'!K94:K101,"&gt;100%")</f>
        <v>1</v>
      </c>
      <c r="F16" s="549">
        <f>COUNTIF('2.Infor Detallado Desempeño POA'!K94:K101,"&lt;100%")</f>
        <v>2</v>
      </c>
      <c r="G16" s="547">
        <f>COUNTIF('2.Infor Detallado Desempeño POA'!K94:K101,"=No programado")</f>
        <v>2</v>
      </c>
      <c r="H16" s="496">
        <f t="shared" si="1"/>
        <v>8</v>
      </c>
      <c r="I16" s="497">
        <f t="shared" si="0"/>
        <v>0</v>
      </c>
    </row>
    <row r="17" spans="2:9">
      <c r="B17" s="478" t="s">
        <v>727</v>
      </c>
      <c r="C17" s="551">
        <f>+'4.Segto Medición POA 2022 T4'!C73</f>
        <v>8</v>
      </c>
      <c r="D17" s="498">
        <f>COUNTIF('2.Infor Detallado Desempeño POA'!K107:K114,"=100%")</f>
        <v>6</v>
      </c>
      <c r="E17" s="499">
        <f>COUNTIF('2.Infor Detallado Desempeño POA'!K107:K114,"&gt;100%")</f>
        <v>1</v>
      </c>
      <c r="F17" s="549">
        <f>COUNTIF('2.Infor Detallado Desempeño POA'!K107:K114,"&lt;100%")</f>
        <v>1</v>
      </c>
      <c r="G17" s="547">
        <f>COUNTIF('2.Infor Detallado Desempeño POA'!K107:K114,"=No programado")</f>
        <v>0</v>
      </c>
      <c r="H17" s="496">
        <f t="shared" si="1"/>
        <v>8</v>
      </c>
      <c r="I17" s="497">
        <f t="shared" si="0"/>
        <v>0</v>
      </c>
    </row>
    <row r="18" spans="2:9" ht="16.5" customHeight="1">
      <c r="B18" s="478" t="s">
        <v>728</v>
      </c>
      <c r="C18" s="551">
        <f>+'4.Segto Medición POA 2022 T4'!C74</f>
        <v>2</v>
      </c>
      <c r="D18" s="498">
        <f>COUNTIF('2.Infor Detallado Desempeño POA'!K120:K121,"=100%")</f>
        <v>1</v>
      </c>
      <c r="E18" s="499">
        <f>COUNTIF('2.Infor Detallado Desempeño POA'!K120:K121,"&gt;100%")</f>
        <v>1</v>
      </c>
      <c r="F18" s="549">
        <f>COUNTIF('2.Infor Detallado Desempeño POA'!K120:K121,"&lt;100%")</f>
        <v>0</v>
      </c>
      <c r="G18" s="547">
        <f>COUNTIF('2.Infor Detallado Desempeño POA'!K120:K121,"=No programado")</f>
        <v>0</v>
      </c>
      <c r="H18" s="496">
        <f t="shared" si="1"/>
        <v>2</v>
      </c>
      <c r="I18" s="497">
        <f t="shared" si="0"/>
        <v>0</v>
      </c>
    </row>
    <row r="19" spans="2:9">
      <c r="B19" s="478" t="s">
        <v>729</v>
      </c>
      <c r="C19" s="551">
        <f>+'4.Segto Medición POA 2022 T4'!C75</f>
        <v>3</v>
      </c>
      <c r="D19" s="498">
        <f>COUNTIF('2.Infor Detallado Desempeño POA'!K127:K129,"=100%")</f>
        <v>1</v>
      </c>
      <c r="E19" s="499">
        <f>COUNTIF('2.Infor Detallado Desempeño POA'!K127:K129,"&gt;100%")</f>
        <v>1</v>
      </c>
      <c r="F19" s="549">
        <f>COUNTIF('2.Infor Detallado Desempeño POA'!K127:K129,"&lt;100%")</f>
        <v>1</v>
      </c>
      <c r="G19" s="547">
        <f>COUNTIF('2.Infor Detallado Desempeño POA'!K127:K129,"=No programado")</f>
        <v>0</v>
      </c>
      <c r="H19" s="496">
        <f t="shared" si="1"/>
        <v>3</v>
      </c>
      <c r="I19" s="497">
        <f t="shared" si="0"/>
        <v>0</v>
      </c>
    </row>
    <row r="20" spans="2:9">
      <c r="B20" s="478" t="s">
        <v>730</v>
      </c>
      <c r="C20" s="551">
        <f>+'4.Segto Medición POA 2022 T4'!C76</f>
        <v>4</v>
      </c>
      <c r="D20" s="498">
        <f>COUNTIF('2.Infor Detallado Desempeño POA'!K135:K138,"=100%")</f>
        <v>1</v>
      </c>
      <c r="E20" s="499">
        <f>COUNTIF('2.Infor Detallado Desempeño POA'!K135:K138,"&gt;100%")</f>
        <v>2</v>
      </c>
      <c r="F20" s="549">
        <f>COUNTIF('2.Infor Detallado Desempeño POA'!K135:K138,"&lt;100%")</f>
        <v>0</v>
      </c>
      <c r="G20" s="547">
        <f>COUNTIF('2.Infor Detallado Desempeño POA'!K135:K138,"=No programado")</f>
        <v>1</v>
      </c>
      <c r="H20" s="496">
        <f t="shared" si="1"/>
        <v>4</v>
      </c>
      <c r="I20" s="497">
        <f t="shared" si="0"/>
        <v>0</v>
      </c>
    </row>
    <row r="21" spans="2:9">
      <c r="B21" s="478" t="s">
        <v>731</v>
      </c>
      <c r="C21" s="551">
        <f>+'4.Segto Medición POA 2022 T4'!C77</f>
        <v>4</v>
      </c>
      <c r="D21" s="498">
        <f>COUNTIF('2.Infor Detallado Desempeño POA'!K144:K147,"=100%")</f>
        <v>1</v>
      </c>
      <c r="E21" s="499">
        <f>COUNTIF('2.Infor Detallado Desempeño POA'!K144:K147,"&gt;100%")</f>
        <v>3</v>
      </c>
      <c r="F21" s="549">
        <f>COUNTIF('2.Infor Detallado Desempeño POA'!K144:K147,"&lt;100%")</f>
        <v>0</v>
      </c>
      <c r="G21" s="547">
        <f>COUNTIF('2.Infor Detallado Desempeño POA'!K144:K147,"=No programado")</f>
        <v>0</v>
      </c>
      <c r="H21" s="496">
        <f t="shared" si="1"/>
        <v>4</v>
      </c>
      <c r="I21" s="497">
        <f t="shared" si="0"/>
        <v>0</v>
      </c>
    </row>
    <row r="22" spans="2:9">
      <c r="B22" s="478" t="s">
        <v>732</v>
      </c>
      <c r="C22" s="551">
        <f>+'4.Segto Medición POA 2022 T4'!C78</f>
        <v>5</v>
      </c>
      <c r="D22" s="498">
        <f>COUNTIF('2.Infor Detallado Desempeño POA'!K153:K157,"=100%")</f>
        <v>5</v>
      </c>
      <c r="E22" s="499">
        <f>COUNTIF('2.Infor Detallado Desempeño POA'!K153:K157,"&gt;100%")</f>
        <v>0</v>
      </c>
      <c r="F22" s="549">
        <f>COUNTIF('2.Infor Detallado Desempeño POA'!K153:K157,"&lt;100%")</f>
        <v>0</v>
      </c>
      <c r="G22" s="547">
        <f>COUNTIF('2.Infor Detallado Desempeño POA'!K153:K157,"=No programado")</f>
        <v>0</v>
      </c>
      <c r="H22" s="496">
        <f t="shared" si="1"/>
        <v>5</v>
      </c>
      <c r="I22" s="497">
        <f t="shared" si="0"/>
        <v>0</v>
      </c>
    </row>
    <row r="23" spans="2:9">
      <c r="B23" s="478" t="s">
        <v>734</v>
      </c>
      <c r="C23" s="551">
        <f>+'4.Segto Medición POA 2022 T4'!C79</f>
        <v>3</v>
      </c>
      <c r="D23" s="498">
        <f>COUNTIF('2.Infor Detallado Desempeño POA'!K163:K165,"=100%")</f>
        <v>0</v>
      </c>
      <c r="E23" s="499">
        <f>COUNTIF('2.Infor Detallado Desempeño POA'!K163:K165,"&gt;100%")</f>
        <v>2</v>
      </c>
      <c r="F23" s="549">
        <f>COUNTIF('2.Infor Detallado Desempeño POA'!K163:K165,"&lt;100%")</f>
        <v>0</v>
      </c>
      <c r="G23" s="547">
        <f>COUNTIF('2.Infor Detallado Desempeño POA'!K163:K165,"=No programado")</f>
        <v>1</v>
      </c>
      <c r="H23" s="496">
        <f t="shared" si="1"/>
        <v>3</v>
      </c>
      <c r="I23" s="497">
        <f t="shared" si="0"/>
        <v>0</v>
      </c>
    </row>
    <row r="24" spans="2:9">
      <c r="B24" s="478" t="s">
        <v>735</v>
      </c>
      <c r="C24" s="551">
        <f>+'4.Segto Medición POA 2022 T4'!C80</f>
        <v>3</v>
      </c>
      <c r="D24" s="498">
        <f>COUNTIF('2.Infor Detallado Desempeño POA'!K171:K173,"=100%")</f>
        <v>1</v>
      </c>
      <c r="E24" s="499">
        <f>COUNTIF('2.Infor Detallado Desempeño POA'!K171:K173,"&gt;100%")</f>
        <v>0</v>
      </c>
      <c r="F24" s="549">
        <f>COUNTIF('2.Infor Detallado Desempeño POA'!K171:K173,"&lt;100%")</f>
        <v>0</v>
      </c>
      <c r="G24" s="547">
        <f>COUNTIF('2.Infor Detallado Desempeño POA'!K171:K173,"=No programado")</f>
        <v>2</v>
      </c>
      <c r="H24" s="496">
        <f t="shared" si="1"/>
        <v>3</v>
      </c>
      <c r="I24" s="497">
        <f t="shared" si="0"/>
        <v>0</v>
      </c>
    </row>
    <row r="25" spans="2:9" ht="19.5" customHeight="1">
      <c r="B25" s="511" t="s">
        <v>887</v>
      </c>
      <c r="C25" s="512">
        <f>SUM(C9:C24)</f>
        <v>87</v>
      </c>
      <c r="D25" s="513">
        <f t="shared" ref="D25:E25" si="2">SUM(D9:D24)</f>
        <v>33</v>
      </c>
      <c r="E25" s="514">
        <f t="shared" si="2"/>
        <v>27</v>
      </c>
      <c r="F25" s="550">
        <f>SUM(F9:F24)</f>
        <v>11</v>
      </c>
      <c r="G25" s="548">
        <f>SUM(G9:G24)</f>
        <v>16</v>
      </c>
      <c r="H25" s="496">
        <f>SUM(D25:G25)</f>
        <v>87</v>
      </c>
      <c r="I25" s="497">
        <f t="shared" si="0"/>
        <v>0</v>
      </c>
    </row>
    <row r="27" spans="2:9" s="557" customFormat="1" ht="2.4" customHeight="1">
      <c r="C27" s="561"/>
      <c r="D27" s="774" t="str">
        <f>+D8</f>
        <v>No de Indicadores con Meta Cumplida según programación</v>
      </c>
      <c r="E27" s="775">
        <f>+D25</f>
        <v>33</v>
      </c>
      <c r="H27" s="558"/>
    </row>
    <row r="28" spans="2:9" s="557" customFormat="1" ht="2.4" customHeight="1">
      <c r="C28" s="561"/>
      <c r="D28" s="774" t="str">
        <f>+E8</f>
        <v xml:space="preserve">No de Indicadores con ejecución superior a la programada </v>
      </c>
      <c r="E28" s="775">
        <f>+E25</f>
        <v>27</v>
      </c>
      <c r="H28" s="558"/>
    </row>
    <row r="29" spans="2:9" s="557" customFormat="1" ht="2.4" customHeight="1">
      <c r="C29" s="561"/>
      <c r="D29" s="774" t="str">
        <f>+F8</f>
        <v xml:space="preserve">No de Indicadores con ejecución menor a la programada </v>
      </c>
      <c r="E29" s="775">
        <f>+F25</f>
        <v>11</v>
      </c>
      <c r="H29" s="558"/>
    </row>
    <row r="30" spans="2:9" s="557" customFormat="1" ht="2.4" customHeight="1">
      <c r="C30" s="561"/>
      <c r="D30" s="774" t="str">
        <f>+G8</f>
        <v>No de indicadores sin programar en el periodo</v>
      </c>
      <c r="E30" s="775">
        <f>+G25</f>
        <v>16</v>
      </c>
      <c r="H30" s="558"/>
    </row>
    <row r="31" spans="2:9" s="557" customFormat="1">
      <c r="C31" s="558"/>
      <c r="D31" s="558"/>
      <c r="E31" s="558"/>
      <c r="H31" s="558"/>
    </row>
    <row r="32" spans="2:9" s="557" customFormat="1">
      <c r="C32" s="558"/>
      <c r="D32" s="558"/>
      <c r="E32" s="558"/>
      <c r="H32" s="558"/>
    </row>
    <row r="33" spans="2:9" s="557" customFormat="1" hidden="1">
      <c r="C33" s="558"/>
      <c r="D33" s="558"/>
      <c r="E33" s="558"/>
      <c r="H33" s="558"/>
    </row>
    <row r="34" spans="2:9" s="560" customFormat="1" ht="10.199999999999999" hidden="1" customHeight="1">
      <c r="C34" s="561"/>
      <c r="D34" s="1335" t="str">
        <f>+C7</f>
        <v>CUMPLIMIENTO PROGRAMACIÓN EN EL PERIODO 
Primer Trimestre de 2022</v>
      </c>
      <c r="E34" s="1335"/>
      <c r="H34" s="561"/>
    </row>
    <row r="35" spans="2:9" s="560" customFormat="1" ht="28.2" customHeight="1">
      <c r="B35" s="1312" t="s">
        <v>711</v>
      </c>
      <c r="C35" s="1336" t="s">
        <v>1148</v>
      </c>
      <c r="D35" s="1337"/>
      <c r="E35" s="1337"/>
      <c r="F35" s="1337"/>
      <c r="G35" s="1338"/>
      <c r="H35" s="561"/>
    </row>
    <row r="36" spans="2:9" s="560" customFormat="1" ht="29.4" customHeight="1">
      <c r="B36" s="1312"/>
      <c r="C36" s="885"/>
      <c r="D36" s="887" t="s">
        <v>1149</v>
      </c>
      <c r="E36" s="1339">
        <f>C5</f>
        <v>44926</v>
      </c>
      <c r="F36" s="1339"/>
      <c r="G36" s="886"/>
      <c r="H36" s="561"/>
    </row>
    <row r="37" spans="2:9" s="560" customFormat="1" ht="72.599999999999994" customHeight="1">
      <c r="B37" s="1312"/>
      <c r="C37" s="546" t="s">
        <v>889</v>
      </c>
      <c r="D37" s="546" t="s">
        <v>1150</v>
      </c>
      <c r="E37" s="546" t="s">
        <v>891</v>
      </c>
      <c r="F37" s="546" t="s">
        <v>898</v>
      </c>
      <c r="G37" s="520" t="s">
        <v>917</v>
      </c>
      <c r="H37" s="561"/>
    </row>
    <row r="38" spans="2:9" s="560" customFormat="1" ht="19.95" customHeight="1">
      <c r="B38" s="478" t="s">
        <v>718</v>
      </c>
      <c r="C38" s="551">
        <f>+C64</f>
        <v>4</v>
      </c>
      <c r="D38" s="498">
        <f>COUNTIF('2.Infor Detallado Desempeño POA'!L12:L15,"&gt;=99%")-COUNTIF('2.Infor Detallado Desempeño POA'!L12:L15,"&gt;100%")</f>
        <v>4</v>
      </c>
      <c r="E38" s="499">
        <f>COUNTIF('2.Infor Detallado Desempeño POA'!L12:L15,"&gt;100%")</f>
        <v>0</v>
      </c>
      <c r="F38" s="549">
        <f>COUNTIF('2.Infor Detallado Desempeño POA'!L12:L15,"&lt;99%")</f>
        <v>0</v>
      </c>
      <c r="G38" s="547">
        <f>COUNTIF('2.Infor Detallado Desempeño POA'!L12:L15,"=No programado")</f>
        <v>0</v>
      </c>
      <c r="H38" s="496">
        <f>SUM(D38:G38)</f>
        <v>4</v>
      </c>
      <c r="I38" s="497">
        <f t="shared" ref="I38:I54" si="3">C38-H38</f>
        <v>0</v>
      </c>
    </row>
    <row r="39" spans="2:9" s="560" customFormat="1" ht="19.95" customHeight="1">
      <c r="B39" s="478" t="s">
        <v>720</v>
      </c>
      <c r="C39" s="551">
        <f t="shared" ref="C39:C53" si="4">+C65</f>
        <v>4</v>
      </c>
      <c r="D39" s="498">
        <f>COUNTIF('2.Infor Detallado Desempeño POA'!L21:L24,"&gt;=99%")-COUNTIF('2.Infor Detallado Desempeño POA'!L21:L24,"&gt;100%")</f>
        <v>0</v>
      </c>
      <c r="E39" s="499">
        <f>COUNTIF('2.Infor Detallado Desempeño POA'!L21:L24,"&gt;100%")</f>
        <v>1</v>
      </c>
      <c r="F39" s="549">
        <f>COUNTIF('2.Infor Detallado Desempeño POA'!L24:L24,"&lt;99%")</f>
        <v>0</v>
      </c>
      <c r="G39" s="547">
        <f>COUNTIF('2.Infor Detallado Desempeño POA'!L21:L24,"=No programado")</f>
        <v>3</v>
      </c>
      <c r="H39" s="496">
        <f t="shared" ref="H39:H40" si="5">SUM(D39:G39)</f>
        <v>4</v>
      </c>
      <c r="I39" s="497">
        <f t="shared" si="3"/>
        <v>0</v>
      </c>
    </row>
    <row r="40" spans="2:9" s="560" customFormat="1" ht="19.95" customHeight="1">
      <c r="B40" s="478" t="s">
        <v>721</v>
      </c>
      <c r="C40" s="551">
        <f t="shared" si="4"/>
        <v>7</v>
      </c>
      <c r="D40" s="498">
        <f>COUNTIF('2.Infor Detallado Desempeño POA'!L30:L36,"&gt;=99%")-COUNTIF('2.Infor Detallado Desempeño POA'!L30:L36,"&gt;100%")</f>
        <v>7</v>
      </c>
      <c r="E40" s="499">
        <f>COUNTIF('2.Infor Detallado Desempeño POA'!L30:L36,"&gt;100%")</f>
        <v>0</v>
      </c>
      <c r="F40" s="549">
        <f>COUNTIF('2.Infor Detallado Desempeño POA'!L30:L36,"&lt;99%")</f>
        <v>0</v>
      </c>
      <c r="G40" s="547">
        <f>COUNTIF('2.Infor Detallado Desempeño POA'!L30:L36,"=No programado")</f>
        <v>0</v>
      </c>
      <c r="H40" s="496">
        <f t="shared" si="5"/>
        <v>7</v>
      </c>
      <c r="I40" s="497">
        <f t="shared" si="3"/>
        <v>0</v>
      </c>
    </row>
    <row r="41" spans="2:9" s="560" customFormat="1" ht="19.95" customHeight="1">
      <c r="B41" s="478" t="s">
        <v>722</v>
      </c>
      <c r="C41" s="551">
        <f t="shared" si="4"/>
        <v>2</v>
      </c>
      <c r="D41" s="498">
        <f>COUNTIF('2.Infor Detallado Desempeño POA'!L42:L43,"&gt;=99%")-COUNTIF('2.Infor Detallado Desempeño POA'!L42:L43,"&gt;100%")</f>
        <v>2</v>
      </c>
      <c r="E41" s="499">
        <f>COUNTIF('2.Infor Detallado Desempeño POA'!L42:L43,"&gt;100%")</f>
        <v>0</v>
      </c>
      <c r="F41" s="549">
        <f>COUNTIF('2.Infor Detallado Desempeño POA'!L42:L43,"&lt;99%")</f>
        <v>0</v>
      </c>
      <c r="G41" s="547">
        <f>COUNTIF('2.Infor Detallado Desempeño POA'!L42:L43,"=No programado")</f>
        <v>0</v>
      </c>
      <c r="H41" s="496">
        <f>SUM(D41:G41)</f>
        <v>2</v>
      </c>
      <c r="I41" s="497">
        <f t="shared" si="3"/>
        <v>0</v>
      </c>
    </row>
    <row r="42" spans="2:9" s="560" customFormat="1" ht="19.95" customHeight="1">
      <c r="B42" s="478" t="s">
        <v>733</v>
      </c>
      <c r="C42" s="551">
        <f t="shared" si="4"/>
        <v>3</v>
      </c>
      <c r="D42" s="498">
        <f>COUNTIF('2.Infor Detallado Desempeño POA'!L49:L51,"&gt;=99%")-COUNTIF('2.Infor Detallado Desempeño POA'!L49:L51,"&gt;100%")</f>
        <v>1</v>
      </c>
      <c r="E42" s="499">
        <f>COUNTIF('2.Infor Detallado Desempeño POA'!L49:L51,"&gt;100%")</f>
        <v>1</v>
      </c>
      <c r="F42" s="549">
        <f>COUNTIF('2.Infor Detallado Desempeño POA'!L49:L51,"&lt;99%")</f>
        <v>0</v>
      </c>
      <c r="G42" s="547">
        <f>COUNTIF('2.Infor Detallado Desempeño POA'!L49:L51,"=No programado")</f>
        <v>1</v>
      </c>
      <c r="H42" s="496">
        <f t="shared" ref="H42:H53" si="6">SUM(D42:G42)</f>
        <v>3</v>
      </c>
      <c r="I42" s="497">
        <f t="shared" si="3"/>
        <v>0</v>
      </c>
    </row>
    <row r="43" spans="2:9" s="560" customFormat="1" ht="19.95" customHeight="1">
      <c r="B43" s="478" t="s">
        <v>723</v>
      </c>
      <c r="C43" s="551">
        <f t="shared" si="4"/>
        <v>20</v>
      </c>
      <c r="D43" s="498">
        <f>COUNTIF('2.Infor Detallado Desempeño POA'!L57:L76,"&gt;=99%")-COUNTIF('2.Infor Detallado Desempeño POA'!L57:L76,"&gt;100%")</f>
        <v>0</v>
      </c>
      <c r="E43" s="499">
        <f>COUNTIF('2.Infor Detallado Desempeño POA'!L57:L76,"&gt;100%")</f>
        <v>11</v>
      </c>
      <c r="F43" s="549">
        <f>COUNTIF('2.Infor Detallado Desempeño POA'!L57:L76,"&lt;99%")</f>
        <v>5</v>
      </c>
      <c r="G43" s="547">
        <f>COUNTIF('2.Infor Detallado Desempeño POA'!L57:L76,"=No programado")</f>
        <v>4</v>
      </c>
      <c r="H43" s="496">
        <f t="shared" si="6"/>
        <v>20</v>
      </c>
      <c r="I43" s="497">
        <f t="shared" si="3"/>
        <v>0</v>
      </c>
    </row>
    <row r="44" spans="2:9" s="560" customFormat="1" ht="19.95" customHeight="1">
      <c r="B44" s="478" t="s">
        <v>858</v>
      </c>
      <c r="C44" s="551">
        <f t="shared" si="4"/>
        <v>7</v>
      </c>
      <c r="D44" s="498">
        <f>COUNTIF('2.Infor Detallado Desempeño POA'!L82:L88,"&gt;=99%")-COUNTIF('2.Infor Detallado Desempeño POA'!L82:L88,"&gt;100%")</f>
        <v>0</v>
      </c>
      <c r="E44" s="499">
        <f>COUNTIF('2.Infor Detallado Desempeño POA'!L82:L88,"&gt;100%")</f>
        <v>3</v>
      </c>
      <c r="F44" s="549">
        <f>COUNTIF('2.Infor Detallado Desempeño POA'!L82:L88,"&lt;99%")</f>
        <v>2</v>
      </c>
      <c r="G44" s="547">
        <f>COUNTIF('2.Infor Detallado Desempeño POA'!L82:L88,"=No programado")</f>
        <v>2</v>
      </c>
      <c r="H44" s="496">
        <f t="shared" si="6"/>
        <v>7</v>
      </c>
      <c r="I44" s="497">
        <f t="shared" si="3"/>
        <v>0</v>
      </c>
    </row>
    <row r="45" spans="2:9" s="560" customFormat="1" ht="19.95" customHeight="1">
      <c r="B45" s="478" t="s">
        <v>726</v>
      </c>
      <c r="C45" s="551">
        <f t="shared" si="4"/>
        <v>8</v>
      </c>
      <c r="D45" s="498">
        <f>COUNTIF('2.Infor Detallado Desempeño POA'!L94:L101,"&gt;=99%")-COUNTIF('2.Infor Detallado Desempeño POA'!L94:L101,"&gt;100%")</f>
        <v>3</v>
      </c>
      <c r="E45" s="499">
        <f>COUNTIF('2.Infor Detallado Desempeño POA'!L94:L101,"&gt;100%")</f>
        <v>1</v>
      </c>
      <c r="F45" s="549">
        <f>COUNTIF('2.Infor Detallado Desempeño POA'!L94:L101,"&lt;99%")</f>
        <v>2</v>
      </c>
      <c r="G45" s="547">
        <f>COUNTIF('2.Infor Detallado Desempeño POA'!L94:L101,"=No programado")</f>
        <v>2</v>
      </c>
      <c r="H45" s="496">
        <f t="shared" si="6"/>
        <v>8</v>
      </c>
      <c r="I45" s="497">
        <f t="shared" si="3"/>
        <v>0</v>
      </c>
    </row>
    <row r="46" spans="2:9" s="560" customFormat="1" ht="19.95" customHeight="1">
      <c r="B46" s="478" t="s">
        <v>727</v>
      </c>
      <c r="C46" s="551">
        <f t="shared" si="4"/>
        <v>8</v>
      </c>
      <c r="D46" s="498">
        <f>COUNTIF('2.Infor Detallado Desempeño POA'!L107:L114,"&gt;=99%")-COUNTIF('2.Infor Detallado Desempeño POA'!L107:L114,"&gt;100%")</f>
        <v>6</v>
      </c>
      <c r="E46" s="499">
        <f>COUNTIF('2.Infor Detallado Desempeño POA'!L107:L114,"&gt;100%")</f>
        <v>1</v>
      </c>
      <c r="F46" s="549">
        <f>COUNTIF('2.Infor Detallado Desempeño POA'!L107:L114,"&lt;99%")</f>
        <v>1</v>
      </c>
      <c r="G46" s="547">
        <f>COUNTIF('2.Infor Detallado Desempeño POA'!L107:L114,"=No programado")</f>
        <v>0</v>
      </c>
      <c r="H46" s="496">
        <f t="shared" si="6"/>
        <v>8</v>
      </c>
      <c r="I46" s="497">
        <f t="shared" si="3"/>
        <v>0</v>
      </c>
    </row>
    <row r="47" spans="2:9" s="560" customFormat="1" ht="19.95" customHeight="1">
      <c r="B47" s="478" t="s">
        <v>728</v>
      </c>
      <c r="C47" s="551">
        <f t="shared" si="4"/>
        <v>2</v>
      </c>
      <c r="D47" s="498">
        <f>COUNTIF('2.Infor Detallado Desempeño POA'!L120:L121,"&gt;=99%")-COUNTIF('2.Infor Detallado Desempeño POA'!L120:L121,"&gt;100%")</f>
        <v>1</v>
      </c>
      <c r="E47" s="499">
        <f>COUNTIF('2.Infor Detallado Desempeño POA'!L120:L121,"&gt;100%")</f>
        <v>1</v>
      </c>
      <c r="F47" s="549">
        <f>COUNTIF('2.Infor Detallado Desempeño POA'!L120:L121,"&lt;99%")</f>
        <v>0</v>
      </c>
      <c r="G47" s="547">
        <f>COUNTIF('2.Infor Detallado Desempeño POA'!L120:L121,"=No programado")</f>
        <v>0</v>
      </c>
      <c r="H47" s="496">
        <f t="shared" si="6"/>
        <v>2</v>
      </c>
      <c r="I47" s="497">
        <f t="shared" si="3"/>
        <v>0</v>
      </c>
    </row>
    <row r="48" spans="2:9" s="560" customFormat="1" ht="19.95" customHeight="1">
      <c r="B48" s="478" t="s">
        <v>729</v>
      </c>
      <c r="C48" s="551">
        <f t="shared" si="4"/>
        <v>3</v>
      </c>
      <c r="D48" s="498">
        <f>COUNTIF('2.Infor Detallado Desempeño POA'!L127:L129,"&gt;=99%")-COUNTIF('2.Infor Detallado Desempeño POA'!L127:L129,"&gt;100%")</f>
        <v>1</v>
      </c>
      <c r="E48" s="499">
        <f>COUNTIF('2.Infor Detallado Desempeño POA'!L127:L129,"&gt;100%")</f>
        <v>1</v>
      </c>
      <c r="F48" s="549">
        <f>COUNTIF('2.Infor Detallado Desempeño POA'!L127:L129,"&lt;99%")</f>
        <v>1</v>
      </c>
      <c r="G48" s="547">
        <f>COUNTIF('2.Infor Detallado Desempeño POA'!L127:L129,"=No programado")</f>
        <v>0</v>
      </c>
      <c r="H48" s="496">
        <f t="shared" si="6"/>
        <v>3</v>
      </c>
      <c r="I48" s="497">
        <f t="shared" si="3"/>
        <v>0</v>
      </c>
    </row>
    <row r="49" spans="2:17" s="560" customFormat="1" ht="19.95" customHeight="1">
      <c r="B49" s="478" t="s">
        <v>730</v>
      </c>
      <c r="C49" s="551">
        <f t="shared" si="4"/>
        <v>4</v>
      </c>
      <c r="D49" s="498">
        <f>COUNTIF('2.Infor Detallado Desempeño POA'!L135:L138,"&gt;=99%")-COUNTIF('2.Infor Detallado Desempeño POA'!L135:L138,"&gt;100%")</f>
        <v>1</v>
      </c>
      <c r="E49" s="499">
        <f>COUNTIF('2.Infor Detallado Desempeño POA'!L135:L138,"&gt;100%")</f>
        <v>2</v>
      </c>
      <c r="F49" s="549">
        <f>COUNTIF('2.Infor Detallado Desempeño POA'!L135:L138,"&lt;99%")</f>
        <v>0</v>
      </c>
      <c r="G49" s="547">
        <f>COUNTIF('2.Infor Detallado Desempeño POA'!L135:L138,"=No programado")</f>
        <v>1</v>
      </c>
      <c r="H49" s="496">
        <f t="shared" si="6"/>
        <v>4</v>
      </c>
      <c r="I49" s="497">
        <f t="shared" si="3"/>
        <v>0</v>
      </c>
    </row>
    <row r="50" spans="2:17" s="560" customFormat="1" ht="19.95" customHeight="1">
      <c r="B50" s="478" t="s">
        <v>731</v>
      </c>
      <c r="C50" s="551">
        <f t="shared" si="4"/>
        <v>4</v>
      </c>
      <c r="D50" s="498">
        <f>COUNTIF('2.Infor Detallado Desempeño POA'!L144:L147,"&gt;=99%")-COUNTIF('2.Infor Detallado Desempeño POA'!L144:L147,"&gt;100%")</f>
        <v>1</v>
      </c>
      <c r="E50" s="499">
        <f>COUNTIF('2.Infor Detallado Desempeño POA'!L144:L147,"&gt;100%")</f>
        <v>3</v>
      </c>
      <c r="F50" s="549">
        <f>COUNTIF('2.Infor Detallado Desempeño POA'!L144:L147,"&lt;99%")</f>
        <v>0</v>
      </c>
      <c r="G50" s="547">
        <f>COUNTIF('2.Infor Detallado Desempeño POA'!L144:L147,"=No programado")</f>
        <v>0</v>
      </c>
      <c r="H50" s="496">
        <f t="shared" si="6"/>
        <v>4</v>
      </c>
      <c r="I50" s="497">
        <f t="shared" si="3"/>
        <v>0</v>
      </c>
    </row>
    <row r="51" spans="2:17" s="560" customFormat="1" ht="19.95" customHeight="1">
      <c r="B51" s="478" t="s">
        <v>732</v>
      </c>
      <c r="C51" s="551">
        <f t="shared" si="4"/>
        <v>5</v>
      </c>
      <c r="D51" s="498">
        <f>COUNTIF('2.Infor Detallado Desempeño POA'!L153:L157,"&gt;=99%")-COUNTIF('2.Infor Detallado Desempeño POA'!L153:L157,"&gt;100%")</f>
        <v>5</v>
      </c>
      <c r="E51" s="499">
        <f>COUNTIF('2.Infor Detallado Desempeño POA'!L153:L157,"&gt;100%")</f>
        <v>0</v>
      </c>
      <c r="F51" s="549">
        <f>COUNTIF('2.Infor Detallado Desempeño POA'!L153:L157,"&lt;99%")</f>
        <v>0</v>
      </c>
      <c r="G51" s="547">
        <f>COUNTIF('2.Infor Detallado Desempeño POA'!L153:L157,"=No programado")</f>
        <v>0</v>
      </c>
      <c r="H51" s="496">
        <f t="shared" si="6"/>
        <v>5</v>
      </c>
      <c r="I51" s="497">
        <f t="shared" si="3"/>
        <v>0</v>
      </c>
    </row>
    <row r="52" spans="2:17" s="560" customFormat="1" ht="19.95" customHeight="1">
      <c r="B52" s="478" t="s">
        <v>734</v>
      </c>
      <c r="C52" s="551">
        <f t="shared" si="4"/>
        <v>3</v>
      </c>
      <c r="D52" s="498">
        <f>COUNTIF('2.Infor Detallado Desempeño POA'!L163:L165,"&gt;=99%")-COUNTIF('2.Infor Detallado Desempeño POA'!L163:L165,"&gt;100%")</f>
        <v>0</v>
      </c>
      <c r="E52" s="499">
        <f>COUNTIF('2.Infor Detallado Desempeño POA'!L163:L165,"&gt;100%")</f>
        <v>2</v>
      </c>
      <c r="F52" s="549">
        <f>COUNTIF('2.Infor Detallado Desempeño POA'!L163:L165,"&lt;99%")</f>
        <v>0</v>
      </c>
      <c r="G52" s="547">
        <f>COUNTIF('2.Infor Detallado Desempeño POA'!L163:L165,"=No programado")</f>
        <v>1</v>
      </c>
      <c r="H52" s="496">
        <f t="shared" si="6"/>
        <v>3</v>
      </c>
      <c r="I52" s="497">
        <f t="shared" si="3"/>
        <v>0</v>
      </c>
    </row>
    <row r="53" spans="2:17" s="560" customFormat="1" ht="19.95" customHeight="1">
      <c r="B53" s="478" t="s">
        <v>735</v>
      </c>
      <c r="C53" s="551">
        <f t="shared" si="4"/>
        <v>3</v>
      </c>
      <c r="D53" s="498">
        <f>COUNTIF('2.Infor Detallado Desempeño POA'!L171:L173,"&gt;=99%")-COUNTIF('2.Infor Detallado Desempeño POA'!L171:L173,"&gt;100%")</f>
        <v>1</v>
      </c>
      <c r="E53" s="499">
        <f>COUNTIF('2.Infor Detallado Desempeño POA'!L171:L173,"&gt;100%")</f>
        <v>0</v>
      </c>
      <c r="F53" s="549">
        <f>COUNTIF('2.Infor Detallado Desempeño POA'!L171:L173,"&lt;99%")</f>
        <v>0</v>
      </c>
      <c r="G53" s="547">
        <f>COUNTIF('2.Infor Detallado Desempeño POA'!L171:L173,"=No programado")</f>
        <v>2</v>
      </c>
      <c r="H53" s="496">
        <f t="shared" si="6"/>
        <v>3</v>
      </c>
      <c r="I53" s="497">
        <f t="shared" si="3"/>
        <v>0</v>
      </c>
    </row>
    <row r="54" spans="2:17" s="560" customFormat="1" ht="19.95" customHeight="1">
      <c r="B54" s="511" t="s">
        <v>887</v>
      </c>
      <c r="C54" s="512">
        <f>SUM(C38:C53)</f>
        <v>87</v>
      </c>
      <c r="D54" s="513">
        <f t="shared" ref="D54:E54" si="7">SUM(D38:D53)</f>
        <v>33</v>
      </c>
      <c r="E54" s="514">
        <f t="shared" si="7"/>
        <v>27</v>
      </c>
      <c r="F54" s="550">
        <f>SUM(F38:F53)</f>
        <v>11</v>
      </c>
      <c r="G54" s="548">
        <f>SUM(G38:G53)</f>
        <v>16</v>
      </c>
      <c r="H54" s="496">
        <f>SUM(D54:G54)</f>
        <v>87</v>
      </c>
      <c r="I54" s="497">
        <f t="shared" si="3"/>
        <v>0</v>
      </c>
    </row>
    <row r="55" spans="2:17" s="560" customFormat="1" ht="19.95" customHeight="1">
      <c r="B55" s="771"/>
      <c r="C55" s="773"/>
      <c r="D55" s="773"/>
      <c r="E55" s="773"/>
      <c r="F55" s="773"/>
      <c r="G55" s="773"/>
      <c r="H55" s="772"/>
      <c r="I55" s="497"/>
    </row>
    <row r="56" spans="2:17" s="560" customFormat="1" ht="3" customHeight="1">
      <c r="C56" s="776"/>
      <c r="D56" s="774" t="str">
        <f>+D37</f>
        <v>No de Indicadores con Meta Cumplida según progrLación</v>
      </c>
      <c r="E56" s="775">
        <f>+D54</f>
        <v>33</v>
      </c>
      <c r="F56" s="777"/>
      <c r="G56" s="778"/>
      <c r="H56" s="561"/>
    </row>
    <row r="57" spans="2:17" s="560" customFormat="1" ht="3" customHeight="1">
      <c r="C57" s="776"/>
      <c r="D57" s="774" t="str">
        <f>+E37</f>
        <v xml:space="preserve">No de Indicadores con ejecución superior a la programada </v>
      </c>
      <c r="E57" s="775">
        <f>+E54</f>
        <v>27</v>
      </c>
      <c r="F57" s="777"/>
      <c r="G57" s="778"/>
      <c r="H57" s="561"/>
    </row>
    <row r="58" spans="2:17" s="560" customFormat="1" ht="3" customHeight="1">
      <c r="C58" s="776"/>
      <c r="D58" s="774" t="str">
        <f>+F37</f>
        <v xml:space="preserve">No de Indicadores con ejecución menor a la programada </v>
      </c>
      <c r="E58" s="775">
        <f>+F54</f>
        <v>11</v>
      </c>
      <c r="F58" s="777"/>
      <c r="G58" s="778"/>
      <c r="H58" s="561"/>
    </row>
    <row r="59" spans="2:17" s="560" customFormat="1" ht="3" customHeight="1">
      <c r="C59" s="776"/>
      <c r="D59" s="774" t="str">
        <f>+G37</f>
        <v>No de indicadores sin programar en el periodo</v>
      </c>
      <c r="E59" s="775">
        <f>+G54</f>
        <v>16</v>
      </c>
      <c r="F59" s="777"/>
      <c r="G59" s="778"/>
      <c r="H59" s="561"/>
    </row>
    <row r="60" spans="2:17" s="560" customFormat="1" ht="10.199999999999999" customHeight="1">
      <c r="C60" s="561"/>
      <c r="D60" s="561"/>
      <c r="E60" s="562">
        <f>SUM(E27:E30)</f>
        <v>87</v>
      </c>
      <c r="F60" s="559"/>
      <c r="H60" s="561"/>
    </row>
    <row r="61" spans="2:17" ht="15.6" thickBot="1"/>
    <row r="62" spans="2:17" s="485" customFormat="1" ht="15.6">
      <c r="B62" s="1340" t="s">
        <v>744</v>
      </c>
      <c r="C62" s="1342" t="s">
        <v>885</v>
      </c>
      <c r="D62" s="1344" t="s">
        <v>886</v>
      </c>
      <c r="E62" s="1345"/>
      <c r="F62" s="1346"/>
      <c r="P62" s="473"/>
      <c r="Q62" s="473"/>
    </row>
    <row r="63" spans="2:17" ht="33" customHeight="1">
      <c r="B63" s="1341"/>
      <c r="C63" s="1343"/>
      <c r="D63" s="870" t="s">
        <v>753</v>
      </c>
      <c r="E63" s="870" t="s">
        <v>757</v>
      </c>
      <c r="F63" s="488" t="s">
        <v>761</v>
      </c>
      <c r="H63" s="473"/>
    </row>
    <row r="64" spans="2:17">
      <c r="B64" s="489" t="s">
        <v>718</v>
      </c>
      <c r="C64" s="490">
        <f>+'3.Resum Desemp Procesos POA T1'!C41</f>
        <v>4</v>
      </c>
      <c r="D64" s="490">
        <f>+'Rango indicadores'!E111</f>
        <v>4</v>
      </c>
      <c r="E64" s="490">
        <f>+'Rango indicadores'!F111</f>
        <v>0</v>
      </c>
      <c r="F64" s="491">
        <f>+'Rango indicadores'!G111</f>
        <v>0</v>
      </c>
      <c r="H64" s="473"/>
    </row>
    <row r="65" spans="2:8">
      <c r="B65" s="489" t="s">
        <v>720</v>
      </c>
      <c r="C65" s="490">
        <f>+'3.Resum Desemp Procesos POA T1'!C42</f>
        <v>4</v>
      </c>
      <c r="D65" s="490">
        <f>+'Rango indicadores'!E112</f>
        <v>4</v>
      </c>
      <c r="E65" s="490">
        <f>+'Rango indicadores'!F112</f>
        <v>0</v>
      </c>
      <c r="F65" s="491">
        <f>+'Rango indicadores'!G112</f>
        <v>0</v>
      </c>
      <c r="H65" s="473"/>
    </row>
    <row r="66" spans="2:8">
      <c r="B66" s="489" t="s">
        <v>721</v>
      </c>
      <c r="C66" s="490">
        <f>+'3.Resum Desemp Procesos POA T1'!C43</f>
        <v>7</v>
      </c>
      <c r="D66" s="490">
        <f>+'Rango indicadores'!E113</f>
        <v>7</v>
      </c>
      <c r="E66" s="490">
        <f>+'Rango indicadores'!F113</f>
        <v>0</v>
      </c>
      <c r="F66" s="491">
        <f>+'Rango indicadores'!G113</f>
        <v>0</v>
      </c>
      <c r="H66" s="473"/>
    </row>
    <row r="67" spans="2:8">
      <c r="B67" s="489" t="s">
        <v>722</v>
      </c>
      <c r="C67" s="490">
        <f>+'3.Resum Desemp Procesos POA T1'!C44</f>
        <v>2</v>
      </c>
      <c r="D67" s="490">
        <f>+'Rango indicadores'!E114</f>
        <v>2</v>
      </c>
      <c r="E67" s="490">
        <f>+'Rango indicadores'!F114</f>
        <v>0</v>
      </c>
      <c r="F67" s="491">
        <f>+'Rango indicadores'!G114</f>
        <v>0</v>
      </c>
      <c r="H67" s="473"/>
    </row>
    <row r="68" spans="2:8">
      <c r="B68" s="489" t="s">
        <v>733</v>
      </c>
      <c r="C68" s="490">
        <f>+'3.Resum Desemp Procesos POA T1'!C45</f>
        <v>3</v>
      </c>
      <c r="D68" s="490">
        <f>+'Rango indicadores'!E115</f>
        <v>20</v>
      </c>
      <c r="E68" s="490">
        <f>+'Rango indicadores'!F115</f>
        <v>0</v>
      </c>
      <c r="F68" s="491">
        <f>+'Rango indicadores'!G115</f>
        <v>0</v>
      </c>
      <c r="H68" s="473"/>
    </row>
    <row r="69" spans="2:8">
      <c r="B69" s="489" t="s">
        <v>723</v>
      </c>
      <c r="C69" s="490">
        <f>+'3.Resum Desemp Procesos POA T1'!C47</f>
        <v>20</v>
      </c>
      <c r="D69" s="490">
        <f>+'Rango indicadores'!E116</f>
        <v>7</v>
      </c>
      <c r="E69" s="490">
        <f>+'Rango indicadores'!F116</f>
        <v>0</v>
      </c>
      <c r="F69" s="491">
        <f>+'Rango indicadores'!G116</f>
        <v>0</v>
      </c>
      <c r="H69" s="473"/>
    </row>
    <row r="70" spans="2:8">
      <c r="B70" s="489" t="s">
        <v>858</v>
      </c>
      <c r="C70" s="490">
        <f>+'3.Resum Desemp Procesos POA T1'!C48</f>
        <v>7</v>
      </c>
      <c r="D70" s="490">
        <f>+'Rango indicadores'!E117</f>
        <v>8</v>
      </c>
      <c r="E70" s="490">
        <f>+'Rango indicadores'!F117</f>
        <v>0</v>
      </c>
      <c r="F70" s="491">
        <f>+'Rango indicadores'!G117</f>
        <v>0</v>
      </c>
      <c r="H70" s="473"/>
    </row>
    <row r="71" spans="2:8">
      <c r="B71" s="489" t="s">
        <v>726</v>
      </c>
      <c r="C71" s="490">
        <f>+'3.Resum Desemp Procesos POA T1'!C49</f>
        <v>8</v>
      </c>
      <c r="D71" s="490">
        <f>+'Rango indicadores'!E118</f>
        <v>7</v>
      </c>
      <c r="E71" s="490">
        <f>+'Rango indicadores'!F118</f>
        <v>0</v>
      </c>
      <c r="F71" s="491">
        <f>+'Rango indicadores'!G118</f>
        <v>1</v>
      </c>
      <c r="H71" s="473"/>
    </row>
    <row r="72" spans="2:8">
      <c r="B72" s="489" t="s">
        <v>727</v>
      </c>
      <c r="C72" s="490">
        <f>+'3.Resum Desemp Procesos POA T1'!C51</f>
        <v>8</v>
      </c>
      <c r="D72" s="490">
        <f>+'Rango indicadores'!E119</f>
        <v>2</v>
      </c>
      <c r="E72" s="490">
        <f>+'Rango indicadores'!F119</f>
        <v>0</v>
      </c>
      <c r="F72" s="491">
        <f>+'Rango indicadores'!G119</f>
        <v>0</v>
      </c>
      <c r="H72" s="473"/>
    </row>
    <row r="73" spans="2:8">
      <c r="B73" s="489" t="s">
        <v>728</v>
      </c>
      <c r="C73" s="490">
        <f>+'3.Resum Desemp Procesos POA T1'!C52</f>
        <v>2</v>
      </c>
      <c r="D73" s="490">
        <f>+'Rango indicadores'!E120</f>
        <v>3</v>
      </c>
      <c r="E73" s="490">
        <f>+'Rango indicadores'!F120</f>
        <v>0</v>
      </c>
      <c r="F73" s="491">
        <f>+'Rango indicadores'!G120</f>
        <v>0</v>
      </c>
      <c r="H73" s="473"/>
    </row>
    <row r="74" spans="2:8">
      <c r="B74" s="489" t="s">
        <v>729</v>
      </c>
      <c r="C74" s="490">
        <f>+'3.Resum Desemp Procesos POA T1'!C53</f>
        <v>3</v>
      </c>
      <c r="D74" s="490">
        <f>+'Rango indicadores'!E121</f>
        <v>1</v>
      </c>
      <c r="E74" s="490">
        <f>+'Rango indicadores'!F121</f>
        <v>3</v>
      </c>
      <c r="F74" s="491">
        <f>+'Rango indicadores'!G121</f>
        <v>0</v>
      </c>
      <c r="H74" s="473"/>
    </row>
    <row r="75" spans="2:8">
      <c r="B75" s="489" t="s">
        <v>730</v>
      </c>
      <c r="C75" s="490">
        <f>+'3.Resum Desemp Procesos POA T1'!C54</f>
        <v>4</v>
      </c>
      <c r="D75" s="490">
        <f>+'Rango indicadores'!E122</f>
        <v>3</v>
      </c>
      <c r="E75" s="490">
        <f>+'Rango indicadores'!F122</f>
        <v>1</v>
      </c>
      <c r="F75" s="491">
        <f>+'Rango indicadores'!G122</f>
        <v>0</v>
      </c>
      <c r="H75" s="473"/>
    </row>
    <row r="76" spans="2:8">
      <c r="B76" s="489" t="s">
        <v>731</v>
      </c>
      <c r="C76" s="490">
        <f>+'3.Resum Desemp Procesos POA T1'!C55</f>
        <v>4</v>
      </c>
      <c r="D76" s="490">
        <f>+'Rango indicadores'!E123</f>
        <v>5</v>
      </c>
      <c r="E76" s="490">
        <f>+'Rango indicadores'!F123</f>
        <v>0</v>
      </c>
      <c r="F76" s="491">
        <f>+'Rango indicadores'!G123</f>
        <v>0</v>
      </c>
      <c r="H76" s="473"/>
    </row>
    <row r="77" spans="2:8">
      <c r="B77" s="489" t="s">
        <v>732</v>
      </c>
      <c r="C77" s="490">
        <f>+'3.Resum Desemp Procesos POA T1'!C56</f>
        <v>5</v>
      </c>
      <c r="D77" s="490">
        <f>+'Rango indicadores'!E124</f>
        <v>3</v>
      </c>
      <c r="E77" s="490">
        <f>+'Rango indicadores'!F124</f>
        <v>0</v>
      </c>
      <c r="F77" s="491">
        <f>+'Rango indicadores'!G124</f>
        <v>0</v>
      </c>
      <c r="H77" s="473"/>
    </row>
    <row r="78" spans="2:8">
      <c r="B78" s="489" t="s">
        <v>734</v>
      </c>
      <c r="C78" s="490">
        <f>+'3.Resum Desemp Procesos POA T1'!C58</f>
        <v>3</v>
      </c>
      <c r="D78" s="490">
        <f>+'Rango indicadores'!E125</f>
        <v>3</v>
      </c>
      <c r="E78" s="490">
        <f>+'Rango indicadores'!F125</f>
        <v>0</v>
      </c>
      <c r="F78" s="491">
        <f>+'Rango indicadores'!G125</f>
        <v>0</v>
      </c>
      <c r="H78" s="473"/>
    </row>
    <row r="79" spans="2:8">
      <c r="B79" s="489" t="s">
        <v>735</v>
      </c>
      <c r="C79" s="490">
        <f>+'3.Resum Desemp Procesos POA T1'!C59</f>
        <v>3</v>
      </c>
      <c r="D79" s="490">
        <f>+'Rango indicadores'!E126</f>
        <v>3</v>
      </c>
      <c r="E79" s="490">
        <f>+'Rango indicadores'!F126</f>
        <v>0</v>
      </c>
      <c r="F79" s="491">
        <f>+'Rango indicadores'!G126</f>
        <v>0</v>
      </c>
      <c r="H79" s="473"/>
    </row>
    <row r="80" spans="2:8" ht="16.2" thickBot="1">
      <c r="B80" s="492" t="s">
        <v>887</v>
      </c>
      <c r="C80" s="493">
        <f>SUM(C64:C79)</f>
        <v>87</v>
      </c>
      <c r="D80" s="493">
        <f>SUM(D64:D79)</f>
        <v>82</v>
      </c>
      <c r="E80" s="493">
        <f>SUM(E64:E79)</f>
        <v>4</v>
      </c>
      <c r="F80" s="494">
        <f>SUM(F64:F79)</f>
        <v>1</v>
      </c>
      <c r="H80" s="473"/>
    </row>
    <row r="81" spans="8:8">
      <c r="H81" s="473"/>
    </row>
    <row r="82" spans="8:8">
      <c r="H82" s="473"/>
    </row>
    <row r="84" spans="8:8" ht="15" customHeight="1"/>
  </sheetData>
  <mergeCells count="13">
    <mergeCell ref="B2:B3"/>
    <mergeCell ref="C2:G2"/>
    <mergeCell ref="C3:G3"/>
    <mergeCell ref="B4:F4"/>
    <mergeCell ref="B7:B8"/>
    <mergeCell ref="C7:G7"/>
    <mergeCell ref="D62:F62"/>
    <mergeCell ref="D34:E34"/>
    <mergeCell ref="C35:G35"/>
    <mergeCell ref="B35:B37"/>
    <mergeCell ref="E36:F36"/>
    <mergeCell ref="B62:B63"/>
    <mergeCell ref="C62:C6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rgb="FF0070C0"/>
  </sheetPr>
  <dimension ref="B1:V116"/>
  <sheetViews>
    <sheetView showGridLines="0" topLeftCell="A28" zoomScale="70" zoomScaleNormal="70" workbookViewId="0">
      <selection activeCell="G48" sqref="G48"/>
    </sheetView>
  </sheetViews>
  <sheetFormatPr baseColWidth="10" defaultColWidth="11.44140625" defaultRowHeight="15" customHeight="1" zeroHeight="1"/>
  <cols>
    <col min="1" max="1" width="3.6640625" style="473" customWidth="1"/>
    <col min="2" max="2" width="47.33203125" style="473" customWidth="1"/>
    <col min="3" max="3" width="20.33203125" style="475" customWidth="1"/>
    <col min="4" max="4" width="18.88671875" style="475" customWidth="1"/>
    <col min="5" max="5" width="18.88671875" style="475" hidden="1" customWidth="1"/>
    <col min="6" max="6" width="19.44140625" style="473" customWidth="1"/>
    <col min="7" max="7" width="47" style="473" customWidth="1"/>
    <col min="8" max="15" width="11.44140625" style="473"/>
    <col min="16" max="16" width="62.44140625" style="473" bestFit="1" customWidth="1"/>
    <col min="17" max="17" width="40" style="473" customWidth="1"/>
    <col min="18" max="16355" width="11.44140625" style="473"/>
    <col min="16356" max="16356" width="1.44140625" style="473" customWidth="1"/>
    <col min="16357" max="16384" width="2.88671875" style="473" customWidth="1"/>
  </cols>
  <sheetData>
    <row r="1" spans="2:22" s="413" customFormat="1">
      <c r="D1" s="416"/>
      <c r="E1" s="414"/>
      <c r="F1" s="415"/>
      <c r="G1" s="415"/>
      <c r="H1" s="415"/>
      <c r="I1" s="415"/>
      <c r="J1" s="415"/>
      <c r="K1" s="415"/>
      <c r="L1" s="415"/>
      <c r="V1" s="416"/>
    </row>
    <row r="2" spans="2:22" s="413" customFormat="1" ht="28.95" customHeight="1">
      <c r="B2" s="1349" t="s">
        <v>883</v>
      </c>
      <c r="C2" s="1368" t="s">
        <v>892</v>
      </c>
      <c r="D2" s="1368"/>
      <c r="E2" s="1368"/>
      <c r="F2" s="1368"/>
      <c r="G2" s="1368"/>
      <c r="H2" s="1368"/>
      <c r="I2" s="467"/>
      <c r="J2" s="467"/>
      <c r="K2" s="467"/>
      <c r="L2" s="467"/>
      <c r="M2" s="467"/>
      <c r="N2" s="517"/>
      <c r="O2" s="517"/>
      <c r="P2" s="517"/>
      <c r="Q2" s="517"/>
      <c r="R2" s="517"/>
      <c r="S2" s="517"/>
      <c r="T2" s="517"/>
      <c r="U2" s="517"/>
      <c r="V2" s="416"/>
    </row>
    <row r="3" spans="2:22" s="413" customFormat="1" ht="17.399999999999999" customHeight="1">
      <c r="B3" s="1349"/>
      <c r="C3" s="1369" t="s">
        <v>1144</v>
      </c>
      <c r="D3" s="1369"/>
      <c r="E3" s="1369"/>
      <c r="F3" s="1369"/>
      <c r="G3" s="1369"/>
      <c r="H3" s="1369"/>
      <c r="I3" s="466"/>
      <c r="J3" s="466"/>
      <c r="K3" s="466"/>
      <c r="L3" s="466"/>
      <c r="M3" s="466"/>
      <c r="N3" s="516"/>
      <c r="O3" s="516"/>
      <c r="P3" s="516"/>
      <c r="Q3" s="516"/>
      <c r="R3" s="516"/>
      <c r="S3" s="516"/>
      <c r="T3" s="516"/>
      <c r="U3" s="516"/>
      <c r="V3" s="417"/>
    </row>
    <row r="4" spans="2:22" s="413" customFormat="1" ht="6" customHeight="1">
      <c r="B4" s="500"/>
      <c r="D4" s="1370"/>
      <c r="E4" s="1370"/>
      <c r="F4" s="1370"/>
      <c r="G4" s="1370"/>
      <c r="H4" s="1370"/>
      <c r="I4" s="458"/>
      <c r="J4" s="458"/>
      <c r="K4" s="458"/>
      <c r="L4" s="458"/>
      <c r="M4" s="458"/>
      <c r="N4" s="518"/>
      <c r="O4" s="518"/>
      <c r="P4" s="518"/>
      <c r="Q4" s="518"/>
      <c r="R4" s="518"/>
      <c r="S4" s="518"/>
      <c r="T4" s="518"/>
      <c r="U4" s="518"/>
      <c r="V4" s="418"/>
    </row>
    <row r="5" spans="2:22" s="413" customFormat="1" ht="19.5" customHeight="1">
      <c r="B5" s="863" t="str">
        <f>+'2.Infor Detallado Desempeño POA'!C7</f>
        <v xml:space="preserve">Fecha de corte: </v>
      </c>
      <c r="C5" s="890">
        <f>'2.Infor Detallado Desempeño POA'!D7</f>
        <v>44926</v>
      </c>
      <c r="D5" s="459"/>
      <c r="E5" s="419"/>
      <c r="V5" s="416"/>
    </row>
    <row r="6" spans="2:22" ht="1.95" customHeight="1">
      <c r="B6" s="476"/>
    </row>
    <row r="7" spans="2:22" ht="8.4" customHeight="1">
      <c r="B7" s="476"/>
    </row>
    <row r="8" spans="2:22" ht="54" customHeight="1">
      <c r="B8" s="521" t="s">
        <v>744</v>
      </c>
      <c r="C8" s="522" t="s">
        <v>1145</v>
      </c>
      <c r="D8" s="477"/>
      <c r="E8" s="473"/>
    </row>
    <row r="9" spans="2:22">
      <c r="B9" s="478" t="s">
        <v>718</v>
      </c>
      <c r="C9" s="479">
        <f>+F41</f>
        <v>0.30107142857142855</v>
      </c>
      <c r="D9" s="480"/>
      <c r="E9" s="473"/>
    </row>
    <row r="10" spans="2:22">
      <c r="B10" s="478" t="s">
        <v>720</v>
      </c>
      <c r="C10" s="479">
        <f>+F42</f>
        <v>0.30921052631578949</v>
      </c>
      <c r="D10" s="480"/>
      <c r="E10" s="473"/>
      <c r="H10" s="531"/>
      <c r="I10" s="532" t="s">
        <v>1146</v>
      </c>
    </row>
    <row r="11" spans="2:22">
      <c r="B11" s="478" t="s">
        <v>721</v>
      </c>
      <c r="C11" s="479">
        <f>+F43</f>
        <v>0.17500000000000002</v>
      </c>
      <c r="D11" s="480"/>
      <c r="E11" s="473"/>
      <c r="H11" s="770"/>
      <c r="I11" s="532" t="s">
        <v>899</v>
      </c>
    </row>
    <row r="12" spans="2:22">
      <c r="B12" s="478" t="s">
        <v>722</v>
      </c>
      <c r="C12" s="479">
        <f>+F44</f>
        <v>0.25</v>
      </c>
      <c r="D12" s="480"/>
      <c r="E12" s="473"/>
      <c r="H12" s="533"/>
      <c r="I12" s="532" t="s">
        <v>900</v>
      </c>
    </row>
    <row r="13" spans="2:22">
      <c r="B13" s="478" t="s">
        <v>733</v>
      </c>
      <c r="C13" s="479">
        <f>+F45</f>
        <v>0.19990740740740742</v>
      </c>
      <c r="D13" s="481"/>
      <c r="E13" s="473"/>
      <c r="H13" s="534"/>
      <c r="I13" s="532" t="s">
        <v>901</v>
      </c>
    </row>
    <row r="14" spans="2:22">
      <c r="B14" s="478" t="s">
        <v>723</v>
      </c>
      <c r="C14" s="479">
        <f>+F47</f>
        <v>0.22556159419572125</v>
      </c>
      <c r="D14" s="480"/>
      <c r="E14" s="473"/>
    </row>
    <row r="15" spans="2:22">
      <c r="B15" s="478" t="s">
        <v>858</v>
      </c>
      <c r="C15" s="479">
        <f>+F48</f>
        <v>0.11701830507800658</v>
      </c>
      <c r="D15" s="480"/>
      <c r="E15" s="473"/>
    </row>
    <row r="16" spans="2:22">
      <c r="B16" s="478" t="s">
        <v>726</v>
      </c>
      <c r="C16" s="479">
        <f>+F49</f>
        <v>0.14054166666666668</v>
      </c>
      <c r="D16" s="480"/>
      <c r="E16" s="473"/>
    </row>
    <row r="17" spans="2:17">
      <c r="B17" s="478" t="s">
        <v>727</v>
      </c>
      <c r="C17" s="899">
        <f t="shared" ref="C17:C22" si="0">+F51</f>
        <v>0.30672285820578232</v>
      </c>
      <c r="D17" s="480"/>
      <c r="E17" s="473"/>
    </row>
    <row r="18" spans="2:17">
      <c r="B18" s="478" t="s">
        <v>728</v>
      </c>
      <c r="C18" s="479">
        <f t="shared" si="0"/>
        <v>0.26576460481099656</v>
      </c>
      <c r="D18" s="480"/>
      <c r="E18" s="473"/>
    </row>
    <row r="19" spans="2:17">
      <c r="B19" s="478" t="s">
        <v>729</v>
      </c>
      <c r="C19" s="479">
        <f t="shared" si="0"/>
        <v>0.22459649122807021</v>
      </c>
      <c r="D19" s="480"/>
      <c r="E19" s="473"/>
    </row>
    <row r="20" spans="2:17">
      <c r="B20" s="478" t="s">
        <v>730</v>
      </c>
      <c r="C20" s="899">
        <f t="shared" si="0"/>
        <v>0.31874999999999998</v>
      </c>
      <c r="D20" s="480"/>
      <c r="E20" s="473"/>
    </row>
    <row r="21" spans="2:17">
      <c r="B21" s="478" t="s">
        <v>731</v>
      </c>
      <c r="C21" s="479">
        <f t="shared" si="0"/>
        <v>0.24320339912280703</v>
      </c>
      <c r="D21" s="480"/>
      <c r="E21" s="473"/>
    </row>
    <row r="22" spans="2:17">
      <c r="B22" s="478" t="s">
        <v>732</v>
      </c>
      <c r="C22" s="479">
        <f t="shared" si="0"/>
        <v>0.25</v>
      </c>
      <c r="D22" s="480"/>
      <c r="E22" s="473"/>
    </row>
    <row r="23" spans="2:17">
      <c r="B23" s="478" t="s">
        <v>734</v>
      </c>
      <c r="C23" s="899">
        <f>+F58</f>
        <v>0.32222222222222219</v>
      </c>
      <c r="D23" s="480"/>
      <c r="E23" s="473"/>
    </row>
    <row r="24" spans="2:17" ht="15.6" thickBot="1">
      <c r="B24" s="482" t="s">
        <v>735</v>
      </c>
      <c r="C24" s="479">
        <f>+F59</f>
        <v>0.11666666666666665</v>
      </c>
      <c r="D24" s="480"/>
      <c r="E24" s="473"/>
    </row>
    <row r="25" spans="2:17" ht="16.2" thickBot="1">
      <c r="B25" s="483" t="s">
        <v>884</v>
      </c>
      <c r="C25" s="806">
        <f>+F62</f>
        <v>0.22392393277786093</v>
      </c>
      <c r="D25" s="484"/>
      <c r="E25" s="473"/>
    </row>
    <row r="26" spans="2:17" s="485" customFormat="1">
      <c r="C26" s="486"/>
      <c r="D26" s="486"/>
      <c r="E26" s="486"/>
      <c r="P26" s="473"/>
      <c r="Q26" s="473"/>
    </row>
    <row r="27" spans="2:17" s="485" customFormat="1" ht="56.25" customHeight="1" thickBot="1">
      <c r="B27" s="485" t="s">
        <v>674</v>
      </c>
      <c r="C27" s="486"/>
      <c r="P27" s="473"/>
      <c r="Q27" s="473"/>
    </row>
    <row r="28" spans="2:17" ht="57" customHeight="1">
      <c r="B28" s="1371" t="s">
        <v>924</v>
      </c>
      <c r="C28" s="1373" t="s">
        <v>856</v>
      </c>
      <c r="D28" s="1375" t="s">
        <v>925</v>
      </c>
      <c r="E28" s="1376"/>
      <c r="F28" s="1377"/>
      <c r="H28" s="475"/>
    </row>
    <row r="29" spans="2:17" ht="54.6" customHeight="1" thickBot="1">
      <c r="B29" s="1372"/>
      <c r="C29" s="1374"/>
      <c r="D29" s="594" t="str">
        <f>D39</f>
        <v>Cuarto Trimestre</v>
      </c>
      <c r="E29" s="598" t="s">
        <v>926</v>
      </c>
      <c r="F29" s="600" t="s">
        <v>918</v>
      </c>
      <c r="H29" s="475"/>
    </row>
    <row r="30" spans="2:17" ht="29.4" customHeight="1">
      <c r="B30" s="581" t="s">
        <v>919</v>
      </c>
      <c r="C30" s="564">
        <f>+C46</f>
        <v>20</v>
      </c>
      <c r="D30" s="595">
        <f>IFERROR(AVERAGE(D41:D45),0)</f>
        <v>1.1065555555555555</v>
      </c>
      <c r="E30" s="601">
        <f>IFERROR(AVERAGE(E41:E45),0)</f>
        <v>1.1065555555555555</v>
      </c>
      <c r="F30" s="768">
        <f>IFERROR(AVERAGE(F41:F45),0)</f>
        <v>0.24703787245892511</v>
      </c>
      <c r="H30" s="475"/>
    </row>
    <row r="31" spans="2:17" ht="36.6" customHeight="1">
      <c r="B31" s="566" t="s">
        <v>920</v>
      </c>
      <c r="C31" s="565">
        <f>+C50</f>
        <v>35</v>
      </c>
      <c r="D31" s="596">
        <f>IFERROR(AVERAGE(D47:D49),0)</f>
        <v>1.1236796504598734</v>
      </c>
      <c r="E31" s="601">
        <f>IFERROR(AVERAGE(E47:E49),0)</f>
        <v>1.1236796504598734</v>
      </c>
      <c r="F31" s="768">
        <f>IFERROR(AVERAGE(F47:F49),0)</f>
        <v>0.1610405219801315</v>
      </c>
      <c r="H31" s="475"/>
    </row>
    <row r="32" spans="2:17" ht="41.4" customHeight="1">
      <c r="B32" s="566" t="s">
        <v>921</v>
      </c>
      <c r="C32" s="565">
        <f>+C57</f>
        <v>26</v>
      </c>
      <c r="D32" s="596">
        <f>IFERROR(AVERAGE(D51:D56),0)</f>
        <v>1.0503230046138203</v>
      </c>
      <c r="E32" s="601">
        <f>IFERROR(AVERAGE(E51:E56),0)</f>
        <v>1.0503230046138203</v>
      </c>
      <c r="F32" s="768">
        <f>IFERROR(AVERAGE(F51:F56),0)</f>
        <v>0.26817289222794272</v>
      </c>
      <c r="H32" s="475"/>
    </row>
    <row r="33" spans="2:22" ht="40.799999999999997">
      <c r="B33" s="566" t="s">
        <v>922</v>
      </c>
      <c r="C33" s="565">
        <f>+C60</f>
        <v>6</v>
      </c>
      <c r="D33" s="597">
        <f>IFERROR(AVERAGE(D58:D59),0)</f>
        <v>1.9094202898550723</v>
      </c>
      <c r="E33" s="602">
        <f>IFERROR(AVERAGE(E58:E59),0)</f>
        <v>1.9094202898550723</v>
      </c>
      <c r="F33" s="769">
        <f>IFERROR(AVERAGE(F58:F59),0)</f>
        <v>0.21944444444444441</v>
      </c>
      <c r="H33" s="475"/>
    </row>
    <row r="34" spans="2:22" ht="23.4">
      <c r="B34" s="568" t="s">
        <v>923</v>
      </c>
      <c r="C34" s="574">
        <f>SUM(C30:C33)</f>
        <v>87</v>
      </c>
      <c r="D34" s="567">
        <f>AVERAGE(D30:D33)</f>
        <v>1.2974946251210804</v>
      </c>
      <c r="E34" s="599">
        <f>AVERAGE(E30:E33)</f>
        <v>1.2974946251210804</v>
      </c>
      <c r="F34" s="599">
        <f>AVERAGE(F30:F33)</f>
        <v>0.22392393277786093</v>
      </c>
      <c r="H34" s="475"/>
    </row>
    <row r="35" spans="2:22" s="572" customFormat="1" ht="23.4">
      <c r="B35" s="569"/>
      <c r="C35" s="570"/>
      <c r="D35" s="571"/>
      <c r="E35" s="571"/>
      <c r="H35" s="573"/>
    </row>
    <row r="36" spans="2:22" s="485" customFormat="1">
      <c r="C36" s="486"/>
      <c r="P36" s="473"/>
      <c r="Q36" s="473"/>
    </row>
    <row r="37" spans="2:22" s="413" customFormat="1" ht="19.5" customHeight="1" thickBot="1">
      <c r="B37" s="863" t="str">
        <f>+B5</f>
        <v xml:space="preserve">Fecha de corte: </v>
      </c>
      <c r="C37" s="890">
        <f>+C5</f>
        <v>44926</v>
      </c>
      <c r="D37" s="419"/>
      <c r="E37" s="419"/>
      <c r="V37" s="416"/>
    </row>
    <row r="38" spans="2:22" s="413" customFormat="1" ht="40.950000000000003" customHeight="1">
      <c r="B38" s="1360" t="s">
        <v>744</v>
      </c>
      <c r="C38" s="1362" t="s">
        <v>856</v>
      </c>
      <c r="D38" s="1362" t="s">
        <v>894</v>
      </c>
      <c r="E38" s="1362"/>
      <c r="F38" s="1364"/>
      <c r="G38" s="414"/>
      <c r="H38" s="414"/>
      <c r="I38" s="414"/>
      <c r="U38" s="416"/>
    </row>
    <row r="39" spans="2:22" s="413" customFormat="1" ht="49.5" customHeight="1" thickBot="1">
      <c r="B39" s="1361"/>
      <c r="C39" s="1363"/>
      <c r="D39" s="582" t="str">
        <f>+'2.Infor Detallado Desempeño POA'!K11</f>
        <v>Cuarto Trimestre</v>
      </c>
      <c r="E39" s="582" t="str">
        <f>+'2.Infor Detallado Desempeño POA'!L11</f>
        <v>Acumulado
Corte 
31/03/2022</v>
      </c>
      <c r="F39" s="583" t="str">
        <f>+'2.Infor Detallado Desempeño POA'!M11</f>
        <v>Anual</v>
      </c>
      <c r="G39" s="501"/>
      <c r="H39" s="414"/>
      <c r="I39" s="414"/>
      <c r="J39" s="414"/>
      <c r="V39" s="416"/>
    </row>
    <row r="40" spans="2:22" s="577" customFormat="1" ht="6" customHeight="1" thickBot="1">
      <c r="B40" s="1365"/>
      <c r="C40" s="1366"/>
      <c r="D40" s="1366"/>
      <c r="E40" s="1366"/>
      <c r="F40" s="1367"/>
      <c r="G40" s="575"/>
      <c r="H40" s="576"/>
      <c r="I40" s="576"/>
      <c r="J40" s="576"/>
      <c r="V40" s="578"/>
    </row>
    <row r="41" spans="2:22" s="413" customFormat="1">
      <c r="B41" s="420" t="s">
        <v>718</v>
      </c>
      <c r="C41" s="421">
        <f>+'Rango indicadores'!D111</f>
        <v>4</v>
      </c>
      <c r="D41" s="422">
        <f>IF(AND('2.Infor Detallado Desempeño POA'!K16&gt;0),'2.Infor Detallado Desempeño POA'!K16,"No Programado")</f>
        <v>1</v>
      </c>
      <c r="E41" s="422">
        <f>IF(AND('2.Infor Detallado Desempeño POA'!L16&gt;0),'2.Infor Detallado Desempeño POA'!L16,"No Programado")</f>
        <v>1</v>
      </c>
      <c r="F41" s="422">
        <f>IF(AND('2.Infor Detallado Desempeño POA'!M16&gt;0),'2.Infor Detallado Desempeño POA'!M16,"No Programado")</f>
        <v>0.30107142857142855</v>
      </c>
      <c r="G41" s="423"/>
      <c r="H41" s="423"/>
      <c r="I41" s="423"/>
      <c r="J41" s="423"/>
      <c r="V41" s="416"/>
    </row>
    <row r="42" spans="2:22" s="413" customFormat="1">
      <c r="B42" s="424" t="s">
        <v>720</v>
      </c>
      <c r="C42" s="421">
        <f>+'Rango indicadores'!D112</f>
        <v>4</v>
      </c>
      <c r="D42" s="422">
        <f>IF(AND('2.Infor Detallado Desempeño POA'!K25&gt;0),'2.Infor Detallado Desempeño POA'!K25,"No Programado")</f>
        <v>1.5</v>
      </c>
      <c r="E42" s="422">
        <f>IF(AND('2.Infor Detallado Desempeño POA'!L25&gt;0),'2.Infor Detallado Desempeño POA'!L25,"No Programado")</f>
        <v>1.5</v>
      </c>
      <c r="F42" s="422">
        <f>IF(AND('2.Infor Detallado Desempeño POA'!M25&gt;0),'2.Infor Detallado Desempeño POA'!M25,"No Programado")</f>
        <v>0.30921052631578949</v>
      </c>
      <c r="G42" s="423"/>
      <c r="H42" s="423"/>
      <c r="I42" s="423"/>
      <c r="J42" s="423"/>
      <c r="V42" s="416"/>
    </row>
    <row r="43" spans="2:22" s="413" customFormat="1">
      <c r="B43" s="424" t="s">
        <v>721</v>
      </c>
      <c r="C43" s="421">
        <f>+'Rango indicadores'!D113</f>
        <v>7</v>
      </c>
      <c r="D43" s="422">
        <f>IF(AND('2.Infor Detallado Desempeño POA'!K37&gt;0),'2.Infor Detallado Desempeño POA'!K37,"No Programado")</f>
        <v>1</v>
      </c>
      <c r="E43" s="422">
        <f>IF(AND('2.Infor Detallado Desempeño POA'!L37&gt;0),'2.Infor Detallado Desempeño POA'!L37,"No Programado")</f>
        <v>1</v>
      </c>
      <c r="F43" s="422">
        <f>IF(AND('2.Infor Detallado Desempeño POA'!M37&gt;0),'2.Infor Detallado Desempeño POA'!M37,"No Programado")</f>
        <v>0.17500000000000002</v>
      </c>
      <c r="G43" s="423"/>
      <c r="H43" s="423"/>
      <c r="I43" s="423"/>
      <c r="J43" s="423"/>
      <c r="V43" s="416"/>
    </row>
    <row r="44" spans="2:22" s="413" customFormat="1">
      <c r="B44" s="424" t="s">
        <v>722</v>
      </c>
      <c r="C44" s="421">
        <f>+'Rango indicadores'!D114</f>
        <v>2</v>
      </c>
      <c r="D44" s="422">
        <f>IF(AND('2.Infor Detallado Desempeño POA'!K44&gt;0),'2.Infor Detallado Desempeño POA'!K44,"No Programado")</f>
        <v>1</v>
      </c>
      <c r="E44" s="422">
        <f>IF(AND('2.Infor Detallado Desempeño POA'!L44&gt;0),'2.Infor Detallado Desempeño POA'!L44,"No Programado")</f>
        <v>1</v>
      </c>
      <c r="F44" s="422">
        <f>IF(AND('2.Infor Detallado Desempeño POA'!M44&gt;0),'2.Infor Detallado Desempeño POA'!M44,"No Programado")</f>
        <v>0.25</v>
      </c>
      <c r="G44" s="423"/>
      <c r="H44" s="423"/>
      <c r="I44" s="423"/>
      <c r="J44" s="423"/>
      <c r="V44" s="416"/>
    </row>
    <row r="45" spans="2:22" s="413" customFormat="1" ht="15.6" thickBot="1">
      <c r="B45" s="425" t="s">
        <v>733</v>
      </c>
      <c r="C45" s="421">
        <f>+'Rango indicadores'!D124</f>
        <v>3</v>
      </c>
      <c r="D45" s="422">
        <f>IF(AND('2.Infor Detallado Desempeño POA'!K52&gt;0),'2.Infor Detallado Desempeño POA'!K52,"No Programado")</f>
        <v>1.0327777777777778</v>
      </c>
      <c r="E45" s="422">
        <f>IF(AND('2.Infor Detallado Desempeño POA'!L52&gt;0),'2.Infor Detallado Desempeño POA'!L52,"No Programado")</f>
        <v>1.0327777777777778</v>
      </c>
      <c r="F45" s="422">
        <f>IF(AND('2.Infor Detallado Desempeño POA'!M52&gt;0),'2.Infor Detallado Desempeño POA'!M52,"No Programado")</f>
        <v>0.19990740740740742</v>
      </c>
      <c r="G45" s="423"/>
      <c r="H45" s="423"/>
      <c r="I45" s="423"/>
      <c r="J45" s="423"/>
      <c r="V45" s="416"/>
    </row>
    <row r="46" spans="2:22" s="413" customFormat="1" ht="34.950000000000003" customHeight="1" thickBot="1">
      <c r="B46" s="584" t="s">
        <v>895</v>
      </c>
      <c r="C46" s="585">
        <f>SUM(C41:C45)</f>
        <v>20</v>
      </c>
      <c r="D46" s="586">
        <f>IFERROR(AVERAGE(D41:D45),0)</f>
        <v>1.1065555555555555</v>
      </c>
      <c r="E46" s="586">
        <f>IFERROR(AVERAGE(E41:E45),0)</f>
        <v>1.1065555555555555</v>
      </c>
      <c r="F46" s="586">
        <f>IFERROR(AVERAGE(F41:F45),0)</f>
        <v>0.24703787245892511</v>
      </c>
      <c r="G46" s="426"/>
      <c r="H46" s="423"/>
      <c r="I46" s="423"/>
      <c r="J46" s="423"/>
      <c r="V46" s="416"/>
    </row>
    <row r="47" spans="2:22" s="413" customFormat="1">
      <c r="B47" s="420" t="s">
        <v>723</v>
      </c>
      <c r="C47" s="421">
        <f>+'Rango indicadores'!D115</f>
        <v>20</v>
      </c>
      <c r="D47" s="422">
        <f>IF(AND('2.Infor Detallado Desempeño POA'!K77&gt;0),'2.Infor Detallado Desempeño POA'!K77,"No Programado")</f>
        <v>1.3512123931140376</v>
      </c>
      <c r="E47" s="422">
        <f>IF(AND('2.Infor Detallado Desempeño POA'!L77&gt;0),'2.Infor Detallado Desempeño POA'!L77,"No Programado")</f>
        <v>1.3512123931140376</v>
      </c>
      <c r="F47" s="422">
        <f>IF(AND('2.Infor Detallado Desempeño POA'!M77&gt;0),'2.Infor Detallado Desempeño POA'!M77,"No Programado")</f>
        <v>0.22556159419572125</v>
      </c>
      <c r="G47" s="423"/>
      <c r="H47" s="423"/>
      <c r="I47" s="423"/>
      <c r="J47" s="423"/>
      <c r="V47" s="416"/>
    </row>
    <row r="48" spans="2:22" s="413" customFormat="1">
      <c r="B48" s="424" t="s">
        <v>858</v>
      </c>
      <c r="C48" s="421">
        <f>+'Rango indicadores'!D116</f>
        <v>7</v>
      </c>
      <c r="D48" s="422">
        <f>IF(AND('2.Infor Detallado Desempeño POA'!K89&gt;0),'2.Infor Detallado Desempeño POA'!K89,"No Programado")</f>
        <v>1.2113821138211383</v>
      </c>
      <c r="E48" s="422">
        <f>IF(AND('2.Infor Detallado Desempeño POA'!L89&gt;0),'2.Infor Detallado Desempeño POA'!L89,"No Programado")</f>
        <v>1.2113821138211383</v>
      </c>
      <c r="F48" s="422">
        <f>IF(AND('2.Infor Detallado Desempeño POA'!M89&gt;0),'2.Infor Detallado Desempeño POA'!M89,"No Programado")</f>
        <v>0.11701830507800658</v>
      </c>
      <c r="G48" s="423"/>
      <c r="H48" s="423"/>
      <c r="I48" s="423"/>
      <c r="J48" s="423"/>
      <c r="V48" s="416"/>
    </row>
    <row r="49" spans="2:22" s="413" customFormat="1" ht="15.6" thickBot="1">
      <c r="B49" s="425" t="s">
        <v>726</v>
      </c>
      <c r="C49" s="421">
        <f>+'Rango indicadores'!D117</f>
        <v>8</v>
      </c>
      <c r="D49" s="422">
        <f>IF(AND('2.Infor Detallado Desempeño POA'!K102&gt;0),'2.Infor Detallado Desempeño POA'!K102,"No Programado")</f>
        <v>0.80844444444444452</v>
      </c>
      <c r="E49" s="422">
        <f>IF(AND('2.Infor Detallado Desempeño POA'!L102&gt;0),'2.Infor Detallado Desempeño POA'!L102,"No Programado")</f>
        <v>0.80844444444444452</v>
      </c>
      <c r="F49" s="422">
        <f>IF(AND('2.Infor Detallado Desempeño POA'!M102&gt;0),'2.Infor Detallado Desempeño POA'!M102,"No Programado")</f>
        <v>0.14054166666666668</v>
      </c>
      <c r="G49" s="423"/>
      <c r="H49" s="423"/>
      <c r="I49" s="423"/>
      <c r="J49" s="423"/>
      <c r="V49" s="416"/>
    </row>
    <row r="50" spans="2:22" s="413" customFormat="1" ht="34.950000000000003" customHeight="1" thickBot="1">
      <c r="B50" s="584" t="s">
        <v>896</v>
      </c>
      <c r="C50" s="585">
        <f>SUM(C47:C49)</f>
        <v>35</v>
      </c>
      <c r="D50" s="586">
        <f>IFERROR(AVERAGE(D47:D49),0)</f>
        <v>1.1236796504598734</v>
      </c>
      <c r="E50" s="586">
        <f>IFERROR(AVERAGE(E47:E49),0)</f>
        <v>1.1236796504598734</v>
      </c>
      <c r="F50" s="586">
        <f>IFERROR(AVERAGE(F47:F49),0)</f>
        <v>0.1610405219801315</v>
      </c>
      <c r="G50" s="426"/>
      <c r="H50" s="423"/>
      <c r="I50" s="423"/>
      <c r="J50" s="423"/>
      <c r="V50" s="416"/>
    </row>
    <row r="51" spans="2:22" s="413" customFormat="1">
      <c r="B51" s="420" t="s">
        <v>727</v>
      </c>
      <c r="C51" s="421">
        <f>+'Rango indicadores'!D118</f>
        <v>8</v>
      </c>
      <c r="D51" s="422">
        <f>IF(AND('2.Infor Detallado Desempeño POA'!K115&gt;0),'2.Infor Detallado Desempeño POA'!K115,"No Programado")</f>
        <v>0.9969414328231293</v>
      </c>
      <c r="E51" s="422">
        <f>IF(AND('2.Infor Detallado Desempeño POA'!L115&gt;0),'2.Infor Detallado Desempeño POA'!L115,"No Programado")</f>
        <v>0.9969414328231293</v>
      </c>
      <c r="F51" s="422">
        <f>IF(AND('2.Infor Detallado Desempeño POA'!M115&gt;0),'2.Infor Detallado Desempeño POA'!M115,"No Programado")</f>
        <v>0.30672285820578232</v>
      </c>
      <c r="G51" s="423"/>
      <c r="H51" s="423"/>
      <c r="I51" s="423"/>
      <c r="J51" s="423"/>
      <c r="V51" s="416"/>
    </row>
    <row r="52" spans="2:22" s="413" customFormat="1">
      <c r="B52" s="424" t="s">
        <v>728</v>
      </c>
      <c r="C52" s="421">
        <f>+'Rango indicadores'!D119</f>
        <v>2</v>
      </c>
      <c r="D52" s="422">
        <f>IF(AND('2.Infor Detallado Desempeño POA'!K122),'2.Infor Detallado Desempeño POA'!K122,"No Programado")</f>
        <v>1.0630584192439863</v>
      </c>
      <c r="E52" s="422">
        <f>IF(AND('2.Infor Detallado Desempeño POA'!L122),'2.Infor Detallado Desempeño POA'!L122,"No Programado")</f>
        <v>1.0630584192439863</v>
      </c>
      <c r="F52" s="422">
        <f>IF(AND('2.Infor Detallado Desempeño POA'!M122),'2.Infor Detallado Desempeño POA'!M122,"No Programado")</f>
        <v>0.26576460481099656</v>
      </c>
      <c r="G52" s="423"/>
      <c r="H52" s="423"/>
      <c r="I52" s="423"/>
      <c r="J52" s="423"/>
      <c r="V52" s="416"/>
    </row>
    <row r="53" spans="2:22" s="413" customFormat="1">
      <c r="B53" s="424" t="s">
        <v>729</v>
      </c>
      <c r="C53" s="421">
        <f>+'Rango indicadores'!D120</f>
        <v>3</v>
      </c>
      <c r="D53" s="422">
        <f>IF(AND('2.Infor Detallado Desempeño POA'!K130&gt;0),'2.Infor Detallado Desempeño POA'!K130,"No Programado")</f>
        <v>1.0572727272727271</v>
      </c>
      <c r="E53" s="422">
        <f>IF(AND('2.Infor Detallado Desempeño POA'!L130&gt;0),'2.Infor Detallado Desempeño POA'!L130,"No Programado")</f>
        <v>1.0572727272727271</v>
      </c>
      <c r="F53" s="422">
        <f>IF(AND('2.Infor Detallado Desempeño POA'!M130&gt;0),'2.Infor Detallado Desempeño POA'!M130,"No Programado")</f>
        <v>0.22459649122807021</v>
      </c>
      <c r="G53" s="423"/>
      <c r="H53" s="423"/>
      <c r="I53" s="423"/>
      <c r="J53" s="423"/>
      <c r="V53" s="416"/>
    </row>
    <row r="54" spans="2:22" s="413" customFormat="1">
      <c r="B54" s="424" t="s">
        <v>730</v>
      </c>
      <c r="C54" s="421">
        <f>+'Rango indicadores'!D121</f>
        <v>4</v>
      </c>
      <c r="D54" s="422">
        <f>IF(AND('2.Infor Detallado Desempeño POA'!K139&gt;0),'2.Infor Detallado Desempeño POA'!K139,"No Programado")</f>
        <v>1.1018518518518519</v>
      </c>
      <c r="E54" s="422">
        <f>IF(AND('2.Infor Detallado Desempeño POA'!L139&gt;0),'2.Infor Detallado Desempeño POA'!L139,"No Programado")</f>
        <v>1.1018518518518519</v>
      </c>
      <c r="F54" s="422">
        <f>IF(AND('2.Infor Detallado Desempeño POA'!M139&gt;0),'2.Infor Detallado Desempeño POA'!M139,"No Programado")</f>
        <v>0.31874999999999998</v>
      </c>
      <c r="G54" s="423"/>
      <c r="H54" s="423"/>
      <c r="I54" s="423"/>
      <c r="J54" s="423"/>
      <c r="V54" s="416"/>
    </row>
    <row r="55" spans="2:22" s="413" customFormat="1">
      <c r="B55" s="424" t="s">
        <v>731</v>
      </c>
      <c r="C55" s="421">
        <f>+'Rango indicadores'!D122</f>
        <v>4</v>
      </c>
      <c r="D55" s="422">
        <f>IF(AND('2.Infor Detallado Desempeño POA'!K148&gt;0),'2.Infor Detallado Desempeño POA'!K148,"No Programado")</f>
        <v>1.0828135964912282</v>
      </c>
      <c r="E55" s="422">
        <f>IF(AND('2.Infor Detallado Desempeño POA'!L148&gt;0),'2.Infor Detallado Desempeño POA'!L148,"No Programado")</f>
        <v>1.0828135964912282</v>
      </c>
      <c r="F55" s="422">
        <f>IF(AND('2.Infor Detallado Desempeño POA'!M148&gt;0),'2.Infor Detallado Desempeño POA'!M148,"No Programado")</f>
        <v>0.24320339912280703</v>
      </c>
      <c r="G55" s="423"/>
      <c r="H55" s="423"/>
      <c r="I55" s="423"/>
      <c r="J55" s="423"/>
      <c r="V55" s="416"/>
    </row>
    <row r="56" spans="2:22" s="413" customFormat="1" ht="15.6" thickBot="1">
      <c r="B56" s="425" t="s">
        <v>732</v>
      </c>
      <c r="C56" s="421">
        <f>+'Rango indicadores'!D123</f>
        <v>5</v>
      </c>
      <c r="D56" s="422">
        <f>IF(AND('2.Infor Detallado Desempeño POA'!K158&gt;0),'2.Infor Detallado Desempeño POA'!K158,"No Programado")</f>
        <v>1</v>
      </c>
      <c r="E56" s="422">
        <f>IF(AND('2.Infor Detallado Desempeño POA'!L158&gt;0),'2.Infor Detallado Desempeño POA'!L158,"No Programado")</f>
        <v>1</v>
      </c>
      <c r="F56" s="422">
        <f>IF(AND('2.Infor Detallado Desempeño POA'!M158&gt;0),'2.Infor Detallado Desempeño POA'!M158,"No Programado")</f>
        <v>0.25</v>
      </c>
      <c r="G56" s="423"/>
      <c r="H56" s="423"/>
      <c r="I56" s="423"/>
      <c r="J56" s="423"/>
      <c r="V56" s="416"/>
    </row>
    <row r="57" spans="2:22" s="413" customFormat="1" ht="34.950000000000003" customHeight="1" thickBot="1">
      <c r="B57" s="584" t="s">
        <v>897</v>
      </c>
      <c r="C57" s="585">
        <f>SUM(C51:C56)</f>
        <v>26</v>
      </c>
      <c r="D57" s="586">
        <f>IFERROR(AVERAGE(D51:D56),0)</f>
        <v>1.0503230046138203</v>
      </c>
      <c r="E57" s="586">
        <f>IFERROR(AVERAGE(E51:E56),0)</f>
        <v>1.0503230046138203</v>
      </c>
      <c r="F57" s="586">
        <f>IFERROR(AVERAGE(F51:F56),0)</f>
        <v>0.26817289222794272</v>
      </c>
      <c r="G57" s="426"/>
      <c r="H57" s="423"/>
      <c r="I57" s="423"/>
      <c r="J57" s="423"/>
      <c r="V57" s="416"/>
    </row>
    <row r="58" spans="2:22" s="413" customFormat="1">
      <c r="B58" s="424" t="s">
        <v>734</v>
      </c>
      <c r="C58" s="421">
        <f>+'Rango indicadores'!D125</f>
        <v>3</v>
      </c>
      <c r="D58" s="422">
        <f>IF(AND('2.Infor Detallado Desempeño POA'!K166&gt;0),'2.Infor Detallado Desempeño POA'!K166,"No Programado")</f>
        <v>2.8188405797101446</v>
      </c>
      <c r="E58" s="422">
        <f>IF(AND('2.Infor Detallado Desempeño POA'!L166&gt;0),'2.Infor Detallado Desempeño POA'!L166,"No Programado")</f>
        <v>2.8188405797101446</v>
      </c>
      <c r="F58" s="422">
        <f>IF(AND('2.Infor Detallado Desempeño POA'!M166&gt;0),'2.Infor Detallado Desempeño POA'!M166,"No Programado")</f>
        <v>0.32222222222222219</v>
      </c>
      <c r="G58" s="423"/>
      <c r="H58" s="423"/>
      <c r="I58" s="423"/>
      <c r="J58" s="423"/>
      <c r="V58" s="416"/>
    </row>
    <row r="59" spans="2:22" s="413" customFormat="1" ht="15.6" thickBot="1">
      <c r="B59" s="509" t="s">
        <v>735</v>
      </c>
      <c r="C59" s="510">
        <f>+'Rango indicadores'!D126</f>
        <v>3</v>
      </c>
      <c r="D59" s="422">
        <f>IF(AND('2.Infor Detallado Desempeño POA'!K174&gt;0),'2.Infor Detallado Desempeño POA'!K174,"No Programado")</f>
        <v>1</v>
      </c>
      <c r="E59" s="422">
        <f>IF(AND('2.Infor Detallado Desempeño POA'!L174&gt;0),'2.Infor Detallado Desempeño POA'!L174,"No Programado")</f>
        <v>1</v>
      </c>
      <c r="F59" s="422">
        <f>IF(AND('2.Infor Detallado Desempeño POA'!M174&gt;0),'2.Infor Detallado Desempeño POA'!M174,"No Programado")</f>
        <v>0.11666666666666665</v>
      </c>
      <c r="G59" s="423"/>
      <c r="H59" s="423"/>
      <c r="I59" s="423"/>
      <c r="J59" s="423"/>
      <c r="V59" s="416"/>
    </row>
    <row r="60" spans="2:22" s="413" customFormat="1" ht="46.95" customHeight="1" thickBot="1">
      <c r="B60" s="587" t="s">
        <v>859</v>
      </c>
      <c r="C60" s="585">
        <f>SUM(C58:C59)</f>
        <v>6</v>
      </c>
      <c r="D60" s="586">
        <f>IFERROR(AVERAGE(D58:D59),0)</f>
        <v>1.9094202898550723</v>
      </c>
      <c r="E60" s="586">
        <f>IFERROR(AVERAGE(E58:E59),0)</f>
        <v>1.9094202898550723</v>
      </c>
      <c r="F60" s="586">
        <f>IFERROR(AVERAGE(F58:F59),0)</f>
        <v>0.21944444444444441</v>
      </c>
      <c r="G60" s="426"/>
      <c r="H60" s="423"/>
      <c r="I60" s="423"/>
      <c r="J60" s="423"/>
      <c r="V60" s="416"/>
    </row>
    <row r="61" spans="2:22" s="577" customFormat="1" ht="6" customHeight="1">
      <c r="B61" s="579"/>
      <c r="C61" s="580"/>
      <c r="D61" s="575"/>
      <c r="E61" s="575"/>
      <c r="F61" s="575"/>
      <c r="G61" s="575"/>
      <c r="H61" s="576"/>
      <c r="I61" s="576"/>
      <c r="J61" s="576"/>
      <c r="V61" s="578"/>
    </row>
    <row r="62" spans="2:22" ht="15" customHeight="1">
      <c r="B62" s="563" t="s">
        <v>923</v>
      </c>
      <c r="C62" s="574">
        <f>+C60+C57+C50+C46</f>
        <v>87</v>
      </c>
      <c r="D62" s="567">
        <f>AVERAGE(D46,D50,D57,D60)</f>
        <v>1.2974946251210804</v>
      </c>
      <c r="E62" s="567">
        <f>AVERAGE(E46,E50,E57,E60)</f>
        <v>1.2974946251210804</v>
      </c>
      <c r="F62" s="567">
        <f>AVERAGE(F46,F50,F57,F60)</f>
        <v>0.22392393277786093</v>
      </c>
      <c r="G62" s="603"/>
    </row>
    <row r="63" spans="2:22" ht="15" customHeight="1"/>
    <row r="64" spans="2:22" ht="15" customHeight="1">
      <c r="D64" s="593"/>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11">
    <mergeCell ref="B40:F40"/>
    <mergeCell ref="D28:F28"/>
    <mergeCell ref="D4:H4"/>
    <mergeCell ref="C2:H2"/>
    <mergeCell ref="C3:H3"/>
    <mergeCell ref="B2:B3"/>
    <mergeCell ref="C38:C39"/>
    <mergeCell ref="B38:B39"/>
    <mergeCell ref="D38:F38"/>
    <mergeCell ref="B28:B29"/>
    <mergeCell ref="C28:C29"/>
  </mergeCells>
  <conditionalFormatting sqref="D41:F45 D47:F49 D51:F56 D58:F59">
    <cfRule type="cellIs" dxfId="758" priority="1" operator="equal">
      <formula>"No Programado"</formula>
    </cfRule>
    <cfRule type="cellIs" dxfId="757" priority="2" operator="lessThanOrEqual">
      <formula>0.6</formula>
    </cfRule>
    <cfRule type="cellIs" dxfId="756" priority="3" operator="between">
      <formula>0.6</formula>
      <formula>0.899999999999999</formula>
    </cfRule>
    <cfRule type="cellIs" dxfId="755" priority="4" operator="greaterThan">
      <formula>1</formula>
    </cfRule>
    <cfRule type="cellIs" dxfId="754" priority="5" operator="between">
      <formula>0.9</formula>
      <formula>1</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I21"/>
  <sheetViews>
    <sheetView zoomScale="85" zoomScaleNormal="85" workbookViewId="0">
      <selection sqref="A1:XFD1048576"/>
    </sheetView>
  </sheetViews>
  <sheetFormatPr baseColWidth="10" defaultRowHeight="13.2"/>
  <cols>
    <col min="3" max="3" width="84.6640625" customWidth="1"/>
    <col min="9" max="9" width="15.33203125" bestFit="1" customWidth="1"/>
  </cols>
  <sheetData>
    <row r="4" spans="3:9">
      <c r="C4" s="12" t="s">
        <v>78</v>
      </c>
      <c r="E4" s="13" t="s">
        <v>59</v>
      </c>
      <c r="I4" t="s">
        <v>1121</v>
      </c>
    </row>
    <row r="5" spans="3:9" ht="22.8">
      <c r="C5" s="15" t="s">
        <v>99</v>
      </c>
      <c r="E5" s="15" t="s">
        <v>99</v>
      </c>
      <c r="I5" s="859" t="s">
        <v>1126</v>
      </c>
    </row>
    <row r="6" spans="3:9" ht="22.8">
      <c r="C6" s="15" t="s">
        <v>79</v>
      </c>
      <c r="E6" s="15">
        <v>2021</v>
      </c>
      <c r="I6" s="859" t="s">
        <v>1122</v>
      </c>
    </row>
    <row r="7" spans="3:9" ht="22.8">
      <c r="C7" s="15" t="s">
        <v>80</v>
      </c>
      <c r="E7" s="15">
        <v>2022</v>
      </c>
      <c r="I7" s="859" t="s">
        <v>1123</v>
      </c>
    </row>
    <row r="8" spans="3:9" ht="22.8">
      <c r="C8" s="15" t="s">
        <v>81</v>
      </c>
      <c r="E8" s="15">
        <v>2023</v>
      </c>
      <c r="I8" s="859" t="s">
        <v>1124</v>
      </c>
    </row>
    <row r="9" spans="3:9" ht="22.8">
      <c r="C9" s="15" t="s">
        <v>86</v>
      </c>
      <c r="E9" s="15">
        <v>2024</v>
      </c>
      <c r="I9" s="859" t="s">
        <v>1125</v>
      </c>
    </row>
    <row r="10" spans="3:9" ht="22.8">
      <c r="C10" s="15" t="s">
        <v>87</v>
      </c>
    </row>
    <row r="11" spans="3:9" ht="22.8">
      <c r="C11" s="15" t="s">
        <v>88</v>
      </c>
      <c r="I11" s="859" t="s">
        <v>1131</v>
      </c>
    </row>
    <row r="12" spans="3:9" ht="22.8">
      <c r="C12" s="15" t="s">
        <v>89</v>
      </c>
      <c r="I12" s="859" t="s">
        <v>1128</v>
      </c>
    </row>
    <row r="13" spans="3:9" ht="22.8">
      <c r="C13" s="15" t="s">
        <v>90</v>
      </c>
      <c r="I13" s="859" t="s">
        <v>1129</v>
      </c>
    </row>
    <row r="14" spans="3:9" ht="22.8">
      <c r="C14" s="15" t="s">
        <v>91</v>
      </c>
      <c r="I14" s="859" t="s">
        <v>1130</v>
      </c>
    </row>
    <row r="15" spans="3:9" ht="22.8">
      <c r="C15" s="15" t="s">
        <v>92</v>
      </c>
      <c r="I15" s="859" t="s">
        <v>1046</v>
      </c>
    </row>
    <row r="16" spans="3:9" ht="22.8">
      <c r="C16" s="15" t="s">
        <v>93</v>
      </c>
    </row>
    <row r="17" spans="3:9" ht="22.8">
      <c r="C17" s="15" t="s">
        <v>94</v>
      </c>
      <c r="I17" s="859" t="s">
        <v>99</v>
      </c>
    </row>
    <row r="18" spans="3:9" ht="22.8">
      <c r="C18" s="15" t="s">
        <v>95</v>
      </c>
      <c r="I18" s="862">
        <v>44926</v>
      </c>
    </row>
    <row r="19" spans="3:9" ht="22.8">
      <c r="C19" s="15" t="s">
        <v>96</v>
      </c>
      <c r="I19" s="862">
        <v>44834</v>
      </c>
    </row>
    <row r="20" spans="3:9" ht="22.8">
      <c r="C20" s="15" t="s">
        <v>97</v>
      </c>
      <c r="I20" s="862">
        <v>44742</v>
      </c>
    </row>
    <row r="21" spans="3:9" ht="22.8">
      <c r="C21" s="15" t="s">
        <v>98</v>
      </c>
      <c r="I21" s="862">
        <v>44651</v>
      </c>
    </row>
  </sheetData>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rgb="FF00FF99"/>
  </sheetPr>
  <dimension ref="B1:BC235"/>
  <sheetViews>
    <sheetView showGridLines="0" zoomScale="80" zoomScaleNormal="80" workbookViewId="0">
      <selection activeCell="C7" sqref="C7"/>
    </sheetView>
  </sheetViews>
  <sheetFormatPr baseColWidth="10" defaultColWidth="11.44140625" defaultRowHeight="15" zeroHeight="1"/>
  <cols>
    <col min="1" max="1" width="3.44140625" style="413" customWidth="1"/>
    <col min="2" max="2" width="8.6640625" style="413" customWidth="1"/>
    <col min="3" max="3" width="23.33203125" style="413" customWidth="1"/>
    <col min="4" max="4" width="63.33203125" style="416" customWidth="1"/>
    <col min="5" max="6" width="16" style="419" hidden="1" customWidth="1"/>
    <col min="7" max="11" width="19.33203125" style="419" hidden="1" customWidth="1"/>
    <col min="12" max="12" width="21.5546875" style="419" hidden="1" customWidth="1"/>
    <col min="13" max="14" width="19.33203125" style="419" hidden="1" customWidth="1"/>
    <col min="15" max="24" width="16" style="419" hidden="1" customWidth="1"/>
    <col min="25" max="25" width="19.33203125" style="419" hidden="1" customWidth="1"/>
    <col min="26" max="26" width="16" style="419" hidden="1" customWidth="1"/>
    <col min="27" max="28" width="19.5546875" style="419" hidden="1" customWidth="1"/>
    <col min="29" max="29" width="16" style="419" hidden="1" customWidth="1"/>
    <col min="30" max="30" width="22.6640625" style="419" hidden="1" customWidth="1"/>
    <col min="31" max="31" width="16" style="419" hidden="1" customWidth="1"/>
    <col min="32" max="32" width="16" style="419" customWidth="1"/>
    <col min="33" max="33" width="17.88671875" style="413" customWidth="1"/>
    <col min="34" max="34" width="23.33203125" style="413" customWidth="1"/>
    <col min="35" max="35" width="16" style="413" customWidth="1"/>
    <col min="36" max="36" width="22.88671875" style="413" customWidth="1"/>
    <col min="37" max="37" width="18.88671875" style="413" customWidth="1"/>
    <col min="38" max="38" width="19" style="413" customWidth="1"/>
    <col min="39" max="39" width="21" style="413" customWidth="1"/>
    <col min="40" max="40" width="14.44140625" style="413" customWidth="1"/>
    <col min="41" max="41" width="19.44140625" style="413" customWidth="1"/>
    <col min="42" max="42" width="10.109375" style="413" customWidth="1"/>
    <col min="43" max="43" width="13.33203125" style="413" customWidth="1"/>
    <col min="44" max="44" width="8.33203125" style="413" customWidth="1"/>
    <col min="45" max="45" width="14" style="413" customWidth="1"/>
    <col min="46" max="46" width="8.33203125" style="413" customWidth="1"/>
    <col min="47" max="47" width="19.44140625" style="413" customWidth="1"/>
    <col min="48" max="48" width="8.33203125" style="413" customWidth="1"/>
    <col min="49" max="49" width="87.33203125" style="416" customWidth="1"/>
    <col min="50" max="50" width="11" style="413" customWidth="1"/>
    <col min="51" max="51" width="10.109375" style="413" hidden="1" customWidth="1"/>
    <col min="52" max="52" width="12.109375" style="413" hidden="1" customWidth="1"/>
    <col min="53" max="53" width="27.44140625" style="413" hidden="1" customWidth="1"/>
    <col min="54" max="54" width="0" style="413" hidden="1" customWidth="1"/>
    <col min="55" max="16384" width="11.44140625" style="413"/>
  </cols>
  <sheetData>
    <row r="1" spans="2:55">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5"/>
      <c r="AH1" s="415"/>
      <c r="AI1" s="415"/>
      <c r="AJ1" s="415"/>
      <c r="AK1" s="415"/>
      <c r="AL1" s="415"/>
      <c r="AM1" s="415"/>
    </row>
    <row r="2" spans="2:55" ht="18.75" customHeight="1">
      <c r="C2" s="1397" t="s">
        <v>883</v>
      </c>
      <c r="D2" s="1399" t="s">
        <v>674</v>
      </c>
      <c r="E2" s="1400"/>
      <c r="F2" s="1400"/>
      <c r="G2" s="1400"/>
      <c r="H2" s="1400"/>
      <c r="I2" s="1400"/>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1"/>
      <c r="AL2" s="467"/>
      <c r="AM2" s="467"/>
      <c r="AN2" s="467"/>
      <c r="AO2" s="877"/>
      <c r="AP2" s="877"/>
      <c r="AQ2" s="877"/>
      <c r="AR2" s="877"/>
      <c r="AS2" s="877"/>
      <c r="AT2" s="877"/>
      <c r="AU2" s="877"/>
      <c r="AV2" s="877"/>
    </row>
    <row r="3" spans="2:55" ht="17.399999999999999" customHeight="1">
      <c r="C3" s="1397"/>
      <c r="D3" s="1402" t="s">
        <v>4</v>
      </c>
      <c r="E3" s="1403"/>
      <c r="F3" s="1403"/>
      <c r="G3" s="1403"/>
      <c r="H3" s="1403"/>
      <c r="I3" s="1403"/>
      <c r="J3" s="1403"/>
      <c r="K3" s="1403"/>
      <c r="L3" s="1403"/>
      <c r="M3" s="1403"/>
      <c r="N3" s="1403"/>
      <c r="O3" s="1403"/>
      <c r="P3" s="1403"/>
      <c r="Q3" s="1403"/>
      <c r="R3" s="1403"/>
      <c r="S3" s="1403"/>
      <c r="T3" s="1403"/>
      <c r="U3" s="1403"/>
      <c r="V3" s="1403"/>
      <c r="W3" s="1403"/>
      <c r="X3" s="1403"/>
      <c r="Y3" s="1403"/>
      <c r="Z3" s="1403"/>
      <c r="AA3" s="1403"/>
      <c r="AB3" s="1403"/>
      <c r="AC3" s="1403"/>
      <c r="AD3" s="1403"/>
      <c r="AE3" s="1403"/>
      <c r="AF3" s="1403"/>
      <c r="AG3" s="1403"/>
      <c r="AH3" s="1403"/>
      <c r="AI3" s="1403"/>
      <c r="AJ3" s="1403"/>
      <c r="AK3" s="1404"/>
      <c r="AL3" s="466"/>
      <c r="AM3" s="466"/>
      <c r="AN3" s="466"/>
      <c r="AO3" s="1027"/>
      <c r="AP3" s="1027"/>
      <c r="AQ3" s="1027"/>
      <c r="AR3" s="1027"/>
      <c r="AS3" s="1027"/>
      <c r="AT3" s="1027"/>
      <c r="AU3" s="1027"/>
      <c r="AV3" s="1027"/>
      <c r="AW3" s="417"/>
    </row>
    <row r="4" spans="2:55" ht="17.399999999999999" customHeight="1">
      <c r="C4" s="1397"/>
      <c r="D4" s="1402">
        <v>2022</v>
      </c>
      <c r="E4" s="1403"/>
      <c r="F4" s="1403"/>
      <c r="G4" s="1403"/>
      <c r="H4" s="1403"/>
      <c r="I4" s="1403"/>
      <c r="J4" s="1403"/>
      <c r="K4" s="1403"/>
      <c r="L4" s="1403"/>
      <c r="M4" s="1403"/>
      <c r="N4" s="1403"/>
      <c r="O4" s="1403"/>
      <c r="P4" s="1403"/>
      <c r="Q4" s="1403"/>
      <c r="R4" s="1403"/>
      <c r="S4" s="1403"/>
      <c r="T4" s="1403"/>
      <c r="U4" s="1403"/>
      <c r="V4" s="1403"/>
      <c r="W4" s="1403"/>
      <c r="X4" s="1403"/>
      <c r="Y4" s="1403"/>
      <c r="Z4" s="1403"/>
      <c r="AA4" s="1403"/>
      <c r="AB4" s="1403"/>
      <c r="AC4" s="1403"/>
      <c r="AD4" s="1403"/>
      <c r="AE4" s="1403"/>
      <c r="AF4" s="1403"/>
      <c r="AG4" s="1403"/>
      <c r="AH4" s="1403"/>
      <c r="AI4" s="1403"/>
      <c r="AJ4" s="1403"/>
      <c r="AK4" s="1404"/>
      <c r="AL4" s="466"/>
      <c r="AM4" s="466"/>
      <c r="AN4" s="466"/>
      <c r="AO4" s="1027"/>
      <c r="AP4" s="1027"/>
      <c r="AQ4" s="1027"/>
      <c r="AR4" s="1027"/>
      <c r="AS4" s="1027"/>
      <c r="AT4" s="1027"/>
      <c r="AU4" s="1027"/>
      <c r="AV4" s="1027"/>
      <c r="AW4" s="417"/>
    </row>
    <row r="5" spans="2:55" ht="15.6" customHeight="1">
      <c r="C5" s="1397"/>
      <c r="D5" s="1405" t="s">
        <v>855</v>
      </c>
      <c r="E5" s="1406"/>
      <c r="F5" s="1406"/>
      <c r="G5" s="1406"/>
      <c r="H5" s="1406"/>
      <c r="I5" s="1406"/>
      <c r="J5" s="1406"/>
      <c r="K5" s="1406"/>
      <c r="L5" s="1406"/>
      <c r="M5" s="1406"/>
      <c r="N5" s="1406"/>
      <c r="O5" s="1406"/>
      <c r="P5" s="1406"/>
      <c r="Q5" s="1406"/>
      <c r="R5" s="1406"/>
      <c r="S5" s="1406"/>
      <c r="T5" s="1406"/>
      <c r="U5" s="1406"/>
      <c r="V5" s="1406"/>
      <c r="W5" s="1406"/>
      <c r="X5" s="1406"/>
      <c r="Y5" s="1406"/>
      <c r="Z5" s="1406"/>
      <c r="AA5" s="1406"/>
      <c r="AB5" s="1406"/>
      <c r="AC5" s="1406"/>
      <c r="AD5" s="1406"/>
      <c r="AE5" s="1406"/>
      <c r="AF5" s="1406"/>
      <c r="AG5" s="1406"/>
      <c r="AH5" s="1406"/>
      <c r="AI5" s="1406"/>
      <c r="AJ5" s="1406"/>
      <c r="AK5" s="1407"/>
      <c r="AL5" s="467"/>
      <c r="AM5" s="467"/>
      <c r="AN5" s="467"/>
      <c r="AO5" s="877"/>
      <c r="AP5" s="877"/>
      <c r="AQ5" s="877"/>
      <c r="AR5" s="877"/>
      <c r="AS5" s="877"/>
      <c r="AT5" s="877"/>
      <c r="AU5" s="877"/>
      <c r="AV5" s="877"/>
      <c r="AW5" s="417"/>
    </row>
    <row r="6" spans="2:55" ht="20.399999999999999" customHeight="1">
      <c r="C6" s="1397"/>
      <c r="D6" s="1408" t="s">
        <v>1046</v>
      </c>
      <c r="E6" s="1409"/>
      <c r="F6" s="1409"/>
      <c r="G6" s="1409"/>
      <c r="H6" s="1409"/>
      <c r="I6" s="1409"/>
      <c r="J6" s="1409"/>
      <c r="K6" s="1409"/>
      <c r="L6" s="1409"/>
      <c r="M6" s="1409"/>
      <c r="N6" s="1409"/>
      <c r="O6" s="1409"/>
      <c r="P6" s="1409"/>
      <c r="Q6" s="1409"/>
      <c r="R6" s="1409"/>
      <c r="S6" s="1409"/>
      <c r="T6" s="1409"/>
      <c r="U6" s="1409"/>
      <c r="V6" s="1409"/>
      <c r="W6" s="1409"/>
      <c r="X6" s="1409"/>
      <c r="Y6" s="1409"/>
      <c r="Z6" s="1409"/>
      <c r="AA6" s="1409"/>
      <c r="AB6" s="1409"/>
      <c r="AC6" s="1409"/>
      <c r="AD6" s="1409"/>
      <c r="AE6" s="1409"/>
      <c r="AF6" s="1409"/>
      <c r="AG6" s="1409"/>
      <c r="AH6" s="1409"/>
      <c r="AI6" s="1409"/>
      <c r="AJ6" s="1409"/>
      <c r="AK6" s="1410"/>
      <c r="AL6" s="458"/>
      <c r="AM6" s="458"/>
      <c r="AN6" s="458"/>
      <c r="AO6" s="1023"/>
      <c r="AP6" s="1023"/>
      <c r="AQ6" s="1023"/>
      <c r="AR6" s="1023"/>
      <c r="AS6" s="1023"/>
      <c r="AT6" s="1023"/>
      <c r="AU6" s="1023"/>
      <c r="AV6" s="1023"/>
      <c r="AW6" s="418"/>
    </row>
    <row r="7" spans="2:55" ht="19.5" customHeight="1">
      <c r="C7" s="964" t="s">
        <v>1140</v>
      </c>
      <c r="D7" s="965">
        <v>44926</v>
      </c>
    </row>
    <row r="8" spans="2:55" s="427" customFormat="1" ht="24" customHeight="1" thickBot="1">
      <c r="D8" s="429"/>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861"/>
      <c r="AJ8" s="861"/>
      <c r="AM8" s="861"/>
      <c r="AW8" s="429"/>
      <c r="AY8" s="413"/>
      <c r="AZ8" s="413"/>
    </row>
    <row r="9" spans="2:55" s="427" customFormat="1" ht="16.2" thickBot="1">
      <c r="C9" s="430" t="s">
        <v>860</v>
      </c>
      <c r="D9" s="460"/>
      <c r="E9" s="1380" t="s">
        <v>1128</v>
      </c>
      <c r="F9" s="1381"/>
      <c r="G9" s="1381"/>
      <c r="H9" s="1381"/>
      <c r="I9" s="1381"/>
      <c r="J9" s="1381"/>
      <c r="K9" s="1381"/>
      <c r="L9" s="1381"/>
      <c r="M9" s="1382"/>
      <c r="N9" s="1383" t="s">
        <v>1129</v>
      </c>
      <c r="O9" s="1384"/>
      <c r="P9" s="1384"/>
      <c r="Q9" s="1384"/>
      <c r="R9" s="1384"/>
      <c r="S9" s="1384"/>
      <c r="T9" s="1384"/>
      <c r="U9" s="1384"/>
      <c r="V9" s="1385"/>
      <c r="W9" s="1386" t="s">
        <v>1130</v>
      </c>
      <c r="X9" s="1387"/>
      <c r="Y9" s="1387"/>
      <c r="Z9" s="1387"/>
      <c r="AA9" s="1387"/>
      <c r="AB9" s="1387"/>
      <c r="AC9" s="1387"/>
      <c r="AD9" s="1387"/>
      <c r="AE9" s="1388"/>
      <c r="AF9" s="1383" t="s">
        <v>1046</v>
      </c>
      <c r="AG9" s="1384"/>
      <c r="AH9" s="1384"/>
      <c r="AI9" s="1384"/>
      <c r="AJ9" s="1384"/>
      <c r="AK9" s="1384"/>
      <c r="AL9" s="1384"/>
      <c r="AM9" s="1384"/>
      <c r="AN9" s="1385"/>
      <c r="AW9" s="429"/>
      <c r="AY9" s="413"/>
      <c r="AZ9" s="413"/>
    </row>
    <row r="10" spans="2:55" ht="28.95" customHeight="1">
      <c r="C10" s="1393" t="s">
        <v>1160</v>
      </c>
      <c r="D10" s="1396" t="s">
        <v>861</v>
      </c>
      <c r="E10" s="1389" t="s">
        <v>862</v>
      </c>
      <c r="F10" s="1390"/>
      <c r="G10" s="1391"/>
      <c r="H10" s="1392" t="s">
        <v>1132</v>
      </c>
      <c r="I10" s="1394" t="s">
        <v>1136</v>
      </c>
      <c r="J10" s="1392" t="s">
        <v>863</v>
      </c>
      <c r="K10" s="1392" t="s">
        <v>857</v>
      </c>
      <c r="L10" s="1392"/>
      <c r="M10" s="1392"/>
      <c r="N10" s="1389" t="s">
        <v>862</v>
      </c>
      <c r="O10" s="1390"/>
      <c r="P10" s="1391"/>
      <c r="Q10" s="1392" t="s">
        <v>1141</v>
      </c>
      <c r="R10" s="1394" t="s">
        <v>1133</v>
      </c>
      <c r="S10" s="1392" t="s">
        <v>863</v>
      </c>
      <c r="T10" s="1392" t="s">
        <v>857</v>
      </c>
      <c r="U10" s="1392"/>
      <c r="V10" s="1392"/>
      <c r="W10" s="1389" t="s">
        <v>862</v>
      </c>
      <c r="X10" s="1390"/>
      <c r="Y10" s="1391"/>
      <c r="Z10" s="1392" t="s">
        <v>1142</v>
      </c>
      <c r="AA10" s="1394" t="s">
        <v>1138</v>
      </c>
      <c r="AB10" s="1392" t="s">
        <v>863</v>
      </c>
      <c r="AC10" s="1392" t="s">
        <v>857</v>
      </c>
      <c r="AD10" s="1392"/>
      <c r="AE10" s="1392"/>
      <c r="AF10" s="1389" t="s">
        <v>862</v>
      </c>
      <c r="AG10" s="1390"/>
      <c r="AH10" s="1391"/>
      <c r="AI10" s="1392" t="s">
        <v>1172</v>
      </c>
      <c r="AJ10" s="1394" t="s">
        <v>1173</v>
      </c>
      <c r="AK10" s="1392" t="s">
        <v>863</v>
      </c>
      <c r="AL10" s="1392" t="s">
        <v>857</v>
      </c>
      <c r="AM10" s="1392"/>
      <c r="AN10" s="1392"/>
      <c r="AO10" s="1398" t="s">
        <v>709</v>
      </c>
      <c r="AP10" s="1398"/>
      <c r="AQ10" s="1398"/>
      <c r="AR10" s="1398"/>
      <c r="AS10" s="1398"/>
      <c r="AT10" s="1398"/>
      <c r="AU10" s="1398"/>
      <c r="AV10" s="1398"/>
      <c r="AW10" s="1393" t="s">
        <v>882</v>
      </c>
    </row>
    <row r="11" spans="2:55" ht="55.95" customHeight="1">
      <c r="C11" s="1393"/>
      <c r="D11" s="1396"/>
      <c r="E11" s="1024" t="s">
        <v>1143</v>
      </c>
      <c r="F11" s="1024" t="str">
        <f>+E9</f>
        <v>Primer Trimestre</v>
      </c>
      <c r="G11" s="1025" t="s">
        <v>1135</v>
      </c>
      <c r="H11" s="1393"/>
      <c r="I11" s="1395"/>
      <c r="J11" s="1393"/>
      <c r="K11" s="1024" t="str">
        <f>+$D$6</f>
        <v>Cuarto Trimestre</v>
      </c>
      <c r="L11" s="1025" t="str">
        <f>+G11</f>
        <v>Acumulado
Corte 
31/03/2022</v>
      </c>
      <c r="M11" s="1026" t="s">
        <v>754</v>
      </c>
      <c r="N11" s="1024" t="s">
        <v>1143</v>
      </c>
      <c r="O11" s="1024" t="str">
        <f>+N9</f>
        <v>Segundo Trimestre</v>
      </c>
      <c r="P11" s="1025" t="s">
        <v>1134</v>
      </c>
      <c r="Q11" s="1393"/>
      <c r="R11" s="1395"/>
      <c r="S11" s="1393"/>
      <c r="T11" s="1024" t="str">
        <f>+O11</f>
        <v>Segundo Trimestre</v>
      </c>
      <c r="U11" s="1025" t="str">
        <f>+P11</f>
        <v>Acumulado Corte 
30/06/2022</v>
      </c>
      <c r="V11" s="1026" t="s">
        <v>754</v>
      </c>
      <c r="W11" s="1024" t="s">
        <v>1143</v>
      </c>
      <c r="X11" s="1024" t="str">
        <f>+W9</f>
        <v>Tercer Trimestre</v>
      </c>
      <c r="Y11" s="1025" t="s">
        <v>1137</v>
      </c>
      <c r="Z11" s="1393"/>
      <c r="AA11" s="1395"/>
      <c r="AB11" s="1393"/>
      <c r="AC11" s="1024" t="str">
        <f>+X11</f>
        <v>Tercer Trimestre</v>
      </c>
      <c r="AD11" s="1025" t="str">
        <f>+Y11</f>
        <v>Acumulado Corte 
30/09/2022</v>
      </c>
      <c r="AE11" s="1026" t="s">
        <v>754</v>
      </c>
      <c r="AF11" s="1024" t="s">
        <v>1143</v>
      </c>
      <c r="AG11" s="1024" t="s">
        <v>1171</v>
      </c>
      <c r="AH11" s="1025" t="s">
        <v>1139</v>
      </c>
      <c r="AI11" s="1393"/>
      <c r="AJ11" s="1395"/>
      <c r="AK11" s="1393"/>
      <c r="AL11" s="1024" t="str">
        <f>+AG11</f>
        <v>Cuarto Trimestre
31-12-2022</v>
      </c>
      <c r="AM11" s="1025" t="str">
        <f>+AH11</f>
        <v>Acumulado Corte 
31/12/2022</v>
      </c>
      <c r="AN11" s="1026" t="s">
        <v>754</v>
      </c>
      <c r="AO11" s="1097" t="s">
        <v>864</v>
      </c>
      <c r="AP11" s="1098"/>
      <c r="AQ11" s="1099" t="s">
        <v>865</v>
      </c>
      <c r="AR11" s="1100"/>
      <c r="AS11" s="1100"/>
      <c r="AT11" s="1101"/>
      <c r="AU11" s="1102" t="s">
        <v>717</v>
      </c>
      <c r="AV11" s="1103"/>
      <c r="AW11" s="1393"/>
    </row>
    <row r="12" spans="2:55" ht="35.25" customHeight="1">
      <c r="B12" s="431">
        <f>'[3]01 Direcc Estratégico POA 2020 '!R13</f>
        <v>1</v>
      </c>
      <c r="C12" s="433" t="str">
        <f>+'Rango indicadores'!D5</f>
        <v>01-RI-01</v>
      </c>
      <c r="D12" s="432" t="str">
        <f>+'Rango indicadores'!E5</f>
        <v xml:space="preserve">Porcentaje de acciones implementadas para la sostenibilidad y mejora del SGC </v>
      </c>
      <c r="E12" s="464">
        <f>+'Rango indicadores'!$Q$5</f>
        <v>1</v>
      </c>
      <c r="F12" s="464">
        <f>+'1.Informe Seguimiento POA 2022'!O55</f>
        <v>0.24000000000000002</v>
      </c>
      <c r="G12" s="464">
        <f>+'1.Informe Seguimiento POA 2022'!O55</f>
        <v>0.24000000000000002</v>
      </c>
      <c r="H12" s="464">
        <f>+'1.Informe Seguimiento POA 2022'!P55</f>
        <v>0.24000000000000002</v>
      </c>
      <c r="I12" s="464">
        <f>+'1.Informe Seguimiento POA 2022'!P55</f>
        <v>0.24000000000000002</v>
      </c>
      <c r="J12" s="464">
        <f>I12</f>
        <v>0.24000000000000002</v>
      </c>
      <c r="K12" s="435">
        <f t="shared" ref="K12:K15" si="0">IF(AND(F12&gt;0),H12/F12,"No programado")</f>
        <v>1</v>
      </c>
      <c r="L12" s="435">
        <f>IF(AND(G12&gt;0),J12/G12,"No programado")</f>
        <v>1</v>
      </c>
      <c r="M12" s="435">
        <f>IF(AND(E12&gt;0,$J12&gt;0),J12/$E12,0)</f>
        <v>0.24000000000000002</v>
      </c>
      <c r="N12" s="464">
        <f>+E12</f>
        <v>1</v>
      </c>
      <c r="O12" s="790">
        <f>+'1.Informe Seguimiento POA 2022'!Q55</f>
        <v>0.27</v>
      </c>
      <c r="P12" s="464">
        <f>+'1.Informe Seguimiento POA 2022'!O55+'1.Informe Seguimiento POA 2022'!Q55</f>
        <v>0.51</v>
      </c>
      <c r="Q12" s="790">
        <f>+'1.Informe Seguimiento POA 2022'!R55</f>
        <v>0.27799999999999997</v>
      </c>
      <c r="R12" s="464">
        <f>+'1.Informe Seguimiento POA 2022'!P55+'1.Informe Seguimiento POA 2022'!R55</f>
        <v>0.51800000000000002</v>
      </c>
      <c r="S12" s="464">
        <f>H12+Q12</f>
        <v>0.51800000000000002</v>
      </c>
      <c r="T12" s="435">
        <f t="shared" ref="T12:T15" si="1">IF(AND(O12&gt;0),Q12/O12,"No programado")</f>
        <v>1.0296296296296295</v>
      </c>
      <c r="U12" s="435">
        <f>IF(AND(P12&gt;0),S12/P12,"No programado")</f>
        <v>1.0156862745098039</v>
      </c>
      <c r="V12" s="435">
        <f>IF(AND(N12&gt;0,$S12&gt;0),S12/$N12,0)</f>
        <v>0.51800000000000002</v>
      </c>
      <c r="W12" s="464">
        <f t="shared" ref="W12:W14" si="2">+E12</f>
        <v>1</v>
      </c>
      <c r="X12" s="464">
        <f>+'1.Informe Seguimiento POA 2022'!S55</f>
        <v>0.27</v>
      </c>
      <c r="Y12" s="464">
        <f>+'1.Informe Seguimiento POA 2022'!O55+'1.Informe Seguimiento POA 2022'!Q55+'1.Informe Seguimiento POA 2022'!S55</f>
        <v>0.78</v>
      </c>
      <c r="Z12" s="464">
        <f>+'1.Informe Seguimiento POA 2022'!T55</f>
        <v>0.27800000000000002</v>
      </c>
      <c r="AA12" s="464">
        <f>+'1.Informe Seguimiento POA 2022'!R55+'1.Informe Seguimiento POA 2022'!T55+'1.Informe Seguimiento POA 2022'!P55</f>
        <v>0.79600000000000004</v>
      </c>
      <c r="AB12" s="464">
        <f>H12+Q12+Z12</f>
        <v>0.79600000000000004</v>
      </c>
      <c r="AC12" s="435">
        <f t="shared" ref="AC12:AC15" si="3">IF(AND(X12&gt;0),Z12/X12,"No programado")</f>
        <v>1.0296296296296297</v>
      </c>
      <c r="AD12" s="435">
        <f t="shared" ref="AD12:AD15" si="4">IF(AND(Y12&gt;0),AA12/Y12,"No programado")</f>
        <v>1.0205128205128204</v>
      </c>
      <c r="AE12" s="435">
        <f>IF(AND(W12&gt;0,$AB12&gt;0),AB12/$W12,0)</f>
        <v>0.79600000000000004</v>
      </c>
      <c r="AF12" s="464">
        <f>+W12</f>
        <v>1</v>
      </c>
      <c r="AG12" s="464">
        <f>+'1.Informe Seguimiento POA 2022'!U55</f>
        <v>0.22</v>
      </c>
      <c r="AH12" s="464">
        <f>+'1.Informe Seguimiento POA 2022'!O55+'1.Informe Seguimiento POA 2022'!Q55+'1.Informe Seguimiento POA 2022'!S55+'1.Informe Seguimiento POA 2022'!U55</f>
        <v>1</v>
      </c>
      <c r="AI12" s="790">
        <f>+'1.Informe Seguimiento POA 2022'!V55</f>
        <v>0.2036</v>
      </c>
      <c r="AJ12" s="556">
        <f>+'1.Informe Seguimiento POA 2022'!P55+'1.Informe Seguimiento POA 2022'!R55+'1.Informe Seguimiento POA 2022'!T55+'1.Informe Seguimiento POA 2022'!V55</f>
        <v>0.99960000000000004</v>
      </c>
      <c r="AK12" s="555">
        <f>H12+Q12+Z12+AI12</f>
        <v>0.99960000000000004</v>
      </c>
      <c r="AL12" s="435">
        <f t="shared" ref="AL12:AM15" si="5">IF(AND(AG12&gt;0),AI12/AG12,"No programado")</f>
        <v>0.92545454545454542</v>
      </c>
      <c r="AM12" s="435">
        <f>IF(AND(AH12&gt;0),AJ12/AH12,"No programado")</f>
        <v>0.99960000000000004</v>
      </c>
      <c r="AN12" s="435">
        <f>IF(AND(AF12&gt;0,$AK12&gt;0),AK12/$AF12,0)</f>
        <v>0.99960000000000004</v>
      </c>
      <c r="AO12" s="435" t="str">
        <f>+'Rango indicadores'!H5</f>
        <v>Mayor A:</v>
      </c>
      <c r="AP12" s="434">
        <f>+'Rango indicadores'!I5</f>
        <v>95</v>
      </c>
      <c r="AQ12" s="434" t="str">
        <f>+'Rango indicadores'!J5</f>
        <v>Desde (&gt;=):</v>
      </c>
      <c r="AR12" s="434">
        <f>+'Rango indicadores'!K5</f>
        <v>80</v>
      </c>
      <c r="AS12" s="434" t="str">
        <f>+'Rango indicadores'!L5</f>
        <v>Hasta (&lt;=):</v>
      </c>
      <c r="AT12" s="434">
        <f>+'Rango indicadores'!M5</f>
        <v>95</v>
      </c>
      <c r="AU12" s="434" t="str">
        <f>+'Rango indicadores'!N5</f>
        <v>Menor A:</v>
      </c>
      <c r="AV12" s="434">
        <f>+'Rango indicadores'!O5</f>
        <v>80</v>
      </c>
      <c r="AW12" s="523" t="s">
        <v>1174</v>
      </c>
      <c r="AY12" s="592"/>
      <c r="BA12" s="592"/>
      <c r="BC12" s="591"/>
    </row>
    <row r="13" spans="2:55" ht="35.25" customHeight="1">
      <c r="B13" s="431">
        <f>1+B12</f>
        <v>2</v>
      </c>
      <c r="C13" s="433" t="str">
        <f>+'Rango indicadores'!D6</f>
        <v>01-RI-02</v>
      </c>
      <c r="D13" s="432" t="str">
        <f>+'Rango indicadores'!E6</f>
        <v>Porcentaje de actividades implementadas para la sostenibilidad  y mejora del MIPG</v>
      </c>
      <c r="E13" s="464">
        <f>+'Rango indicadores'!Q6</f>
        <v>0.14000000000000001</v>
      </c>
      <c r="F13" s="464">
        <f>+'1.Informe Seguimiento POA 2022'!O56</f>
        <v>5.1000000000000004E-2</v>
      </c>
      <c r="G13" s="464">
        <f>+'1.Informe Seguimiento POA 2022'!O56</f>
        <v>5.1000000000000004E-2</v>
      </c>
      <c r="H13" s="464">
        <f>+'1.Informe Seguimiento POA 2022'!P56</f>
        <v>5.1000000000000004E-2</v>
      </c>
      <c r="I13" s="464">
        <f>+'1.Informe Seguimiento POA 2022'!P56</f>
        <v>5.1000000000000004E-2</v>
      </c>
      <c r="J13" s="464">
        <f t="shared" ref="J13:J14" si="6">I13</f>
        <v>5.1000000000000004E-2</v>
      </c>
      <c r="K13" s="435">
        <f t="shared" si="0"/>
        <v>1</v>
      </c>
      <c r="L13" s="435">
        <f t="shared" ref="L13:L15" si="7">IF(AND(G13&gt;0),I13/G13,"No programado")</f>
        <v>1</v>
      </c>
      <c r="M13" s="435">
        <f t="shared" ref="M13:M15" si="8">IF(AND(E13&gt;0,$J13&gt;0),J13/$E13,0)</f>
        <v>0.36428571428571427</v>
      </c>
      <c r="N13" s="464">
        <f t="shared" ref="N13:N15" si="9">+E13</f>
        <v>0.14000000000000001</v>
      </c>
      <c r="O13" s="464">
        <f>+'1.Informe Seguimiento POA 2022'!Q56</f>
        <v>3.5999999999999997E-2</v>
      </c>
      <c r="P13" s="464">
        <f>+'1.Informe Seguimiento POA 2022'!O56+'1.Informe Seguimiento POA 2022'!Q56</f>
        <v>8.6999999999999994E-2</v>
      </c>
      <c r="Q13" s="464">
        <f>+'1.Informe Seguimiento POA 2022'!R56</f>
        <v>3.5400000000000001E-2</v>
      </c>
      <c r="R13" s="464">
        <f>+'1.Informe Seguimiento POA 2022'!P56+'1.Informe Seguimiento POA 2022'!R56</f>
        <v>8.6400000000000005E-2</v>
      </c>
      <c r="S13" s="464">
        <f t="shared" ref="S13:S15" si="10">H13+Q13</f>
        <v>8.6400000000000005E-2</v>
      </c>
      <c r="T13" s="435">
        <f t="shared" si="1"/>
        <v>0.98333333333333339</v>
      </c>
      <c r="U13" s="435">
        <f t="shared" ref="U13:U15" si="11">IF(AND(P13&gt;0),R13/P13,"No programado")</f>
        <v>0.99310344827586217</v>
      </c>
      <c r="V13" s="435">
        <f t="shared" ref="V13:V15" si="12">IF(AND(N13&gt;0,$S13&gt;0),S13/$N13,0)</f>
        <v>0.6171428571428571</v>
      </c>
      <c r="W13" s="464">
        <f t="shared" si="2"/>
        <v>0.14000000000000001</v>
      </c>
      <c r="X13" s="464">
        <f>+'1.Informe Seguimiento POA 2022'!S56</f>
        <v>2.7E-2</v>
      </c>
      <c r="Y13" s="464">
        <f>+'1.Informe Seguimiento POA 2022'!O56+'1.Informe Seguimiento POA 2022'!Q56+'1.Informe Seguimiento POA 2022'!S56</f>
        <v>0.11399999999999999</v>
      </c>
      <c r="Z13" s="464">
        <f>+'1.Informe Seguimiento POA 2022'!T56</f>
        <v>2.7E-2</v>
      </c>
      <c r="AA13" s="464">
        <f>+'1.Informe Seguimiento POA 2022'!R56+'1.Informe Seguimiento POA 2022'!T56+'1.Informe Seguimiento POA 2022'!P56</f>
        <v>0.1134</v>
      </c>
      <c r="AB13" s="464">
        <f t="shared" ref="AB13:AB15" si="13">H13+Q13+Z13</f>
        <v>0.1134</v>
      </c>
      <c r="AC13" s="435">
        <f t="shared" si="3"/>
        <v>1</v>
      </c>
      <c r="AD13" s="435">
        <f t="shared" si="4"/>
        <v>0.99473684210526325</v>
      </c>
      <c r="AE13" s="435">
        <f t="shared" ref="AE13:AE15" si="14">IF(AND(W13&gt;0,$AB13&gt;0),AB13/$W13,0)</f>
        <v>0.80999999999999994</v>
      </c>
      <c r="AF13" s="464">
        <f t="shared" ref="AF13:AF14" si="15">+W13</f>
        <v>0.14000000000000001</v>
      </c>
      <c r="AG13" s="464">
        <f>+'1.Informe Seguimiento POA 2022'!U56</f>
        <v>2.6000000000000002E-2</v>
      </c>
      <c r="AH13" s="790">
        <f>+'1.Informe Seguimiento POA 2022'!O56+'1.Informe Seguimiento POA 2022'!Q56+'1.Informe Seguimiento POA 2022'!S56+'1.Informe Seguimiento POA 2022'!U56</f>
        <v>0.13999999999999999</v>
      </c>
      <c r="AI13" s="464">
        <f>+'1.Informe Seguimiento POA 2022'!V56</f>
        <v>2.6599999999999999E-2</v>
      </c>
      <c r="AJ13" s="556">
        <f>+'1.Informe Seguimiento POA 2022'!P56+'1.Informe Seguimiento POA 2022'!R56+'1.Informe Seguimiento POA 2022'!T56+'1.Informe Seguimiento POA 2022'!V56</f>
        <v>0.14000000000000001</v>
      </c>
      <c r="AK13" s="555">
        <f t="shared" ref="AK13:AK15" si="16">H13+Q13+Z13+AI13</f>
        <v>0.14000000000000001</v>
      </c>
      <c r="AL13" s="435">
        <f t="shared" si="5"/>
        <v>1.023076923076923</v>
      </c>
      <c r="AM13" s="435">
        <f t="shared" si="5"/>
        <v>1.0000000000000002</v>
      </c>
      <c r="AN13" s="435">
        <f>IF(AND(AF13&gt;0,$AK13&gt;0),AK13/$AF13,0)</f>
        <v>1</v>
      </c>
      <c r="AO13" s="435" t="str">
        <f>+'Rango indicadores'!H6</f>
        <v>Mayor A:</v>
      </c>
      <c r="AP13" s="434">
        <f>+'Rango indicadores'!I6</f>
        <v>95</v>
      </c>
      <c r="AQ13" s="434" t="str">
        <f>+'Rango indicadores'!J6</f>
        <v>Desde (&gt;=):</v>
      </c>
      <c r="AR13" s="434">
        <f>+'Rango indicadores'!K6</f>
        <v>80</v>
      </c>
      <c r="AS13" s="434" t="str">
        <f>+'Rango indicadores'!L6</f>
        <v>Hasta (&lt;=):</v>
      </c>
      <c r="AT13" s="434">
        <f>+'Rango indicadores'!M6</f>
        <v>95</v>
      </c>
      <c r="AU13" s="434" t="str">
        <f>+'Rango indicadores'!N6</f>
        <v>Menor A:</v>
      </c>
      <c r="AV13" s="434">
        <f>+'Rango indicadores'!O6</f>
        <v>80</v>
      </c>
      <c r="AW13" s="523" t="s">
        <v>1174</v>
      </c>
      <c r="AY13" s="592"/>
      <c r="BA13" s="592"/>
    </row>
    <row r="14" spans="2:55" ht="35.25" customHeight="1">
      <c r="B14" s="431">
        <f>1+B13</f>
        <v>3</v>
      </c>
      <c r="C14" s="433" t="str">
        <f>+'Rango indicadores'!D7</f>
        <v>01-RI-03</v>
      </c>
      <c r="D14" s="432" t="str">
        <f>+'Rango indicadores'!E7</f>
        <v xml:space="preserve">Porcentaje de requisitos del  SGA implementados bajo los estándares de la norma ISO 14001 </v>
      </c>
      <c r="E14" s="464">
        <f>+'Rango indicadores'!Q7</f>
        <v>0.33</v>
      </c>
      <c r="F14" s="464">
        <f>+'1.Informe Seguimiento POA 2022'!O57</f>
        <v>8.7999999999999995E-2</v>
      </c>
      <c r="G14" s="464">
        <f>+'1.Informe Seguimiento POA 2022'!O57</f>
        <v>8.7999999999999995E-2</v>
      </c>
      <c r="H14" s="464">
        <f>+'1.Informe Seguimiento POA 2022'!P57</f>
        <v>8.7999999999999995E-2</v>
      </c>
      <c r="I14" s="464">
        <f>+'1.Informe Seguimiento POA 2022'!P57</f>
        <v>8.7999999999999995E-2</v>
      </c>
      <c r="J14" s="464">
        <f t="shared" si="6"/>
        <v>8.7999999999999995E-2</v>
      </c>
      <c r="K14" s="435">
        <f t="shared" si="0"/>
        <v>1</v>
      </c>
      <c r="L14" s="435">
        <f t="shared" si="7"/>
        <v>1</v>
      </c>
      <c r="M14" s="435">
        <f t="shared" si="8"/>
        <v>0.26666666666666666</v>
      </c>
      <c r="N14" s="464">
        <f t="shared" si="9"/>
        <v>0.33</v>
      </c>
      <c r="O14" s="464">
        <f>+'1.Informe Seguimiento POA 2022'!Q57</f>
        <v>8.7999999999999995E-2</v>
      </c>
      <c r="P14" s="464">
        <f>+'1.Informe Seguimiento POA 2022'!O57+'1.Informe Seguimiento POA 2022'!Q57</f>
        <v>0.17599999999999999</v>
      </c>
      <c r="Q14" s="464">
        <f>+'1.Informe Seguimiento POA 2022'!R57</f>
        <v>8.7999999999999995E-2</v>
      </c>
      <c r="R14" s="464">
        <f>+'1.Informe Seguimiento POA 2022'!P57+'1.Informe Seguimiento POA 2022'!R57</f>
        <v>0.17599999999999999</v>
      </c>
      <c r="S14" s="464">
        <f t="shared" si="10"/>
        <v>0.17599999999999999</v>
      </c>
      <c r="T14" s="435">
        <f t="shared" si="1"/>
        <v>1</v>
      </c>
      <c r="U14" s="435">
        <f t="shared" si="11"/>
        <v>1</v>
      </c>
      <c r="V14" s="435">
        <f t="shared" si="12"/>
        <v>0.53333333333333333</v>
      </c>
      <c r="W14" s="464">
        <f t="shared" si="2"/>
        <v>0.33</v>
      </c>
      <c r="X14" s="464">
        <f>+'1.Informe Seguimiento POA 2022'!S57</f>
        <v>8.7999999999999995E-2</v>
      </c>
      <c r="Y14" s="464">
        <f>+'1.Informe Seguimiento POA 2022'!O57+'1.Informe Seguimiento POA 2022'!Q57+'1.Informe Seguimiento POA 2022'!S57</f>
        <v>0.26400000000000001</v>
      </c>
      <c r="Z14" s="464">
        <f>+'1.Informe Seguimiento POA 2022'!T57</f>
        <v>8.7999999999999995E-2</v>
      </c>
      <c r="AA14" s="464">
        <f>+'1.Informe Seguimiento POA 2022'!R57+'1.Informe Seguimiento POA 2022'!T57+'1.Informe Seguimiento POA 2022'!P57</f>
        <v>0.26400000000000001</v>
      </c>
      <c r="AB14" s="464">
        <f t="shared" si="13"/>
        <v>0.26400000000000001</v>
      </c>
      <c r="AC14" s="435">
        <f t="shared" si="3"/>
        <v>1</v>
      </c>
      <c r="AD14" s="435">
        <f t="shared" si="4"/>
        <v>1</v>
      </c>
      <c r="AE14" s="435">
        <f t="shared" si="14"/>
        <v>0.8</v>
      </c>
      <c r="AF14" s="464">
        <f t="shared" si="15"/>
        <v>0.33</v>
      </c>
      <c r="AG14" s="464">
        <f>+'1.Informe Seguimiento POA 2022'!U57</f>
        <v>6.6000000000000003E-2</v>
      </c>
      <c r="AH14" s="464">
        <f>+'1.Informe Seguimiento POA 2022'!O57+'1.Informe Seguimiento POA 2022'!Q57+'1.Informe Seguimiento POA 2022'!S57+'1.Informe Seguimiento POA 2022'!U57</f>
        <v>0.33</v>
      </c>
      <c r="AI14" s="464">
        <f>+'1.Informe Seguimiento POA 2022'!V57</f>
        <v>6.6000000000000003E-2</v>
      </c>
      <c r="AJ14" s="556">
        <f>+'1.Informe Seguimiento POA 2022'!P57+'1.Informe Seguimiento POA 2022'!R57+'1.Informe Seguimiento POA 2022'!T57+'1.Informe Seguimiento POA 2022'!V57</f>
        <v>0.33</v>
      </c>
      <c r="AK14" s="555">
        <f t="shared" si="16"/>
        <v>0.33</v>
      </c>
      <c r="AL14" s="435">
        <f t="shared" si="5"/>
        <v>1</v>
      </c>
      <c r="AM14" s="435">
        <f t="shared" si="5"/>
        <v>1</v>
      </c>
      <c r="AN14" s="435">
        <f>IF(AND(AF14&gt;0,$AK14&gt;0),AK14/$AF14,0)</f>
        <v>1</v>
      </c>
      <c r="AO14" s="435" t="str">
        <f>+'Rango indicadores'!H7</f>
        <v>Mayor o igual A:</v>
      </c>
      <c r="AP14" s="434">
        <f>+'Rango indicadores'!I7</f>
        <v>95</v>
      </c>
      <c r="AQ14" s="434" t="str">
        <f>+'Rango indicadores'!J7</f>
        <v>Desde (&gt;):</v>
      </c>
      <c r="AR14" s="434">
        <f>+'Rango indicadores'!K7</f>
        <v>85</v>
      </c>
      <c r="AS14" s="434" t="str">
        <f>+'Rango indicadores'!L7</f>
        <v>Hasta (&lt;):</v>
      </c>
      <c r="AT14" s="434">
        <f>+'Rango indicadores'!M7</f>
        <v>95</v>
      </c>
      <c r="AU14" s="434" t="str">
        <f>+'Rango indicadores'!N7</f>
        <v>Menor o Igual A:</v>
      </c>
      <c r="AV14" s="434">
        <f>+'Rango indicadores'!O7</f>
        <v>85</v>
      </c>
      <c r="AW14" s="523" t="s">
        <v>1175</v>
      </c>
      <c r="AY14" s="592"/>
      <c r="BA14" s="592"/>
    </row>
    <row r="15" spans="2:55" ht="35.25" customHeight="1">
      <c r="B15" s="431">
        <f>1+B14</f>
        <v>4</v>
      </c>
      <c r="C15" s="433" t="str">
        <f>+'Rango indicadores'!D8</f>
        <v>01-RI-04</v>
      </c>
      <c r="D15" s="432" t="str">
        <f>+'Rango indicadores'!E8</f>
        <v>Acciones de monitoreo y revisión realizadas al PAAC</v>
      </c>
      <c r="E15" s="434">
        <f>+'Rango indicadores'!Q8</f>
        <v>3</v>
      </c>
      <c r="F15" s="434">
        <f>+'1.Informe Seguimiento POA 2022'!O58</f>
        <v>1</v>
      </c>
      <c r="G15" s="434">
        <f>+'1.Informe Seguimiento POA 2022'!O58</f>
        <v>1</v>
      </c>
      <c r="H15" s="434">
        <f>+'1.Informe Seguimiento POA 2022'!P58</f>
        <v>1</v>
      </c>
      <c r="I15" s="434">
        <f>+'1.Informe Seguimiento POA 2022'!P58</f>
        <v>1</v>
      </c>
      <c r="J15" s="434">
        <f>+I15</f>
        <v>1</v>
      </c>
      <c r="K15" s="435">
        <f t="shared" si="0"/>
        <v>1</v>
      </c>
      <c r="L15" s="435">
        <f t="shared" si="7"/>
        <v>1</v>
      </c>
      <c r="M15" s="435">
        <f t="shared" si="8"/>
        <v>0.33333333333333331</v>
      </c>
      <c r="N15" s="434">
        <f t="shared" si="9"/>
        <v>3</v>
      </c>
      <c r="O15" s="434">
        <f>+'1.Informe Seguimiento POA 2022'!Q58</f>
        <v>1</v>
      </c>
      <c r="P15" s="434">
        <f>+'1.Informe Seguimiento POA 2022'!O58+'1.Informe Seguimiento POA 2022'!Q58</f>
        <v>2</v>
      </c>
      <c r="Q15" s="434">
        <f>+'1.Informe Seguimiento POA 2022'!R58</f>
        <v>1</v>
      </c>
      <c r="R15" s="434">
        <f>+'1.Informe Seguimiento POA 2022'!P58+'1.Informe Seguimiento POA 2022'!R58</f>
        <v>2</v>
      </c>
      <c r="S15" s="434">
        <f t="shared" si="10"/>
        <v>2</v>
      </c>
      <c r="T15" s="435">
        <f t="shared" si="1"/>
        <v>1</v>
      </c>
      <c r="U15" s="435">
        <f t="shared" si="11"/>
        <v>1</v>
      </c>
      <c r="V15" s="435">
        <f t="shared" si="12"/>
        <v>0.66666666666666663</v>
      </c>
      <c r="W15" s="434">
        <f>N15</f>
        <v>3</v>
      </c>
      <c r="X15" s="434">
        <f>+'1.Informe Seguimiento POA 2022'!S58</f>
        <v>1</v>
      </c>
      <c r="Y15" s="434">
        <f>+'1.Informe Seguimiento POA 2022'!O58+'1.Informe Seguimiento POA 2022'!Q58+'1.Informe Seguimiento POA 2022'!S58</f>
        <v>3</v>
      </c>
      <c r="Z15" s="434">
        <f>+'1.Informe Seguimiento POA 2022'!T58</f>
        <v>1</v>
      </c>
      <c r="AA15" s="434">
        <f>+'1.Informe Seguimiento POA 2022'!R58+'1.Informe Seguimiento POA 2022'!T58+'1.Informe Seguimiento POA 2022'!P58</f>
        <v>3</v>
      </c>
      <c r="AB15" s="434">
        <f t="shared" si="13"/>
        <v>3</v>
      </c>
      <c r="AC15" s="435">
        <f t="shared" si="3"/>
        <v>1</v>
      </c>
      <c r="AD15" s="435">
        <f t="shared" si="4"/>
        <v>1</v>
      </c>
      <c r="AE15" s="435">
        <f t="shared" si="14"/>
        <v>1</v>
      </c>
      <c r="AF15" s="434">
        <f>+W15</f>
        <v>3</v>
      </c>
      <c r="AG15" s="434">
        <f>+'1.Informe Seguimiento POA 2022'!U58</f>
        <v>0</v>
      </c>
      <c r="AH15" s="434">
        <f>+'1.Informe Seguimiento POA 2022'!O58+'1.Informe Seguimiento POA 2022'!Q58+'1.Informe Seguimiento POA 2022'!S58+'1.Informe Seguimiento POA 2022'!U58</f>
        <v>3</v>
      </c>
      <c r="AI15" s="434">
        <f>+'1.Informe Seguimiento POA 2022'!V58</f>
        <v>0</v>
      </c>
      <c r="AJ15" s="434">
        <f>+'1.Informe Seguimiento POA 2022'!P58+'1.Informe Seguimiento POA 2022'!R58+'1.Informe Seguimiento POA 2022'!T58+'1.Informe Seguimiento POA 2022'!V58</f>
        <v>3</v>
      </c>
      <c r="AK15" s="434">
        <f t="shared" si="16"/>
        <v>3</v>
      </c>
      <c r="AL15" s="435" t="str">
        <f t="shared" si="5"/>
        <v>No programado</v>
      </c>
      <c r="AM15" s="435">
        <f t="shared" si="5"/>
        <v>1</v>
      </c>
      <c r="AN15" s="435">
        <f>IF(AND(AF15&gt;0,$AK15&gt;0),AK15/$AF15,0)</f>
        <v>1</v>
      </c>
      <c r="AO15" s="435" t="str">
        <f>+'Rango indicadores'!H8</f>
        <v>Mayor o igual A:</v>
      </c>
      <c r="AP15" s="434">
        <f>+'Rango indicadores'!I8</f>
        <v>100</v>
      </c>
      <c r="AQ15" s="434" t="str">
        <f>+'Rango indicadores'!J8</f>
        <v>Desde (&gt;):</v>
      </c>
      <c r="AR15" s="434">
        <f>+'Rango indicadores'!K8</f>
        <v>80</v>
      </c>
      <c r="AS15" s="434" t="str">
        <f>+'Rango indicadores'!L8</f>
        <v>Hasta (&lt;):</v>
      </c>
      <c r="AT15" s="434">
        <f>+'Rango indicadores'!M8</f>
        <v>100</v>
      </c>
      <c r="AU15" s="434" t="str">
        <f>+'Rango indicadores'!N8</f>
        <v>Menor o Igual A:</v>
      </c>
      <c r="AV15" s="434">
        <f>+'Rango indicadores'!O8</f>
        <v>80</v>
      </c>
      <c r="AW15" s="523" t="s">
        <v>1175</v>
      </c>
      <c r="AY15" s="589"/>
      <c r="BA15" s="589"/>
    </row>
    <row r="16" spans="2:55" ht="15.6">
      <c r="C16" s="1378" t="s">
        <v>866</v>
      </c>
      <c r="D16" s="1379"/>
      <c r="E16" s="1379"/>
      <c r="F16" s="1379"/>
      <c r="G16" s="1379"/>
      <c r="H16" s="1379"/>
      <c r="I16" s="1379"/>
      <c r="J16" s="1379"/>
      <c r="K16" s="437">
        <f>IFERROR(AVERAGE(K12:K15),0)</f>
        <v>1</v>
      </c>
      <c r="L16" s="437">
        <f>IFERROR(AVERAGE(L12:L15),0)</f>
        <v>1</v>
      </c>
      <c r="M16" s="437">
        <f>IFERROR(AVERAGE(M12:M15),0)</f>
        <v>0.30107142857142855</v>
      </c>
      <c r="N16" s="880"/>
      <c r="O16" s="880"/>
      <c r="P16" s="880"/>
      <c r="Q16" s="880"/>
      <c r="R16" s="880"/>
      <c r="S16" s="880"/>
      <c r="T16" s="437">
        <f>IFERROR(AVERAGE(T12:T15),0)</f>
        <v>1.0032407407407407</v>
      </c>
      <c r="U16" s="437">
        <f>IFERROR(AVERAGE(U12:U15),0)</f>
        <v>1.0021974306964165</v>
      </c>
      <c r="V16" s="437">
        <f>IFERROR(AVERAGE(V12:V15),0)</f>
        <v>0.58378571428571424</v>
      </c>
      <c r="W16" s="880"/>
      <c r="X16" s="880"/>
      <c r="Y16" s="880"/>
      <c r="Z16" s="880"/>
      <c r="AA16" s="880"/>
      <c r="AB16" s="880"/>
      <c r="AC16" s="437">
        <f>IFERROR(AVERAGE(AC12:AC15),0)</f>
        <v>1.0074074074074075</v>
      </c>
      <c r="AD16" s="437">
        <f>IFERROR(AVERAGE(AD12:AD15),0)</f>
        <v>1.003812415654521</v>
      </c>
      <c r="AE16" s="437">
        <f>IFERROR(AVERAGE(AE12:AE15),0)</f>
        <v>0.85149999999999992</v>
      </c>
      <c r="AF16" s="880"/>
      <c r="AG16" s="880"/>
      <c r="AH16" s="880"/>
      <c r="AI16" s="880"/>
      <c r="AJ16" s="880"/>
      <c r="AK16" s="881"/>
      <c r="AL16" s="437">
        <f>IFERROR(AVERAGE(AL12:AL15),0)</f>
        <v>0.98284382284382277</v>
      </c>
      <c r="AM16" s="437">
        <f>IFERROR(AVERAGE(AM12:AM15),0)</f>
        <v>0.99990000000000001</v>
      </c>
      <c r="AN16" s="437">
        <f>IFERROR(AVERAGE(AN12:AN15),0)</f>
        <v>0.99990000000000001</v>
      </c>
      <c r="AO16" s="426"/>
      <c r="AP16" s="426"/>
      <c r="AQ16" s="426"/>
      <c r="AR16" s="426"/>
      <c r="AS16" s="426"/>
      <c r="AT16" s="426"/>
      <c r="AU16" s="426"/>
      <c r="AV16" s="426"/>
      <c r="AW16" s="529"/>
    </row>
    <row r="17" spans="2:53" ht="24" customHeight="1" thickBot="1">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row>
    <row r="18" spans="2:53" ht="16.2" thickBot="1">
      <c r="C18" s="438" t="s">
        <v>867</v>
      </c>
      <c r="D18" s="461"/>
      <c r="E18" s="1380" t="s">
        <v>1128</v>
      </c>
      <c r="F18" s="1381"/>
      <c r="G18" s="1381"/>
      <c r="H18" s="1381"/>
      <c r="I18" s="1381"/>
      <c r="J18" s="1381"/>
      <c r="K18" s="1381"/>
      <c r="L18" s="1381"/>
      <c r="M18" s="1382"/>
      <c r="N18" s="1383" t="s">
        <v>1129</v>
      </c>
      <c r="O18" s="1384"/>
      <c r="P18" s="1384"/>
      <c r="Q18" s="1384"/>
      <c r="R18" s="1384"/>
      <c r="S18" s="1384"/>
      <c r="T18" s="1384"/>
      <c r="U18" s="1384"/>
      <c r="V18" s="1385"/>
      <c r="W18" s="1386" t="s">
        <v>1130</v>
      </c>
      <c r="X18" s="1387"/>
      <c r="Y18" s="1387"/>
      <c r="Z18" s="1387"/>
      <c r="AA18" s="1387"/>
      <c r="AB18" s="1387"/>
      <c r="AC18" s="1387"/>
      <c r="AD18" s="1387"/>
      <c r="AE18" s="1388"/>
      <c r="AF18" s="1383" t="s">
        <v>1046</v>
      </c>
      <c r="AG18" s="1384"/>
      <c r="AH18" s="1384"/>
      <c r="AI18" s="1384"/>
      <c r="AJ18" s="1384"/>
      <c r="AK18" s="1384"/>
      <c r="AL18" s="1384"/>
      <c r="AM18" s="1384"/>
      <c r="AN18" s="1385"/>
    </row>
    <row r="19" spans="2:53" ht="24" customHeight="1">
      <c r="C19" s="1393" t="str">
        <f>+$C$10</f>
        <v>Identificación del Indicador</v>
      </c>
      <c r="D19" s="1396" t="s">
        <v>861</v>
      </c>
      <c r="E19" s="1389" t="s">
        <v>862</v>
      </c>
      <c r="F19" s="1390"/>
      <c r="G19" s="1391"/>
      <c r="H19" s="1392" t="s">
        <v>1132</v>
      </c>
      <c r="I19" s="1394" t="s">
        <v>1136</v>
      </c>
      <c r="J19" s="1392" t="s">
        <v>863</v>
      </c>
      <c r="K19" s="1392" t="s">
        <v>857</v>
      </c>
      <c r="L19" s="1392"/>
      <c r="M19" s="1392"/>
      <c r="N19" s="1389" t="s">
        <v>862</v>
      </c>
      <c r="O19" s="1390"/>
      <c r="P19" s="1391"/>
      <c r="Q19" s="1392" t="s">
        <v>1141</v>
      </c>
      <c r="R19" s="1394" t="s">
        <v>1133</v>
      </c>
      <c r="S19" s="1392" t="s">
        <v>863</v>
      </c>
      <c r="T19" s="1392" t="s">
        <v>857</v>
      </c>
      <c r="U19" s="1392"/>
      <c r="V19" s="1392"/>
      <c r="W19" s="1389" t="s">
        <v>862</v>
      </c>
      <c r="X19" s="1390"/>
      <c r="Y19" s="1391"/>
      <c r="Z19" s="1392" t="s">
        <v>1142</v>
      </c>
      <c r="AA19" s="1394" t="s">
        <v>1138</v>
      </c>
      <c r="AB19" s="1392" t="s">
        <v>863</v>
      </c>
      <c r="AC19" s="1392" t="s">
        <v>857</v>
      </c>
      <c r="AD19" s="1392"/>
      <c r="AE19" s="1392"/>
      <c r="AF19" s="1389" t="s">
        <v>862</v>
      </c>
      <c r="AG19" s="1390"/>
      <c r="AH19" s="1391"/>
      <c r="AI19" s="1392" t="s">
        <v>1172</v>
      </c>
      <c r="AJ19" s="1394" t="s">
        <v>1173</v>
      </c>
      <c r="AK19" s="1392" t="s">
        <v>863</v>
      </c>
      <c r="AL19" s="1392" t="s">
        <v>857</v>
      </c>
      <c r="AM19" s="1392"/>
      <c r="AN19" s="1392"/>
      <c r="AO19" s="1398" t="s">
        <v>709</v>
      </c>
      <c r="AP19" s="1398"/>
      <c r="AQ19" s="1398"/>
      <c r="AR19" s="1398"/>
      <c r="AS19" s="1398"/>
      <c r="AT19" s="1398"/>
      <c r="AU19" s="1398"/>
      <c r="AV19" s="1398"/>
      <c r="AW19" s="1393" t="s">
        <v>882</v>
      </c>
    </row>
    <row r="20" spans="2:53" ht="50.25" customHeight="1">
      <c r="C20" s="1393"/>
      <c r="D20" s="1396"/>
      <c r="E20" s="1024" t="s">
        <v>1143</v>
      </c>
      <c r="F20" s="1024" t="str">
        <f>+E18</f>
        <v>Primer Trimestre</v>
      </c>
      <c r="G20" s="1025" t="s">
        <v>1135</v>
      </c>
      <c r="H20" s="1393"/>
      <c r="I20" s="1395"/>
      <c r="J20" s="1393"/>
      <c r="K20" s="1024" t="str">
        <f>+$D$6</f>
        <v>Cuarto Trimestre</v>
      </c>
      <c r="L20" s="1025" t="str">
        <f>+G20</f>
        <v>Acumulado
Corte 
31/03/2022</v>
      </c>
      <c r="M20" s="1026" t="s">
        <v>754</v>
      </c>
      <c r="N20" s="1024" t="s">
        <v>1143</v>
      </c>
      <c r="O20" s="1024" t="str">
        <f>+N18</f>
        <v>Segundo Trimestre</v>
      </c>
      <c r="P20" s="1025" t="s">
        <v>1134</v>
      </c>
      <c r="Q20" s="1393"/>
      <c r="R20" s="1395"/>
      <c r="S20" s="1393"/>
      <c r="T20" s="1024" t="str">
        <f>+O20</f>
        <v>Segundo Trimestre</v>
      </c>
      <c r="U20" s="1025" t="str">
        <f>+P20</f>
        <v>Acumulado Corte 
30/06/2022</v>
      </c>
      <c r="V20" s="1026" t="s">
        <v>754</v>
      </c>
      <c r="W20" s="1024" t="s">
        <v>1143</v>
      </c>
      <c r="X20" s="1024" t="str">
        <f>+W18</f>
        <v>Tercer Trimestre</v>
      </c>
      <c r="Y20" s="1025" t="s">
        <v>1137</v>
      </c>
      <c r="Z20" s="1393"/>
      <c r="AA20" s="1395"/>
      <c r="AB20" s="1393"/>
      <c r="AC20" s="1024" t="str">
        <f>+X20</f>
        <v>Tercer Trimestre</v>
      </c>
      <c r="AD20" s="1025" t="str">
        <f>+Y20</f>
        <v>Acumulado Corte 
30/09/2022</v>
      </c>
      <c r="AE20" s="1026" t="s">
        <v>754</v>
      </c>
      <c r="AF20" s="1024" t="s">
        <v>1143</v>
      </c>
      <c r="AG20" s="1024" t="s">
        <v>1171</v>
      </c>
      <c r="AH20" s="1025" t="s">
        <v>1139</v>
      </c>
      <c r="AI20" s="1393"/>
      <c r="AJ20" s="1395"/>
      <c r="AK20" s="1393"/>
      <c r="AL20" s="1024" t="str">
        <f>+AG20</f>
        <v>Cuarto Trimestre
31-12-2022</v>
      </c>
      <c r="AM20" s="1025" t="str">
        <f>+AH20</f>
        <v>Acumulado Corte 
31/12/2022</v>
      </c>
      <c r="AN20" s="1026" t="s">
        <v>754</v>
      </c>
      <c r="AO20" s="1097" t="s">
        <v>864</v>
      </c>
      <c r="AP20" s="1098"/>
      <c r="AQ20" s="1099" t="s">
        <v>865</v>
      </c>
      <c r="AR20" s="1100"/>
      <c r="AS20" s="1100"/>
      <c r="AT20" s="1101"/>
      <c r="AU20" s="1102" t="s">
        <v>717</v>
      </c>
      <c r="AV20" s="1103"/>
      <c r="AW20" s="1393"/>
    </row>
    <row r="21" spans="2:53" ht="35.25" customHeight="1">
      <c r="B21" s="431">
        <f>+B15+1</f>
        <v>5</v>
      </c>
      <c r="C21" s="433" t="str">
        <f>+'Rango indicadores'!D9</f>
        <v>02-RI-01</v>
      </c>
      <c r="D21" s="432" t="str">
        <f>+'Rango indicadores'!E9</f>
        <v>Proyectos de Investigación, Desarrollo e Innovación (I+D+I) elaborados</v>
      </c>
      <c r="E21" s="434">
        <f>+'Rango indicadores'!Q9</f>
        <v>1</v>
      </c>
      <c r="F21" s="434">
        <f>+'1.Informe Seguimiento POA 2022'!O96</f>
        <v>0</v>
      </c>
      <c r="G21" s="434">
        <f>+'1.Informe Seguimiento POA 2022'!O96</f>
        <v>0</v>
      </c>
      <c r="H21" s="434">
        <f>+'1.Informe Seguimiento POA 2022'!P96</f>
        <v>0</v>
      </c>
      <c r="I21" s="434">
        <f>+'1.Informe Seguimiento POA 2022'!Y96</f>
        <v>1</v>
      </c>
      <c r="J21" s="434">
        <f>+I21</f>
        <v>1</v>
      </c>
      <c r="K21" s="440" t="str">
        <f>IF(AND(F21&gt;0),H21/F21,"No programado")</f>
        <v>No programado</v>
      </c>
      <c r="L21" s="440" t="str">
        <f>IF(AND(G21&gt;0),I21/G21,"No programado")</f>
        <v>No programado</v>
      </c>
      <c r="M21" s="435">
        <f t="shared" ref="M21:M24" si="17">IF(AND(E21&gt;0,$J21&gt;0),J21/$E21,0)</f>
        <v>1</v>
      </c>
      <c r="N21" s="434">
        <f t="shared" ref="N21" si="18">+E21</f>
        <v>1</v>
      </c>
      <c r="O21" s="434">
        <f>+'1.Informe Seguimiento POA 2022'!Q96</f>
        <v>0</v>
      </c>
      <c r="P21" s="434">
        <f>+'1.Informe Seguimiento POA 2022'!O96+'1.Informe Seguimiento POA 2022'!Q96</f>
        <v>0</v>
      </c>
      <c r="Q21" s="434">
        <f>+'1.Informe Seguimiento POA 2022'!R96</f>
        <v>0</v>
      </c>
      <c r="R21" s="434">
        <f>+'1.Informe Seguimiento POA 2022'!P96+'1.Informe Seguimiento POA 2022'!R96</f>
        <v>0</v>
      </c>
      <c r="S21" s="434">
        <f t="shared" ref="S21:S24" si="19">H21+Q21</f>
        <v>0</v>
      </c>
      <c r="T21" s="440" t="str">
        <f>IF(AND(O21&gt;0),Q21/O21,"No programado")</f>
        <v>No programado</v>
      </c>
      <c r="U21" s="440" t="str">
        <f>IF(AND(P21&gt;0),R21/P21,"No programado")</f>
        <v>No programado</v>
      </c>
      <c r="V21" s="435">
        <f>IF(AND(N21&gt;0,$S21&gt;0),S21/$N21,0)</f>
        <v>0</v>
      </c>
      <c r="W21" s="434">
        <f t="shared" ref="W21:W24" si="20">N21</f>
        <v>1</v>
      </c>
      <c r="X21" s="434">
        <f>+'1.Informe Seguimiento POA 2022'!S96</f>
        <v>0</v>
      </c>
      <c r="Y21" s="434">
        <f>+'1.Informe Seguimiento POA 2022'!O96+'1.Informe Seguimiento POA 2022'!Q96+'1.Informe Seguimiento POA 2022'!S96</f>
        <v>0</v>
      </c>
      <c r="Z21" s="434">
        <f>+'1.Informe Seguimiento POA 2022'!T96</f>
        <v>0</v>
      </c>
      <c r="AA21" s="434">
        <f>+'1.Informe Seguimiento POA 2022'!R96+'1.Informe Seguimiento POA 2022'!T96+'1.Informe Seguimiento POA 2022'!P96</f>
        <v>0</v>
      </c>
      <c r="AB21" s="434">
        <f t="shared" ref="AB21:AB24" si="21">H21+Q21+Z21</f>
        <v>0</v>
      </c>
      <c r="AC21" s="440" t="str">
        <f>IF(AND(X21&gt;0),Z21/X21,"No programado")</f>
        <v>No programado</v>
      </c>
      <c r="AD21" s="440" t="str">
        <f>IF(AND(Y21&gt;0),AA21/Y21,"No programado")</f>
        <v>No programado</v>
      </c>
      <c r="AE21" s="435">
        <f>IF(AND(W21&gt;0,$AB21&gt;0),AB21/$W21,0)</f>
        <v>0</v>
      </c>
      <c r="AF21" s="434">
        <f>+W21</f>
        <v>1</v>
      </c>
      <c r="AG21" s="434">
        <f>+'1.Informe Seguimiento POA 2022'!U96</f>
        <v>1</v>
      </c>
      <c r="AH21" s="434">
        <f>+'1.Informe Seguimiento POA 2022'!O96+'1.Informe Seguimiento POA 2022'!Q96+'1.Informe Seguimiento POA 2022'!S96+'1.Informe Seguimiento POA 2022'!U96</f>
        <v>1</v>
      </c>
      <c r="AI21" s="434">
        <f>+'1.Informe Seguimiento POA 2022'!V96</f>
        <v>1</v>
      </c>
      <c r="AJ21" s="434">
        <f>+'1.Informe Seguimiento POA 2022'!P96+'1.Informe Seguimiento POA 2022'!R96+'1.Informe Seguimiento POA 2022'!T96+'1.Informe Seguimiento POA 2022'!V96</f>
        <v>1</v>
      </c>
      <c r="AK21" s="434">
        <f t="shared" ref="AK21:AK24" si="22">H21+Q21+Z21+AI21</f>
        <v>1</v>
      </c>
      <c r="AL21" s="440">
        <f>IF(AND(AG21&gt;0),AI21/AG21,"No programado")</f>
        <v>1</v>
      </c>
      <c r="AM21" s="440">
        <f>IF(AND(AH21&gt;0),AJ21/AH21,"No programado")</f>
        <v>1</v>
      </c>
      <c r="AN21" s="435">
        <f>IF(AND(AF21&gt;0,$AK21&gt;0),AK21/$AF21,0)</f>
        <v>1</v>
      </c>
      <c r="AO21" s="422" t="str">
        <f>+'Rango indicadores'!H9</f>
        <v>Mayor o igual A:</v>
      </c>
      <c r="AP21" s="434">
        <f>+'Rango indicadores'!I9</f>
        <v>100</v>
      </c>
      <c r="AQ21" s="422" t="str">
        <f>+'Rango indicadores'!J9</f>
        <v>Desde (&gt;):</v>
      </c>
      <c r="AR21" s="434">
        <f>+'Rango indicadores'!K9</f>
        <v>60</v>
      </c>
      <c r="AS21" s="422" t="str">
        <f>+'Rango indicadores'!L9</f>
        <v>Hasta (&lt;):</v>
      </c>
      <c r="AT21" s="434">
        <f>+'Rango indicadores'!M9</f>
        <v>100</v>
      </c>
      <c r="AU21" s="422" t="str">
        <f>+'Rango indicadores'!N9</f>
        <v>Menor o Igual A:</v>
      </c>
      <c r="AV21" s="434">
        <f>+'Rango indicadores'!O9</f>
        <v>60</v>
      </c>
      <c r="AW21" s="523" t="s">
        <v>1175</v>
      </c>
      <c r="BA21" s="589"/>
    </row>
    <row r="22" spans="2:53" ht="35.25" customHeight="1">
      <c r="B22" s="431">
        <f>+B21+1</f>
        <v>6</v>
      </c>
      <c r="C22" s="433" t="str">
        <f>+'Rango indicadores'!D10</f>
        <v>02-RI-04</v>
      </c>
      <c r="D22" s="432" t="str">
        <f>+'Rango indicadores'!E10</f>
        <v>Productos resultado de investigaciones, entregadas para la comunidad</v>
      </c>
      <c r="E22" s="434">
        <f>+'Rango indicadores'!Q10</f>
        <v>1</v>
      </c>
      <c r="F22" s="434">
        <f>+'1.Informe Seguimiento POA 2022'!O97</f>
        <v>0</v>
      </c>
      <c r="G22" s="434">
        <f>+'1.Informe Seguimiento POA 2022'!O97</f>
        <v>0</v>
      </c>
      <c r="H22" s="434">
        <f>+'1.Informe Seguimiento POA 2022'!P97</f>
        <v>0</v>
      </c>
      <c r="I22" s="434">
        <f>+'1.Informe Seguimiento POA 2022'!P97</f>
        <v>0</v>
      </c>
      <c r="J22" s="434">
        <f t="shared" ref="J22:J24" si="23">+I22</f>
        <v>0</v>
      </c>
      <c r="K22" s="440" t="str">
        <f>IF(AND(F22&gt;0),H22/F22,"No programado")</f>
        <v>No programado</v>
      </c>
      <c r="L22" s="440" t="str">
        <f>IF(AND(G22&gt;0),I22/G22,"No programado")</f>
        <v>No programado</v>
      </c>
      <c r="M22" s="435">
        <f t="shared" si="17"/>
        <v>0</v>
      </c>
      <c r="N22" s="434">
        <f t="shared" ref="N22:N24" si="24">+E22</f>
        <v>1</v>
      </c>
      <c r="O22" s="434">
        <f>+'1.Informe Seguimiento POA 2022'!Q97</f>
        <v>0</v>
      </c>
      <c r="P22" s="434">
        <f>+'1.Informe Seguimiento POA 2022'!O97+'1.Informe Seguimiento POA 2022'!Q97</f>
        <v>0</v>
      </c>
      <c r="Q22" s="434">
        <f>+'1.Informe Seguimiento POA 2022'!R97</f>
        <v>0</v>
      </c>
      <c r="R22" s="434">
        <f>+'1.Informe Seguimiento POA 2022'!P97+'1.Informe Seguimiento POA 2022'!R97</f>
        <v>0</v>
      </c>
      <c r="S22" s="434">
        <f t="shared" si="19"/>
        <v>0</v>
      </c>
      <c r="T22" s="440" t="str">
        <f>IF(AND(O22&gt;0),Q22/O22,"No programado")</f>
        <v>No programado</v>
      </c>
      <c r="U22" s="440" t="str">
        <f>IF(AND(P22&gt;0),R22/P22,"No programado")</f>
        <v>No programado</v>
      </c>
      <c r="V22" s="435">
        <f>IF(AND(N22&gt;0,$S22&gt;0),S22/$N22,0)</f>
        <v>0</v>
      </c>
      <c r="W22" s="434">
        <f t="shared" si="20"/>
        <v>1</v>
      </c>
      <c r="X22" s="434">
        <f>+'1.Informe Seguimiento POA 2022'!S97</f>
        <v>0</v>
      </c>
      <c r="Y22" s="434">
        <f>+'1.Informe Seguimiento POA 2022'!O97+'1.Informe Seguimiento POA 2022'!Q97+'1.Informe Seguimiento POA 2022'!S97</f>
        <v>0</v>
      </c>
      <c r="Z22" s="434">
        <f>+'1.Informe Seguimiento POA 2022'!T97</f>
        <v>0</v>
      </c>
      <c r="AA22" s="434">
        <f>+'1.Informe Seguimiento POA 2022'!R97+'1.Informe Seguimiento POA 2022'!T97+'1.Informe Seguimiento POA 2022'!P97</f>
        <v>0</v>
      </c>
      <c r="AB22" s="434">
        <f t="shared" si="21"/>
        <v>0</v>
      </c>
      <c r="AC22" s="440" t="str">
        <f t="shared" ref="AC22:AC23" si="25">IF(AND(X22&gt;0),Z22/X22,"No programado")</f>
        <v>No programado</v>
      </c>
      <c r="AD22" s="440" t="str">
        <f t="shared" ref="AD22:AD23" si="26">IF(AND(Y22&gt;0),AA22/Y22,"No programado")</f>
        <v>No programado</v>
      </c>
      <c r="AE22" s="435">
        <f t="shared" ref="AE22:AE24" si="27">IF(AND(W22&gt;0,$AB22&gt;0),AB22/$W22,0)</f>
        <v>0</v>
      </c>
      <c r="AF22" s="434">
        <f t="shared" ref="AF22:AF24" si="28">+W22</f>
        <v>1</v>
      </c>
      <c r="AG22" s="434">
        <f>+'1.Informe Seguimiento POA 2022'!U97</f>
        <v>1</v>
      </c>
      <c r="AH22" s="434">
        <f>+'1.Informe Seguimiento POA 2022'!O97+'1.Informe Seguimiento POA 2022'!Q97+'1.Informe Seguimiento POA 2022'!S97+'1.Informe Seguimiento POA 2022'!U97</f>
        <v>1</v>
      </c>
      <c r="AI22" s="434">
        <f>+'1.Informe Seguimiento POA 2022'!V97</f>
        <v>1</v>
      </c>
      <c r="AJ22" s="434">
        <f>+'1.Informe Seguimiento POA 2022'!P97+'1.Informe Seguimiento POA 2022'!R97+'1.Informe Seguimiento POA 2022'!T97+'1.Informe Seguimiento POA 2022'!V97</f>
        <v>1</v>
      </c>
      <c r="AK22" s="434">
        <f t="shared" si="22"/>
        <v>1</v>
      </c>
      <c r="AL22" s="440">
        <f>IF(AND(AG22&gt;0),AI22/AG22,"No programado")</f>
        <v>1</v>
      </c>
      <c r="AM22" s="440">
        <f>IF(AND(AH22&gt;0),AJ22/AH22,"No programado")</f>
        <v>1</v>
      </c>
      <c r="AN22" s="435">
        <f>IF(AND(AF22&gt;0,$AK22&gt;0),AK22/$AF22,0)</f>
        <v>1</v>
      </c>
      <c r="AO22" s="422" t="str">
        <f>+'Rango indicadores'!H10</f>
        <v>Mayor o igual A:</v>
      </c>
      <c r="AP22" s="434">
        <f>+'Rango indicadores'!I10</f>
        <v>100</v>
      </c>
      <c r="AQ22" s="422" t="str">
        <f>+'Rango indicadores'!J10</f>
        <v>Desde (&gt;):</v>
      </c>
      <c r="AR22" s="434">
        <f>+'Rango indicadores'!K10</f>
        <v>60</v>
      </c>
      <c r="AS22" s="422" t="str">
        <f>+'Rango indicadores'!L10</f>
        <v>Hasta (&lt;):</v>
      </c>
      <c r="AT22" s="434">
        <f>+'Rango indicadores'!M10</f>
        <v>100</v>
      </c>
      <c r="AU22" s="422" t="str">
        <f>+'Rango indicadores'!N10</f>
        <v>Menor o Igual A:</v>
      </c>
      <c r="AV22" s="434">
        <f>+'Rango indicadores'!O10</f>
        <v>60</v>
      </c>
      <c r="AW22" s="523" t="s">
        <v>1175</v>
      </c>
      <c r="BA22" s="589"/>
    </row>
    <row r="23" spans="2:53" ht="35.25" customHeight="1">
      <c r="B23" s="431">
        <f>+B22+1</f>
        <v>7</v>
      </c>
      <c r="C23" s="433" t="str">
        <f>+'Rango indicadores'!D11</f>
        <v>02-RI-02</v>
      </c>
      <c r="D23" s="432" t="str">
        <f>+'Rango indicadores'!E11</f>
        <v>Informes de investigación e innovación construidos</v>
      </c>
      <c r="E23" s="434">
        <f>+'Rango indicadores'!Q11</f>
        <v>2</v>
      </c>
      <c r="F23" s="434">
        <f>+'1.Informe Seguimiento POA 2022'!O98</f>
        <v>0</v>
      </c>
      <c r="G23" s="434">
        <f>+'1.Informe Seguimiento POA 2022'!O98</f>
        <v>0</v>
      </c>
      <c r="H23" s="434">
        <f>+'1.Informe Seguimiento POA 2022'!P98</f>
        <v>0</v>
      </c>
      <c r="I23" s="434">
        <f>+'1.Informe Seguimiento POA 2022'!P98</f>
        <v>0</v>
      </c>
      <c r="J23" s="434">
        <f t="shared" si="23"/>
        <v>0</v>
      </c>
      <c r="K23" s="440" t="str">
        <f>IF(AND(F23&gt;0),H23/F23,"No programado")</f>
        <v>No programado</v>
      </c>
      <c r="L23" s="440" t="str">
        <f t="shared" ref="L23:L24" si="29">IF(AND(G23&gt;0),I23/G23,"No programado")</f>
        <v>No programado</v>
      </c>
      <c r="M23" s="435">
        <f t="shared" si="17"/>
        <v>0</v>
      </c>
      <c r="N23" s="434">
        <f t="shared" si="24"/>
        <v>2</v>
      </c>
      <c r="O23" s="434">
        <f>+'1.Informe Seguimiento POA 2022'!Q98</f>
        <v>1</v>
      </c>
      <c r="P23" s="434">
        <f>+'1.Informe Seguimiento POA 2022'!O98+'1.Informe Seguimiento POA 2022'!Q98</f>
        <v>1</v>
      </c>
      <c r="Q23" s="434">
        <f>+'1.Informe Seguimiento POA 2022'!R98</f>
        <v>1</v>
      </c>
      <c r="R23" s="434">
        <f>+'1.Informe Seguimiento POA 2022'!P98+'1.Informe Seguimiento POA 2022'!R98</f>
        <v>1</v>
      </c>
      <c r="S23" s="434">
        <f t="shared" si="19"/>
        <v>1</v>
      </c>
      <c r="T23" s="440">
        <f t="shared" ref="T23:T24" si="30">IF(AND(O23&gt;0),Q23/O23,"No programado")</f>
        <v>1</v>
      </c>
      <c r="U23" s="440">
        <f t="shared" ref="U23:U24" si="31">IF(AND(P23&gt;0),R23/P23,"No programado")</f>
        <v>1</v>
      </c>
      <c r="V23" s="435">
        <f>IF(AND(N23&gt;0,$S23&gt;0),S23/$N23,0)</f>
        <v>0.5</v>
      </c>
      <c r="W23" s="434">
        <f t="shared" si="20"/>
        <v>2</v>
      </c>
      <c r="X23" s="434">
        <f>+'1.Informe Seguimiento POA 2022'!S98</f>
        <v>0</v>
      </c>
      <c r="Y23" s="434">
        <f>+'1.Informe Seguimiento POA 2022'!O98+'1.Informe Seguimiento POA 2022'!Q98+'1.Informe Seguimiento POA 2022'!S98</f>
        <v>1</v>
      </c>
      <c r="Z23" s="434">
        <f>+'1.Informe Seguimiento POA 2022'!T98</f>
        <v>0</v>
      </c>
      <c r="AA23" s="434">
        <f>+'1.Informe Seguimiento POA 2022'!R98+'1.Informe Seguimiento POA 2022'!T98+'1.Informe Seguimiento POA 2022'!P98</f>
        <v>1</v>
      </c>
      <c r="AB23" s="434">
        <f t="shared" si="21"/>
        <v>1</v>
      </c>
      <c r="AC23" s="440" t="str">
        <f t="shared" si="25"/>
        <v>No programado</v>
      </c>
      <c r="AD23" s="440">
        <f t="shared" si="26"/>
        <v>1</v>
      </c>
      <c r="AE23" s="435">
        <f t="shared" si="27"/>
        <v>0.5</v>
      </c>
      <c r="AF23" s="434">
        <f t="shared" si="28"/>
        <v>2</v>
      </c>
      <c r="AG23" s="434">
        <f>+'1.Informe Seguimiento POA 2022'!U98</f>
        <v>1</v>
      </c>
      <c r="AH23" s="434">
        <f>+'1.Informe Seguimiento POA 2022'!O98+'1.Informe Seguimiento POA 2022'!Q98+'1.Informe Seguimiento POA 2022'!S98+'1.Informe Seguimiento POA 2022'!U98</f>
        <v>2</v>
      </c>
      <c r="AI23" s="434">
        <f>+'1.Informe Seguimiento POA 2022'!V98</f>
        <v>1</v>
      </c>
      <c r="AJ23" s="434">
        <f>+'1.Informe Seguimiento POA 2022'!P98+'1.Informe Seguimiento POA 2022'!R98+'1.Informe Seguimiento POA 2022'!T98+'1.Informe Seguimiento POA 2022'!V98</f>
        <v>2</v>
      </c>
      <c r="AK23" s="434">
        <f t="shared" si="22"/>
        <v>2</v>
      </c>
      <c r="AL23" s="440">
        <f>IF(AND(AG23&gt;0),AI23/AG23,"No programado")</f>
        <v>1</v>
      </c>
      <c r="AM23" s="440">
        <f t="shared" ref="AM23:AM24" si="32">IF(AND(AH23&gt;0),AJ23/AH23,"No programado")</f>
        <v>1</v>
      </c>
      <c r="AN23" s="435">
        <f>IF(AND(AF23&gt;0,$AK23&gt;0),AK23/$AF23,0)</f>
        <v>1</v>
      </c>
      <c r="AO23" s="422" t="str">
        <f>+'Rango indicadores'!H11</f>
        <v>Mayor o igual A:</v>
      </c>
      <c r="AP23" s="434">
        <f>+'Rango indicadores'!I11</f>
        <v>100</v>
      </c>
      <c r="AQ23" s="422" t="str">
        <f>+'Rango indicadores'!J11</f>
        <v>Desde (&gt;):</v>
      </c>
      <c r="AR23" s="434">
        <f>+'Rango indicadores'!K11</f>
        <v>60</v>
      </c>
      <c r="AS23" s="422" t="str">
        <f>+'Rango indicadores'!L11</f>
        <v>Hasta (&lt;):</v>
      </c>
      <c r="AT23" s="434">
        <f>+'Rango indicadores'!M11</f>
        <v>100</v>
      </c>
      <c r="AU23" s="422" t="str">
        <f>+'Rango indicadores'!N11</f>
        <v>Menor o Igual A:</v>
      </c>
      <c r="AV23" s="434">
        <f>+'Rango indicadores'!O11</f>
        <v>60</v>
      </c>
      <c r="AW23" s="523" t="s">
        <v>1175</v>
      </c>
      <c r="BA23" s="589"/>
    </row>
    <row r="24" spans="2:53" ht="35.25" customHeight="1">
      <c r="B24" s="431">
        <f>+B23+1</f>
        <v>8</v>
      </c>
      <c r="C24" s="433" t="str">
        <f>+'Rango indicadores'!D12</f>
        <v>02-RI-03</v>
      </c>
      <c r="D24" s="432" t="str">
        <f>+'Rango indicadores'!E12</f>
        <v>Actividades de apropiación social del conocimiento desarrolladas</v>
      </c>
      <c r="E24" s="434">
        <f>+'Rango indicadores'!Q12</f>
        <v>38</v>
      </c>
      <c r="F24" s="434">
        <f>+'1.Informe Seguimiento POA 2022'!O99</f>
        <v>6</v>
      </c>
      <c r="G24" s="434">
        <f>+'1.Informe Seguimiento POA 2022'!O99</f>
        <v>6</v>
      </c>
      <c r="H24" s="434">
        <f>+'1.Informe Seguimiento POA 2022'!P99</f>
        <v>9</v>
      </c>
      <c r="I24" s="434">
        <f>+'1.Informe Seguimiento POA 2022'!P99</f>
        <v>9</v>
      </c>
      <c r="J24" s="434">
        <f t="shared" si="23"/>
        <v>9</v>
      </c>
      <c r="K24" s="440">
        <f>IF(AND(F24&gt;0),H24/F24,"No programado")</f>
        <v>1.5</v>
      </c>
      <c r="L24" s="440">
        <f t="shared" si="29"/>
        <v>1.5</v>
      </c>
      <c r="M24" s="435">
        <f t="shared" si="17"/>
        <v>0.23684210526315788</v>
      </c>
      <c r="N24" s="434">
        <f t="shared" si="24"/>
        <v>38</v>
      </c>
      <c r="O24" s="434">
        <f>+'1.Informe Seguimiento POA 2022'!Q99</f>
        <v>12</v>
      </c>
      <c r="P24" s="434">
        <f>+'1.Informe Seguimiento POA 2022'!O99+'1.Informe Seguimiento POA 2022'!Q99</f>
        <v>18</v>
      </c>
      <c r="Q24" s="434">
        <f>+'1.Informe Seguimiento POA 2022'!R99</f>
        <v>12</v>
      </c>
      <c r="R24" s="434">
        <f>+'1.Informe Seguimiento POA 2022'!P99+'1.Informe Seguimiento POA 2022'!R99</f>
        <v>21</v>
      </c>
      <c r="S24" s="434">
        <f t="shared" si="19"/>
        <v>21</v>
      </c>
      <c r="T24" s="440">
        <f t="shared" si="30"/>
        <v>1</v>
      </c>
      <c r="U24" s="440">
        <f t="shared" si="31"/>
        <v>1.1666666666666667</v>
      </c>
      <c r="V24" s="435">
        <f>IF(AND(N24&gt;0,$S24&gt;0),S24/$E24,0)</f>
        <v>0.55263157894736847</v>
      </c>
      <c r="W24" s="434">
        <f t="shared" si="20"/>
        <v>38</v>
      </c>
      <c r="X24" s="434">
        <f>+'1.Informe Seguimiento POA 2022'!S99</f>
        <v>12</v>
      </c>
      <c r="Y24" s="434">
        <f>+'1.Informe Seguimiento POA 2022'!O99+'1.Informe Seguimiento POA 2022'!Q99+'1.Informe Seguimiento POA 2022'!S99</f>
        <v>30</v>
      </c>
      <c r="Z24" s="434">
        <f>+'1.Informe Seguimiento POA 2022'!T99</f>
        <v>10</v>
      </c>
      <c r="AA24" s="434">
        <f>+'1.Informe Seguimiento POA 2022'!R99+'1.Informe Seguimiento POA 2022'!T99+'1.Informe Seguimiento POA 2022'!P99</f>
        <v>31</v>
      </c>
      <c r="AB24" s="434">
        <f t="shared" si="21"/>
        <v>31</v>
      </c>
      <c r="AC24" s="440">
        <f>IF(AND(X24&gt;0),Z24/X24,"No programado")</f>
        <v>0.83333333333333337</v>
      </c>
      <c r="AD24" s="440">
        <f t="shared" ref="AD24" si="33">IF(AND(Y24&gt;0),AA24/Y24,"No programado")</f>
        <v>1.0333333333333334</v>
      </c>
      <c r="AE24" s="435">
        <f t="shared" si="27"/>
        <v>0.81578947368421051</v>
      </c>
      <c r="AF24" s="434">
        <f t="shared" si="28"/>
        <v>38</v>
      </c>
      <c r="AG24" s="434">
        <f>+'1.Informe Seguimiento POA 2022'!U99</f>
        <v>8</v>
      </c>
      <c r="AH24" s="434">
        <f>+'1.Informe Seguimiento POA 2022'!O99+'1.Informe Seguimiento POA 2022'!Q99+'1.Informe Seguimiento POA 2022'!S99+'1.Informe Seguimiento POA 2022'!U99</f>
        <v>38</v>
      </c>
      <c r="AI24" s="434">
        <f>+'1.Informe Seguimiento POA 2022'!V99</f>
        <v>7</v>
      </c>
      <c r="AJ24" s="434">
        <f>+'1.Informe Seguimiento POA 2022'!P99+'1.Informe Seguimiento POA 2022'!R99+'1.Informe Seguimiento POA 2022'!T99+'1.Informe Seguimiento POA 2022'!V99</f>
        <v>38</v>
      </c>
      <c r="AK24" s="434">
        <f t="shared" si="22"/>
        <v>38</v>
      </c>
      <c r="AL24" s="440">
        <f>IF(AND(AG24&gt;0),AI24/AG24,"No programado")</f>
        <v>0.875</v>
      </c>
      <c r="AM24" s="440">
        <f t="shared" si="32"/>
        <v>1</v>
      </c>
      <c r="AN24" s="435">
        <f>IF(AND(AF24&gt;0,$AK24&gt;0),AK24/$AF24,0)</f>
        <v>1</v>
      </c>
      <c r="AO24" s="422" t="str">
        <f>+'Rango indicadores'!H12</f>
        <v>Mayor o igual A:</v>
      </c>
      <c r="AP24" s="434">
        <f>+'Rango indicadores'!I12</f>
        <v>100</v>
      </c>
      <c r="AQ24" s="422" t="str">
        <f>+'Rango indicadores'!J12</f>
        <v>Desde (&gt;):</v>
      </c>
      <c r="AR24" s="434">
        <f>+'Rango indicadores'!K12</f>
        <v>60</v>
      </c>
      <c r="AS24" s="422" t="str">
        <f>+'Rango indicadores'!L12</f>
        <v>Hasta (&lt;):</v>
      </c>
      <c r="AT24" s="434">
        <f>+'Rango indicadores'!M12</f>
        <v>100</v>
      </c>
      <c r="AU24" s="422" t="str">
        <f>+'Rango indicadores'!N12</f>
        <v>Menor o Igual A:</v>
      </c>
      <c r="AV24" s="434">
        <f>+'Rango indicadores'!O12</f>
        <v>60</v>
      </c>
      <c r="AW24" s="523" t="s">
        <v>1174</v>
      </c>
      <c r="BA24" s="590"/>
    </row>
    <row r="25" spans="2:53" ht="15.6">
      <c r="C25" s="1378" t="s">
        <v>866</v>
      </c>
      <c r="D25" s="1379"/>
      <c r="E25" s="1379"/>
      <c r="F25" s="1379"/>
      <c r="G25" s="1379"/>
      <c r="H25" s="1379"/>
      <c r="I25" s="1379"/>
      <c r="J25" s="1379"/>
      <c r="K25" s="437">
        <f>IFERROR(AVERAGE(K21:K24),0)</f>
        <v>1.5</v>
      </c>
      <c r="L25" s="437">
        <f>IFERROR(AVERAGE(L21:L24),0)</f>
        <v>1.5</v>
      </c>
      <c r="M25" s="437">
        <f>IFERROR(AVERAGE(M21:M24),0)</f>
        <v>0.30921052631578949</v>
      </c>
      <c r="N25" s="880"/>
      <c r="O25" s="880"/>
      <c r="P25" s="880"/>
      <c r="Q25" s="880"/>
      <c r="R25" s="880"/>
      <c r="S25" s="880"/>
      <c r="T25" s="437">
        <f>IFERROR(AVERAGE(T21:T24),0)</f>
        <v>1</v>
      </c>
      <c r="U25" s="437">
        <f>IFERROR(AVERAGE(U21:U24),0)</f>
        <v>1.0833333333333335</v>
      </c>
      <c r="V25" s="437">
        <f>IFERROR(AVERAGE(V21:V24),0)</f>
        <v>0.26315789473684215</v>
      </c>
      <c r="W25" s="880"/>
      <c r="X25" s="880"/>
      <c r="Y25" s="880"/>
      <c r="Z25" s="880"/>
      <c r="AA25" s="880"/>
      <c r="AB25" s="880"/>
      <c r="AC25" s="437">
        <f>IFERROR(AVERAGE(AC21:AC24),0)</f>
        <v>0.83333333333333337</v>
      </c>
      <c r="AD25" s="437">
        <f>IFERROR(AVERAGE(AD21:AD24),0)</f>
        <v>1.0166666666666666</v>
      </c>
      <c r="AE25" s="437">
        <f>IFERROR(AVERAGE(AE21:AE24),0)</f>
        <v>0.32894736842105265</v>
      </c>
      <c r="AF25" s="880"/>
      <c r="AG25" s="880"/>
      <c r="AH25" s="880"/>
      <c r="AI25" s="880"/>
      <c r="AJ25" s="880"/>
      <c r="AK25" s="881"/>
      <c r="AL25" s="437">
        <f>IFERROR(AVERAGE(AL21:AL24),0)</f>
        <v>0.96875</v>
      </c>
      <c r="AM25" s="437">
        <f>IFERROR(AVERAGE(AM21:AM24),0)</f>
        <v>1</v>
      </c>
      <c r="AN25" s="437">
        <f>IFERROR(AVERAGE(AN21:AN24),0)</f>
        <v>1</v>
      </c>
      <c r="AO25" s="426"/>
      <c r="AP25" s="426"/>
      <c r="AQ25" s="426"/>
      <c r="AR25" s="426"/>
      <c r="AS25" s="426"/>
      <c r="AT25" s="426"/>
      <c r="AU25" s="426"/>
      <c r="AV25" s="426"/>
      <c r="AW25" s="529"/>
    </row>
    <row r="26" spans="2:53" s="427" customFormat="1" ht="24" customHeight="1" thickBot="1">
      <c r="C26" s="441"/>
      <c r="D26" s="462"/>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29"/>
      <c r="AY26" s="413"/>
      <c r="AZ26" s="413"/>
    </row>
    <row r="27" spans="2:53" s="427" customFormat="1" ht="16.2" thickBot="1">
      <c r="C27" s="430" t="s">
        <v>868</v>
      </c>
      <c r="D27" s="460"/>
      <c r="E27" s="1380" t="s">
        <v>1128</v>
      </c>
      <c r="F27" s="1381"/>
      <c r="G27" s="1381"/>
      <c r="H27" s="1381"/>
      <c r="I27" s="1381"/>
      <c r="J27" s="1381"/>
      <c r="K27" s="1381"/>
      <c r="L27" s="1381"/>
      <c r="M27" s="1382"/>
      <c r="N27" s="1383" t="s">
        <v>1129</v>
      </c>
      <c r="O27" s="1384"/>
      <c r="P27" s="1384"/>
      <c r="Q27" s="1384"/>
      <c r="R27" s="1384"/>
      <c r="S27" s="1384"/>
      <c r="T27" s="1384"/>
      <c r="U27" s="1384"/>
      <c r="V27" s="1385"/>
      <c r="W27" s="1386" t="s">
        <v>1130</v>
      </c>
      <c r="X27" s="1387"/>
      <c r="Y27" s="1387"/>
      <c r="Z27" s="1387"/>
      <c r="AA27" s="1387"/>
      <c r="AB27" s="1387"/>
      <c r="AC27" s="1387"/>
      <c r="AD27" s="1387"/>
      <c r="AE27" s="1388"/>
      <c r="AF27" s="1383" t="s">
        <v>1046</v>
      </c>
      <c r="AG27" s="1384"/>
      <c r="AH27" s="1384"/>
      <c r="AI27" s="1384"/>
      <c r="AJ27" s="1384"/>
      <c r="AK27" s="1384"/>
      <c r="AL27" s="1384"/>
      <c r="AM27" s="1384"/>
      <c r="AN27" s="1385"/>
      <c r="AO27" s="441"/>
      <c r="AP27" s="441"/>
      <c r="AQ27" s="441"/>
      <c r="AR27" s="441"/>
      <c r="AS27" s="441"/>
      <c r="AT27" s="441"/>
      <c r="AU27" s="441"/>
      <c r="AV27" s="441"/>
      <c r="AW27" s="429"/>
      <c r="AY27" s="413"/>
      <c r="AZ27" s="413"/>
    </row>
    <row r="28" spans="2:53" ht="22.2" customHeight="1">
      <c r="C28" s="1393" t="str">
        <f>+$C$10</f>
        <v>Identificación del Indicador</v>
      </c>
      <c r="D28" s="1396" t="s">
        <v>861</v>
      </c>
      <c r="E28" s="1389" t="s">
        <v>862</v>
      </c>
      <c r="F28" s="1390"/>
      <c r="G28" s="1391"/>
      <c r="H28" s="1392" t="s">
        <v>1132</v>
      </c>
      <c r="I28" s="1394" t="s">
        <v>1136</v>
      </c>
      <c r="J28" s="1392" t="s">
        <v>863</v>
      </c>
      <c r="K28" s="1392" t="s">
        <v>857</v>
      </c>
      <c r="L28" s="1392"/>
      <c r="M28" s="1392"/>
      <c r="N28" s="1389" t="s">
        <v>862</v>
      </c>
      <c r="O28" s="1390"/>
      <c r="P28" s="1391"/>
      <c r="Q28" s="1392" t="s">
        <v>1141</v>
      </c>
      <c r="R28" s="1394" t="s">
        <v>1133</v>
      </c>
      <c r="S28" s="1392" t="s">
        <v>863</v>
      </c>
      <c r="T28" s="1392" t="s">
        <v>857</v>
      </c>
      <c r="U28" s="1392"/>
      <c r="V28" s="1392"/>
      <c r="W28" s="1389" t="s">
        <v>862</v>
      </c>
      <c r="X28" s="1390"/>
      <c r="Y28" s="1391"/>
      <c r="Z28" s="1392" t="s">
        <v>1142</v>
      </c>
      <c r="AA28" s="1394" t="s">
        <v>1138</v>
      </c>
      <c r="AB28" s="1392" t="s">
        <v>863</v>
      </c>
      <c r="AC28" s="1392" t="s">
        <v>857</v>
      </c>
      <c r="AD28" s="1392"/>
      <c r="AE28" s="1392"/>
      <c r="AF28" s="1389" t="s">
        <v>862</v>
      </c>
      <c r="AG28" s="1390"/>
      <c r="AH28" s="1391"/>
      <c r="AI28" s="1392" t="s">
        <v>1172</v>
      </c>
      <c r="AJ28" s="1394" t="s">
        <v>1173</v>
      </c>
      <c r="AK28" s="1392" t="s">
        <v>863</v>
      </c>
      <c r="AL28" s="1392" t="s">
        <v>857</v>
      </c>
      <c r="AM28" s="1392"/>
      <c r="AN28" s="1392"/>
      <c r="AO28" s="1398" t="s">
        <v>709</v>
      </c>
      <c r="AP28" s="1398"/>
      <c r="AQ28" s="1398"/>
      <c r="AR28" s="1398"/>
      <c r="AS28" s="1398"/>
      <c r="AT28" s="1398"/>
      <c r="AU28" s="1398"/>
      <c r="AV28" s="1398"/>
      <c r="AW28" s="1393" t="s">
        <v>882</v>
      </c>
    </row>
    <row r="29" spans="2:53" ht="53.4" customHeight="1">
      <c r="C29" s="1393"/>
      <c r="D29" s="1396"/>
      <c r="E29" s="1024" t="s">
        <v>1143</v>
      </c>
      <c r="F29" s="1024" t="str">
        <f>+E27</f>
        <v>Primer Trimestre</v>
      </c>
      <c r="G29" s="1025" t="s">
        <v>1135</v>
      </c>
      <c r="H29" s="1393"/>
      <c r="I29" s="1395"/>
      <c r="J29" s="1393"/>
      <c r="K29" s="1024" t="str">
        <f>+$D$6</f>
        <v>Cuarto Trimestre</v>
      </c>
      <c r="L29" s="1025" t="str">
        <f>+G29</f>
        <v>Acumulado
Corte 
31/03/2022</v>
      </c>
      <c r="M29" s="1026" t="s">
        <v>754</v>
      </c>
      <c r="N29" s="1024" t="s">
        <v>1143</v>
      </c>
      <c r="O29" s="1024" t="str">
        <f>+N27</f>
        <v>Segundo Trimestre</v>
      </c>
      <c r="P29" s="1025" t="s">
        <v>1134</v>
      </c>
      <c r="Q29" s="1393"/>
      <c r="R29" s="1395"/>
      <c r="S29" s="1393"/>
      <c r="T29" s="1024" t="str">
        <f>+O29</f>
        <v>Segundo Trimestre</v>
      </c>
      <c r="U29" s="1025" t="str">
        <f>+P29</f>
        <v>Acumulado Corte 
30/06/2022</v>
      </c>
      <c r="V29" s="1026" t="s">
        <v>754</v>
      </c>
      <c r="W29" s="1024" t="s">
        <v>1143</v>
      </c>
      <c r="X29" s="1024" t="str">
        <f>+W27</f>
        <v>Tercer Trimestre</v>
      </c>
      <c r="Y29" s="1025" t="s">
        <v>1137</v>
      </c>
      <c r="Z29" s="1393"/>
      <c r="AA29" s="1395"/>
      <c r="AB29" s="1393"/>
      <c r="AC29" s="1024" t="str">
        <f>+X29</f>
        <v>Tercer Trimestre</v>
      </c>
      <c r="AD29" s="1025" t="str">
        <f>+Y29</f>
        <v>Acumulado Corte 
30/09/2022</v>
      </c>
      <c r="AE29" s="1026" t="s">
        <v>754</v>
      </c>
      <c r="AF29" s="1024" t="s">
        <v>1143</v>
      </c>
      <c r="AG29" s="1024" t="s">
        <v>1171</v>
      </c>
      <c r="AH29" s="1025" t="s">
        <v>1139</v>
      </c>
      <c r="AI29" s="1393"/>
      <c r="AJ29" s="1395"/>
      <c r="AK29" s="1393"/>
      <c r="AL29" s="1024" t="str">
        <f>+AG29</f>
        <v>Cuarto Trimestre
31-12-2022</v>
      </c>
      <c r="AM29" s="1025" t="str">
        <f>+AH29</f>
        <v>Acumulado Corte 
31/12/2022</v>
      </c>
      <c r="AN29" s="1026" t="s">
        <v>754</v>
      </c>
      <c r="AO29" s="1097" t="s">
        <v>864</v>
      </c>
      <c r="AP29" s="1098"/>
      <c r="AQ29" s="1099" t="s">
        <v>865</v>
      </c>
      <c r="AR29" s="1100"/>
      <c r="AS29" s="1100"/>
      <c r="AT29" s="1101"/>
      <c r="AU29" s="1102" t="s">
        <v>717</v>
      </c>
      <c r="AV29" s="1103"/>
      <c r="AW29" s="1393"/>
    </row>
    <row r="30" spans="2:53" ht="40.5" customHeight="1">
      <c r="B30" s="431">
        <f>+B24+1</f>
        <v>9</v>
      </c>
      <c r="C30" s="432" t="str">
        <f>+'Rango indicadores'!D13</f>
        <v>03-RI-01</v>
      </c>
      <c r="D30" s="432" t="str">
        <f>+'Rango indicadores'!E13</f>
        <v>Porcentaje de proyectos implementados de acuerdo al plan de tecnologías de la Información</v>
      </c>
      <c r="E30" s="436">
        <f>+'Rango indicadores'!Q13</f>
        <v>0.4</v>
      </c>
      <c r="F30" s="464">
        <f>+'1.Informe Seguimiento POA 2022'!O48</f>
        <v>7.0000000000000007E-2</v>
      </c>
      <c r="G30" s="464">
        <f>+'1.Informe Seguimiento POA 2022'!O48</f>
        <v>7.0000000000000007E-2</v>
      </c>
      <c r="H30" s="464">
        <f>+'1.Informe Seguimiento POA 2022'!P48</f>
        <v>7.0000000000000007E-2</v>
      </c>
      <c r="I30" s="464">
        <f>+'1.Informe Seguimiento POA 2022'!P48</f>
        <v>7.0000000000000007E-2</v>
      </c>
      <c r="J30" s="464">
        <f>+I30</f>
        <v>7.0000000000000007E-2</v>
      </c>
      <c r="K30" s="442">
        <f t="shared" ref="K30:K36" si="34">IF(AND(F30&gt;0),H30/F30,"No programado")</f>
        <v>1</v>
      </c>
      <c r="L30" s="442">
        <f>IF(AND(G30&gt;0),I30/G30,"No programado")</f>
        <v>1</v>
      </c>
      <c r="M30" s="435">
        <f>IF(AND(E30&gt;0,$J30&gt;0),J30/$E30,0)</f>
        <v>0.17500000000000002</v>
      </c>
      <c r="N30" s="464">
        <f t="shared" ref="N30" si="35">+E30</f>
        <v>0.4</v>
      </c>
      <c r="O30" s="464">
        <f>+'1.Informe Seguimiento POA 2022'!Q48</f>
        <v>0.13</v>
      </c>
      <c r="P30" s="464">
        <f>+'1.Informe Seguimiento POA 2022'!O48+'1.Informe Seguimiento POA 2022'!Q48</f>
        <v>0.2</v>
      </c>
      <c r="Q30" s="464">
        <f>+'1.Informe Seguimiento POA 2022'!R48</f>
        <v>0.13</v>
      </c>
      <c r="R30" s="464">
        <f>+'1.Informe Seguimiento POA 2022'!P48+'1.Informe Seguimiento POA 2022'!R48</f>
        <v>0.2</v>
      </c>
      <c r="S30" s="464">
        <f>H30+Q30</f>
        <v>0.2</v>
      </c>
      <c r="T30" s="442">
        <f t="shared" ref="T30:T36" si="36">IF(AND(O30&gt;0),Q30/O30,"No programado")</f>
        <v>1</v>
      </c>
      <c r="U30" s="442">
        <f>IF(AND(P30&gt;0),R30/P30,"No programado")</f>
        <v>1</v>
      </c>
      <c r="V30" s="435">
        <f t="shared" ref="V30:V36" si="37">IF(AND(N30&gt;0,$S30&gt;0),S30/$N30,0)</f>
        <v>0.5</v>
      </c>
      <c r="W30" s="464">
        <f t="shared" ref="W30" si="38">+E30</f>
        <v>0.4</v>
      </c>
      <c r="X30" s="464">
        <f>+'1.Informe Seguimiento POA 2022'!S48</f>
        <v>0.13</v>
      </c>
      <c r="Y30" s="464">
        <f>+'1.Informe Seguimiento POA 2022'!O48+'1.Informe Seguimiento POA 2022'!Q48+'1.Informe Seguimiento POA 2022'!S48</f>
        <v>0.33</v>
      </c>
      <c r="Z30" s="464">
        <f>+'1.Informe Seguimiento POA 2022'!T48</f>
        <v>0.13</v>
      </c>
      <c r="AA30" s="464">
        <f>+'1.Informe Seguimiento POA 2022'!R48+'1.Informe Seguimiento POA 2022'!T48+'1.Informe Seguimiento POA 2022'!P48</f>
        <v>0.33</v>
      </c>
      <c r="AB30" s="464">
        <f t="shared" ref="AB30:AB36" si="39">H30+Q30+Z30</f>
        <v>0.33</v>
      </c>
      <c r="AC30" s="442">
        <f t="shared" ref="AC30" si="40">IF(AND(X30&gt;0),Z30/X30,"No programado")</f>
        <v>1</v>
      </c>
      <c r="AD30" s="442">
        <f>IF(AND(Y30&gt;0),AA30/Y30,"No programado")</f>
        <v>1</v>
      </c>
      <c r="AE30" s="435">
        <f t="shared" ref="AE30:AE36" si="41">IF(AND(W30&gt;0,$AB30&gt;0),AB30/$W30,0)</f>
        <v>0.82499999999999996</v>
      </c>
      <c r="AF30" s="436">
        <f>+W30</f>
        <v>0.4</v>
      </c>
      <c r="AG30" s="436">
        <f>+'1.Informe Seguimiento POA 2022'!U48</f>
        <v>7.0000000000000007E-2</v>
      </c>
      <c r="AH30" s="436">
        <f>+'1.Informe Seguimiento POA 2022'!O48+'1.Informe Seguimiento POA 2022'!Q48+'1.Informe Seguimiento POA 2022'!S48+'1.Informe Seguimiento POA 2022'!U48</f>
        <v>0.4</v>
      </c>
      <c r="AI30" s="436">
        <f>+'1.Informe Seguimiento POA 2022'!V48</f>
        <v>7.0000000000000007E-2</v>
      </c>
      <c r="AJ30" s="436">
        <f>+'1.Informe Seguimiento POA 2022'!P48+'1.Informe Seguimiento POA 2022'!R48+'1.Informe Seguimiento POA 2022'!T48+'1.Informe Seguimiento POA 2022'!V48</f>
        <v>0.4</v>
      </c>
      <c r="AK30" s="555">
        <f>H30+Q30+Z30+AI30</f>
        <v>0.4</v>
      </c>
      <c r="AL30" s="442">
        <f t="shared" ref="AL30:AM35" si="42">IF(AND(AG30&gt;0),AI30/AG30,"No programado")</f>
        <v>1</v>
      </c>
      <c r="AM30" s="442">
        <f>IF(AND(AH30&gt;0),AJ30/AH30,"No programado")</f>
        <v>1</v>
      </c>
      <c r="AN30" s="435">
        <f t="shared" ref="AN30:AN36" si="43">IF(AND(AF30&gt;0,$AK30&gt;0),AK30/$AF30,0)</f>
        <v>1</v>
      </c>
      <c r="AO30" s="439" t="str">
        <f>+'Rango indicadores'!H13</f>
        <v>Mayor o igual A:</v>
      </c>
      <c r="AP30" s="434">
        <f>+'Rango indicadores'!I13</f>
        <v>90</v>
      </c>
      <c r="AQ30" s="434" t="str">
        <f>+'Rango indicadores'!J13</f>
        <v>Desde (&gt;):</v>
      </c>
      <c r="AR30" s="434">
        <f>+'Rango indicadores'!K13</f>
        <v>85</v>
      </c>
      <c r="AS30" s="434" t="str">
        <f>+'Rango indicadores'!L13</f>
        <v>Hasta (&lt;):</v>
      </c>
      <c r="AT30" s="434">
        <f>+'Rango indicadores'!M13</f>
        <v>90</v>
      </c>
      <c r="AU30" s="434" t="str">
        <f>+'Rango indicadores'!N13</f>
        <v>Menor o Igual A:</v>
      </c>
      <c r="AV30" s="434">
        <f>+'Rango indicadores'!O13</f>
        <v>85</v>
      </c>
      <c r="AW30" s="523" t="s">
        <v>1175</v>
      </c>
    </row>
    <row r="31" spans="2:53" ht="40.5" customHeight="1">
      <c r="B31" s="431">
        <f t="shared" ref="B31:B36" si="44">+B30+1</f>
        <v>10</v>
      </c>
      <c r="C31" s="432" t="str">
        <f>+'Rango indicadores'!D14</f>
        <v>03-RI-02</v>
      </c>
      <c r="D31" s="432" t="str">
        <f>+'Rango indicadores'!E14</f>
        <v>Porcentaje de actividades ejecutadas de acuerdo al plan de Seguridad de información</v>
      </c>
      <c r="E31" s="436">
        <f>+'Rango indicadores'!Q14</f>
        <v>0.4</v>
      </c>
      <c r="F31" s="464">
        <f>+'1.Informe Seguimiento POA 2022'!O49</f>
        <v>7.0000000000000007E-2</v>
      </c>
      <c r="G31" s="464">
        <f>+'1.Informe Seguimiento POA 2022'!O49</f>
        <v>7.0000000000000007E-2</v>
      </c>
      <c r="H31" s="464">
        <f>+'1.Informe Seguimiento POA 2022'!P49</f>
        <v>7.0000000000000007E-2</v>
      </c>
      <c r="I31" s="464">
        <f>+'1.Informe Seguimiento POA 2022'!P49</f>
        <v>7.0000000000000007E-2</v>
      </c>
      <c r="J31" s="464">
        <f t="shared" ref="J31:J36" si="45">+I31</f>
        <v>7.0000000000000007E-2</v>
      </c>
      <c r="K31" s="442">
        <f t="shared" si="34"/>
        <v>1</v>
      </c>
      <c r="L31" s="442">
        <f t="shared" ref="L31" si="46">IF(AND(G31&gt;0),I31/G31,"No programado")</f>
        <v>1</v>
      </c>
      <c r="M31" s="435">
        <f t="shared" ref="M31:M36" si="47">IF(AND(E31&gt;0,$J31&gt;0),J31/$E31,0)</f>
        <v>0.17500000000000002</v>
      </c>
      <c r="N31" s="464">
        <f t="shared" ref="N31:N36" si="48">+E31</f>
        <v>0.4</v>
      </c>
      <c r="O31" s="464">
        <f>+'1.Informe Seguimiento POA 2022'!Q49</f>
        <v>0.13</v>
      </c>
      <c r="P31" s="464">
        <f>+'1.Informe Seguimiento POA 2022'!O49+'1.Informe Seguimiento POA 2022'!Q49</f>
        <v>0.2</v>
      </c>
      <c r="Q31" s="464">
        <f>+'1.Informe Seguimiento POA 2022'!R49</f>
        <v>0.13</v>
      </c>
      <c r="R31" s="464">
        <f>+'1.Informe Seguimiento POA 2022'!P49+'1.Informe Seguimiento POA 2022'!R49</f>
        <v>0.2</v>
      </c>
      <c r="S31" s="464">
        <f t="shared" ref="S31:S36" si="49">H31+Q31</f>
        <v>0.2</v>
      </c>
      <c r="T31" s="442">
        <f t="shared" si="36"/>
        <v>1</v>
      </c>
      <c r="U31" s="442">
        <f t="shared" ref="U31" si="50">IF(AND(P31&gt;0),R31/P31,"No programado")</f>
        <v>1</v>
      </c>
      <c r="V31" s="435">
        <f t="shared" si="37"/>
        <v>0.5</v>
      </c>
      <c r="W31" s="464">
        <f t="shared" ref="W31:W36" si="51">+E31</f>
        <v>0.4</v>
      </c>
      <c r="X31" s="464">
        <f>+'1.Informe Seguimiento POA 2022'!S49</f>
        <v>0.13</v>
      </c>
      <c r="Y31" s="464">
        <f>+'1.Informe Seguimiento POA 2022'!O49+'1.Informe Seguimiento POA 2022'!Q49+'1.Informe Seguimiento POA 2022'!S49</f>
        <v>0.33</v>
      </c>
      <c r="Z31" s="464">
        <f>+'1.Informe Seguimiento POA 2022'!T49</f>
        <v>0.13</v>
      </c>
      <c r="AA31" s="464">
        <f>+'1.Informe Seguimiento POA 2022'!R49+'1.Informe Seguimiento POA 2022'!T49+'1.Informe Seguimiento POA 2022'!P49</f>
        <v>0.33</v>
      </c>
      <c r="AB31" s="464">
        <f t="shared" si="39"/>
        <v>0.33</v>
      </c>
      <c r="AC31" s="442">
        <f t="shared" ref="AC31:AC36" si="52">IF(AND(X31&gt;0),Z31/X31,"No programado")</f>
        <v>1</v>
      </c>
      <c r="AD31" s="442">
        <f t="shared" ref="AD31:AD36" si="53">IF(AND(Y31&gt;0),AA31/Y31,"No programado")</f>
        <v>1</v>
      </c>
      <c r="AE31" s="435">
        <f t="shared" si="41"/>
        <v>0.82499999999999996</v>
      </c>
      <c r="AF31" s="436">
        <f t="shared" ref="AF31:AF36" si="54">+W31</f>
        <v>0.4</v>
      </c>
      <c r="AG31" s="436">
        <f>+'1.Informe Seguimiento POA 2022'!U49</f>
        <v>7.0000000000000007E-2</v>
      </c>
      <c r="AH31" s="436">
        <f>+'1.Informe Seguimiento POA 2022'!O49+'1.Informe Seguimiento POA 2022'!Q49+'1.Informe Seguimiento POA 2022'!S49+'1.Informe Seguimiento POA 2022'!U49</f>
        <v>0.4</v>
      </c>
      <c r="AI31" s="436">
        <f>+'1.Informe Seguimiento POA 2022'!V49</f>
        <v>7.0000000000000007E-2</v>
      </c>
      <c r="AJ31" s="436">
        <f>+'1.Informe Seguimiento POA 2022'!P49+'1.Informe Seguimiento POA 2022'!R49+'1.Informe Seguimiento POA 2022'!T49+'1.Informe Seguimiento POA 2022'!V49</f>
        <v>0.4</v>
      </c>
      <c r="AK31" s="555">
        <f t="shared" ref="AK31:AK36" si="55">H31+Q31+Z31+AI31</f>
        <v>0.4</v>
      </c>
      <c r="AL31" s="442">
        <f t="shared" si="42"/>
        <v>1</v>
      </c>
      <c r="AM31" s="442">
        <f t="shared" si="42"/>
        <v>1</v>
      </c>
      <c r="AN31" s="435">
        <f t="shared" si="43"/>
        <v>1</v>
      </c>
      <c r="AO31" s="439" t="str">
        <f>+'Rango indicadores'!H14</f>
        <v>Mayor o igual A:</v>
      </c>
      <c r="AP31" s="434">
        <f>+'Rango indicadores'!I14</f>
        <v>90</v>
      </c>
      <c r="AQ31" s="434" t="str">
        <f>+'Rango indicadores'!J14</f>
        <v>Desde (&gt;):</v>
      </c>
      <c r="AR31" s="434">
        <f>+'Rango indicadores'!K14</f>
        <v>85</v>
      </c>
      <c r="AS31" s="434" t="str">
        <f>+'Rango indicadores'!L14</f>
        <v>Hasta (&lt;):</v>
      </c>
      <c r="AT31" s="434">
        <f>+'Rango indicadores'!M14</f>
        <v>90</v>
      </c>
      <c r="AU31" s="434" t="str">
        <f>+'Rango indicadores'!N14</f>
        <v>Menor o Igual A:</v>
      </c>
      <c r="AV31" s="434">
        <f>+'Rango indicadores'!O14</f>
        <v>85</v>
      </c>
      <c r="AW31" s="523" t="s">
        <v>1175</v>
      </c>
      <c r="AX31" s="443"/>
      <c r="AY31" s="443"/>
      <c r="AZ31" s="443"/>
    </row>
    <row r="32" spans="2:53" ht="40.5" customHeight="1">
      <c r="B32" s="431">
        <f t="shared" si="44"/>
        <v>11</v>
      </c>
      <c r="C32" s="432" t="str">
        <f>+'Rango indicadores'!D15</f>
        <v>03-RI-03</v>
      </c>
      <c r="D32" s="432" t="str">
        <f>+'Rango indicadores'!E15</f>
        <v xml:space="preserve">Porcentaje de actividades ejecutadas  en la estrategia de servicios ciudadanos digitales </v>
      </c>
      <c r="E32" s="436">
        <f>+'Rango indicadores'!Q15</f>
        <v>0.4</v>
      </c>
      <c r="F32" s="464">
        <f>+'1.Informe Seguimiento POA 2022'!O50</f>
        <v>7.0000000000000007E-2</v>
      </c>
      <c r="G32" s="464">
        <f>+'1.Informe Seguimiento POA 2022'!O50</f>
        <v>7.0000000000000007E-2</v>
      </c>
      <c r="H32" s="464">
        <f>+'1.Informe Seguimiento POA 2022'!P50</f>
        <v>7.0000000000000007E-2</v>
      </c>
      <c r="I32" s="464">
        <f>+'1.Informe Seguimiento POA 2022'!P50</f>
        <v>7.0000000000000007E-2</v>
      </c>
      <c r="J32" s="464">
        <f t="shared" si="45"/>
        <v>7.0000000000000007E-2</v>
      </c>
      <c r="K32" s="442">
        <f t="shared" si="34"/>
        <v>1</v>
      </c>
      <c r="L32" s="442">
        <f>IF(AND(G32&gt;0),I32/G32,"No programado")</f>
        <v>1</v>
      </c>
      <c r="M32" s="435">
        <f t="shared" si="47"/>
        <v>0.17500000000000002</v>
      </c>
      <c r="N32" s="464">
        <f t="shared" si="48"/>
        <v>0.4</v>
      </c>
      <c r="O32" s="464">
        <f>+'1.Informe Seguimiento POA 2022'!Q50</f>
        <v>0.13</v>
      </c>
      <c r="P32" s="464">
        <f>+'1.Informe Seguimiento POA 2022'!O50+'1.Informe Seguimiento POA 2022'!Q50</f>
        <v>0.2</v>
      </c>
      <c r="Q32" s="464">
        <f>+'1.Informe Seguimiento POA 2022'!R50</f>
        <v>0.13</v>
      </c>
      <c r="R32" s="464">
        <f>+'1.Informe Seguimiento POA 2022'!P50+'1.Informe Seguimiento POA 2022'!R50</f>
        <v>0.2</v>
      </c>
      <c r="S32" s="464">
        <f t="shared" si="49"/>
        <v>0.2</v>
      </c>
      <c r="T32" s="442">
        <f t="shared" si="36"/>
        <v>1</v>
      </c>
      <c r="U32" s="442">
        <f>IF(AND(P32&gt;0),R32/P32,"No programado")</f>
        <v>1</v>
      </c>
      <c r="V32" s="435">
        <f t="shared" si="37"/>
        <v>0.5</v>
      </c>
      <c r="W32" s="464">
        <f t="shared" si="51"/>
        <v>0.4</v>
      </c>
      <c r="X32" s="464">
        <f>+'1.Informe Seguimiento POA 2022'!S50</f>
        <v>0.13</v>
      </c>
      <c r="Y32" s="464">
        <f>+'1.Informe Seguimiento POA 2022'!O50+'1.Informe Seguimiento POA 2022'!Q50+'1.Informe Seguimiento POA 2022'!S50</f>
        <v>0.33</v>
      </c>
      <c r="Z32" s="464">
        <f>+'1.Informe Seguimiento POA 2022'!T50</f>
        <v>0.13</v>
      </c>
      <c r="AA32" s="464">
        <f>+'1.Informe Seguimiento POA 2022'!R50+'1.Informe Seguimiento POA 2022'!T50+'1.Informe Seguimiento POA 2022'!P50</f>
        <v>0.33</v>
      </c>
      <c r="AB32" s="464">
        <f t="shared" si="39"/>
        <v>0.33</v>
      </c>
      <c r="AC32" s="442">
        <f t="shared" si="52"/>
        <v>1</v>
      </c>
      <c r="AD32" s="442">
        <f t="shared" si="53"/>
        <v>1</v>
      </c>
      <c r="AE32" s="435">
        <f t="shared" si="41"/>
        <v>0.82499999999999996</v>
      </c>
      <c r="AF32" s="436">
        <f t="shared" si="54"/>
        <v>0.4</v>
      </c>
      <c r="AG32" s="436">
        <f>+'1.Informe Seguimiento POA 2022'!U50</f>
        <v>7.0000000000000007E-2</v>
      </c>
      <c r="AH32" s="436">
        <f>+'1.Informe Seguimiento POA 2022'!O50+'1.Informe Seguimiento POA 2022'!Q50+'1.Informe Seguimiento POA 2022'!S50+'1.Informe Seguimiento POA 2022'!U50</f>
        <v>0.4</v>
      </c>
      <c r="AI32" s="436">
        <f>+'1.Informe Seguimiento POA 2022'!V50</f>
        <v>7.0000000000000007E-2</v>
      </c>
      <c r="AJ32" s="436">
        <f>+'1.Informe Seguimiento POA 2022'!P50+'1.Informe Seguimiento POA 2022'!R50+'1.Informe Seguimiento POA 2022'!T50+'1.Informe Seguimiento POA 2022'!V50</f>
        <v>0.4</v>
      </c>
      <c r="AK32" s="555">
        <f t="shared" si="55"/>
        <v>0.4</v>
      </c>
      <c r="AL32" s="442">
        <f t="shared" si="42"/>
        <v>1</v>
      </c>
      <c r="AM32" s="442">
        <f>IF(AND(AH32&gt;0),AJ32/AH32,"No programado")</f>
        <v>1</v>
      </c>
      <c r="AN32" s="435">
        <f t="shared" si="43"/>
        <v>1</v>
      </c>
      <c r="AO32" s="439" t="str">
        <f>+'Rango indicadores'!H15</f>
        <v>Mayor o igual A:</v>
      </c>
      <c r="AP32" s="434">
        <f>+'Rango indicadores'!I15</f>
        <v>90</v>
      </c>
      <c r="AQ32" s="434" t="str">
        <f>+'Rango indicadores'!J15</f>
        <v>Desde (&gt;):</v>
      </c>
      <c r="AR32" s="434">
        <f>+'Rango indicadores'!K15</f>
        <v>85</v>
      </c>
      <c r="AS32" s="434" t="str">
        <f>+'Rango indicadores'!L15</f>
        <v>Hasta (&lt;):</v>
      </c>
      <c r="AT32" s="434">
        <f>+'Rango indicadores'!M15</f>
        <v>90</v>
      </c>
      <c r="AU32" s="434" t="str">
        <f>+'Rango indicadores'!N15</f>
        <v>Menor o Igual A:</v>
      </c>
      <c r="AV32" s="434">
        <f>+'Rango indicadores'!O15</f>
        <v>85</v>
      </c>
      <c r="AW32" s="523" t="s">
        <v>1175</v>
      </c>
    </row>
    <row r="33" spans="2:52" ht="40.5" customHeight="1">
      <c r="B33" s="431">
        <f t="shared" si="44"/>
        <v>12</v>
      </c>
      <c r="C33" s="432" t="str">
        <f>+'Rango indicadores'!D16</f>
        <v>03-RI-04</v>
      </c>
      <c r="D33" s="432" t="str">
        <f>+'Rango indicadores'!E16</f>
        <v>Porcentaje de lineamientos adoptados  en la estrategia de gestión de datos</v>
      </c>
      <c r="E33" s="436">
        <f>+'Rango indicadores'!Q16</f>
        <v>0.4</v>
      </c>
      <c r="F33" s="464">
        <f>+'1.Informe Seguimiento POA 2022'!O51</f>
        <v>7.0000000000000007E-2</v>
      </c>
      <c r="G33" s="464">
        <f>+'1.Informe Seguimiento POA 2022'!O51</f>
        <v>7.0000000000000007E-2</v>
      </c>
      <c r="H33" s="464">
        <f>+'1.Informe Seguimiento POA 2022'!P51</f>
        <v>7.0000000000000007E-2</v>
      </c>
      <c r="I33" s="464">
        <f>+'1.Informe Seguimiento POA 2022'!P51</f>
        <v>7.0000000000000007E-2</v>
      </c>
      <c r="J33" s="464">
        <f t="shared" si="45"/>
        <v>7.0000000000000007E-2</v>
      </c>
      <c r="K33" s="442">
        <f t="shared" si="34"/>
        <v>1</v>
      </c>
      <c r="L33" s="442">
        <f>IF(AND(G33&gt;0),I33/G33,"No programado")</f>
        <v>1</v>
      </c>
      <c r="M33" s="435">
        <f t="shared" si="47"/>
        <v>0.17500000000000002</v>
      </c>
      <c r="N33" s="464">
        <f t="shared" si="48"/>
        <v>0.4</v>
      </c>
      <c r="O33" s="464">
        <f>+'1.Informe Seguimiento POA 2022'!Q51</f>
        <v>0.13</v>
      </c>
      <c r="P33" s="464">
        <f>+'1.Informe Seguimiento POA 2022'!O51+'1.Informe Seguimiento POA 2022'!Q51</f>
        <v>0.2</v>
      </c>
      <c r="Q33" s="464">
        <f>+'1.Informe Seguimiento POA 2022'!R51</f>
        <v>0.13</v>
      </c>
      <c r="R33" s="464">
        <f>+'1.Informe Seguimiento POA 2022'!P51+'1.Informe Seguimiento POA 2022'!R51</f>
        <v>0.2</v>
      </c>
      <c r="S33" s="464">
        <f t="shared" si="49"/>
        <v>0.2</v>
      </c>
      <c r="T33" s="442">
        <f t="shared" si="36"/>
        <v>1</v>
      </c>
      <c r="U33" s="442">
        <f>IF(AND(P33&gt;0),R33/P33,"No programado")</f>
        <v>1</v>
      </c>
      <c r="V33" s="435">
        <f t="shared" si="37"/>
        <v>0.5</v>
      </c>
      <c r="W33" s="464">
        <f t="shared" si="51"/>
        <v>0.4</v>
      </c>
      <c r="X33" s="464">
        <f>+'1.Informe Seguimiento POA 2022'!S51</f>
        <v>0.13</v>
      </c>
      <c r="Y33" s="464">
        <f>+'1.Informe Seguimiento POA 2022'!O51+'1.Informe Seguimiento POA 2022'!Q51+'1.Informe Seguimiento POA 2022'!S51</f>
        <v>0.33</v>
      </c>
      <c r="Z33" s="464">
        <f>+'1.Informe Seguimiento POA 2022'!T51</f>
        <v>0.13</v>
      </c>
      <c r="AA33" s="464">
        <f>+'1.Informe Seguimiento POA 2022'!R51+'1.Informe Seguimiento POA 2022'!T51+'1.Informe Seguimiento POA 2022'!P51</f>
        <v>0.33</v>
      </c>
      <c r="AB33" s="464">
        <f t="shared" si="39"/>
        <v>0.33</v>
      </c>
      <c r="AC33" s="442">
        <f t="shared" si="52"/>
        <v>1</v>
      </c>
      <c r="AD33" s="442">
        <f t="shared" si="53"/>
        <v>1</v>
      </c>
      <c r="AE33" s="435">
        <f t="shared" si="41"/>
        <v>0.82499999999999996</v>
      </c>
      <c r="AF33" s="436">
        <f t="shared" si="54"/>
        <v>0.4</v>
      </c>
      <c r="AG33" s="436">
        <f>+'1.Informe Seguimiento POA 2022'!U51</f>
        <v>7.0000000000000007E-2</v>
      </c>
      <c r="AH33" s="436">
        <f>+'1.Informe Seguimiento POA 2022'!O51+'1.Informe Seguimiento POA 2022'!Q51+'1.Informe Seguimiento POA 2022'!S51+'1.Informe Seguimiento POA 2022'!U51</f>
        <v>0.4</v>
      </c>
      <c r="AI33" s="436">
        <f>+'1.Informe Seguimiento POA 2022'!V51</f>
        <v>7.0000000000000007E-2</v>
      </c>
      <c r="AJ33" s="436">
        <f>+'1.Informe Seguimiento POA 2022'!P51+'1.Informe Seguimiento POA 2022'!R51+'1.Informe Seguimiento POA 2022'!T51+'1.Informe Seguimiento POA 2022'!V51</f>
        <v>0.4</v>
      </c>
      <c r="AK33" s="555">
        <f t="shared" si="55"/>
        <v>0.4</v>
      </c>
      <c r="AL33" s="442">
        <f t="shared" si="42"/>
        <v>1</v>
      </c>
      <c r="AM33" s="442">
        <f>IF(AND(AH33&gt;0),AJ33/AH33,"No programado")</f>
        <v>1</v>
      </c>
      <c r="AN33" s="435">
        <f t="shared" si="43"/>
        <v>1</v>
      </c>
      <c r="AO33" s="439" t="str">
        <f>+'Rango indicadores'!H16</f>
        <v>Mayor o igual A:</v>
      </c>
      <c r="AP33" s="434">
        <f>+'Rango indicadores'!I16</f>
        <v>90</v>
      </c>
      <c r="AQ33" s="434" t="str">
        <f>+'Rango indicadores'!J16</f>
        <v>Desde (&gt;):</v>
      </c>
      <c r="AR33" s="434">
        <f>+'Rango indicadores'!K16</f>
        <v>85</v>
      </c>
      <c r="AS33" s="434" t="str">
        <f>+'Rango indicadores'!L16</f>
        <v>Hasta (&lt;):</v>
      </c>
      <c r="AT33" s="434">
        <f>+'Rango indicadores'!M16</f>
        <v>90</v>
      </c>
      <c r="AU33" s="434" t="str">
        <f>+'Rango indicadores'!N16</f>
        <v>Menor o Igual A:</v>
      </c>
      <c r="AV33" s="434">
        <f>+'Rango indicadores'!O16</f>
        <v>85</v>
      </c>
      <c r="AW33" s="523" t="s">
        <v>1175</v>
      </c>
    </row>
    <row r="34" spans="2:52" ht="40.5" customHeight="1">
      <c r="B34" s="431">
        <f t="shared" si="44"/>
        <v>13</v>
      </c>
      <c r="C34" s="432" t="str">
        <f>+'Rango indicadores'!D17</f>
        <v>03-RI-05</v>
      </c>
      <c r="D34" s="432" t="str">
        <f>+'Rango indicadores'!E17</f>
        <v>Cantidad de requerimientos prioritarios desarrollados para los sistemas información</v>
      </c>
      <c r="E34" s="436">
        <f>+'Rango indicadores'!Q17</f>
        <v>0.4</v>
      </c>
      <c r="F34" s="464">
        <f>+'1.Informe Seguimiento POA 2022'!O52</f>
        <v>7.0000000000000007E-2</v>
      </c>
      <c r="G34" s="464">
        <f>+'1.Informe Seguimiento POA 2022'!O52</f>
        <v>7.0000000000000007E-2</v>
      </c>
      <c r="H34" s="464">
        <f>+'1.Informe Seguimiento POA 2022'!P52</f>
        <v>7.0000000000000007E-2</v>
      </c>
      <c r="I34" s="464">
        <f>+'1.Informe Seguimiento POA 2022'!P52</f>
        <v>7.0000000000000007E-2</v>
      </c>
      <c r="J34" s="464">
        <f t="shared" si="45"/>
        <v>7.0000000000000007E-2</v>
      </c>
      <c r="K34" s="442">
        <f t="shared" si="34"/>
        <v>1</v>
      </c>
      <c r="L34" s="442">
        <f>IF(AND(G34&gt;0),I34/G34,"No programado")</f>
        <v>1</v>
      </c>
      <c r="M34" s="435">
        <f t="shared" si="47"/>
        <v>0.17500000000000002</v>
      </c>
      <c r="N34" s="464">
        <f t="shared" si="48"/>
        <v>0.4</v>
      </c>
      <c r="O34" s="464">
        <f>+'1.Informe Seguimiento POA 2022'!Q52</f>
        <v>0.13</v>
      </c>
      <c r="P34" s="464">
        <f>+'1.Informe Seguimiento POA 2022'!O52+'1.Informe Seguimiento POA 2022'!Q52</f>
        <v>0.2</v>
      </c>
      <c r="Q34" s="464">
        <f>+'1.Informe Seguimiento POA 2022'!R52</f>
        <v>0.13</v>
      </c>
      <c r="R34" s="464">
        <f>+'1.Informe Seguimiento POA 2022'!P52+'1.Informe Seguimiento POA 2022'!R52</f>
        <v>0.2</v>
      </c>
      <c r="S34" s="464">
        <f t="shared" si="49"/>
        <v>0.2</v>
      </c>
      <c r="T34" s="442">
        <f t="shared" si="36"/>
        <v>1</v>
      </c>
      <c r="U34" s="442">
        <f>IF(AND(P34&gt;0),R34/P34,"No programado")</f>
        <v>1</v>
      </c>
      <c r="V34" s="435">
        <f t="shared" si="37"/>
        <v>0.5</v>
      </c>
      <c r="W34" s="464">
        <f t="shared" si="51"/>
        <v>0.4</v>
      </c>
      <c r="X34" s="464">
        <f>+'1.Informe Seguimiento POA 2022'!S52</f>
        <v>0.13</v>
      </c>
      <c r="Y34" s="464">
        <f>+'1.Informe Seguimiento POA 2022'!O52+'1.Informe Seguimiento POA 2022'!Q52+'1.Informe Seguimiento POA 2022'!S52</f>
        <v>0.33</v>
      </c>
      <c r="Z34" s="464">
        <f>+'1.Informe Seguimiento POA 2022'!T52</f>
        <v>0.13</v>
      </c>
      <c r="AA34" s="464">
        <f>+'1.Informe Seguimiento POA 2022'!R52+'1.Informe Seguimiento POA 2022'!T52+'1.Informe Seguimiento POA 2022'!P52</f>
        <v>0.33</v>
      </c>
      <c r="AB34" s="464">
        <f t="shared" si="39"/>
        <v>0.33</v>
      </c>
      <c r="AC34" s="442">
        <f t="shared" si="52"/>
        <v>1</v>
      </c>
      <c r="AD34" s="442">
        <f t="shared" si="53"/>
        <v>1</v>
      </c>
      <c r="AE34" s="435">
        <f t="shared" si="41"/>
        <v>0.82499999999999996</v>
      </c>
      <c r="AF34" s="436">
        <f t="shared" si="54"/>
        <v>0.4</v>
      </c>
      <c r="AG34" s="436">
        <f>+'1.Informe Seguimiento POA 2022'!U52</f>
        <v>7.0000000000000007E-2</v>
      </c>
      <c r="AH34" s="436">
        <f>+'1.Informe Seguimiento POA 2022'!O52+'1.Informe Seguimiento POA 2022'!Q52+'1.Informe Seguimiento POA 2022'!S52+'1.Informe Seguimiento POA 2022'!U52</f>
        <v>0.4</v>
      </c>
      <c r="AI34" s="436">
        <f>+'1.Informe Seguimiento POA 2022'!V52</f>
        <v>7.0000000000000007E-2</v>
      </c>
      <c r="AJ34" s="436">
        <f>+'1.Informe Seguimiento POA 2022'!P52+'1.Informe Seguimiento POA 2022'!R52+'1.Informe Seguimiento POA 2022'!T52+'1.Informe Seguimiento POA 2022'!V52</f>
        <v>0.4</v>
      </c>
      <c r="AK34" s="555">
        <f t="shared" si="55"/>
        <v>0.4</v>
      </c>
      <c r="AL34" s="442">
        <f t="shared" si="42"/>
        <v>1</v>
      </c>
      <c r="AM34" s="442">
        <f>IF(AND(AH34&gt;0),AJ34/AH34,"No programado")</f>
        <v>1</v>
      </c>
      <c r="AN34" s="435">
        <f t="shared" si="43"/>
        <v>1</v>
      </c>
      <c r="AO34" s="439" t="str">
        <f>+'Rango indicadores'!H17</f>
        <v>Mayor o igual A:</v>
      </c>
      <c r="AP34" s="434">
        <f>+'Rango indicadores'!I17</f>
        <v>90</v>
      </c>
      <c r="AQ34" s="434" t="str">
        <f>+'Rango indicadores'!J17</f>
        <v>Desde (&gt;):</v>
      </c>
      <c r="AR34" s="434">
        <f>+'Rango indicadores'!K17</f>
        <v>85</v>
      </c>
      <c r="AS34" s="434" t="str">
        <f>+'Rango indicadores'!L17</f>
        <v>Hasta (&lt;):</v>
      </c>
      <c r="AT34" s="434">
        <f>+'Rango indicadores'!M17</f>
        <v>90</v>
      </c>
      <c r="AU34" s="434" t="str">
        <f>+'Rango indicadores'!N17</f>
        <v>Menor o Igual A:</v>
      </c>
      <c r="AV34" s="434">
        <f>+'Rango indicadores'!O17</f>
        <v>85</v>
      </c>
      <c r="AW34" s="523" t="s">
        <v>1175</v>
      </c>
    </row>
    <row r="35" spans="2:52" ht="40.5" customHeight="1">
      <c r="B35" s="431">
        <f t="shared" si="44"/>
        <v>14</v>
      </c>
      <c r="C35" s="432" t="str">
        <f>+'Rango indicadores'!D18</f>
        <v>03-RI-06</v>
      </c>
      <c r="D35" s="432" t="str">
        <f>+'Rango indicadores'!E18</f>
        <v>Porcentaje de actividades ejecutadas del plan de uso y apropiación</v>
      </c>
      <c r="E35" s="436">
        <f>+'Rango indicadores'!Q18</f>
        <v>0.4</v>
      </c>
      <c r="F35" s="464">
        <f>+'1.Informe Seguimiento POA 2022'!O53</f>
        <v>7.0000000000000007E-2</v>
      </c>
      <c r="G35" s="464">
        <f>+'1.Informe Seguimiento POA 2022'!O53</f>
        <v>7.0000000000000007E-2</v>
      </c>
      <c r="H35" s="464">
        <f>+'1.Informe Seguimiento POA 2022'!P53</f>
        <v>7.0000000000000007E-2</v>
      </c>
      <c r="I35" s="464">
        <f>+'1.Informe Seguimiento POA 2022'!P53</f>
        <v>7.0000000000000007E-2</v>
      </c>
      <c r="J35" s="464">
        <f t="shared" si="45"/>
        <v>7.0000000000000007E-2</v>
      </c>
      <c r="K35" s="442">
        <f t="shared" si="34"/>
        <v>1</v>
      </c>
      <c r="L35" s="442">
        <f>IF(AND(G35&gt;0),I35/G35,"No programado")</f>
        <v>1</v>
      </c>
      <c r="M35" s="435">
        <f t="shared" si="47"/>
        <v>0.17500000000000002</v>
      </c>
      <c r="N35" s="464">
        <f t="shared" si="48"/>
        <v>0.4</v>
      </c>
      <c r="O35" s="464">
        <f>+'1.Informe Seguimiento POA 2022'!Q53</f>
        <v>0.13</v>
      </c>
      <c r="P35" s="464">
        <f>+'1.Informe Seguimiento POA 2022'!O53+'1.Informe Seguimiento POA 2022'!Q53</f>
        <v>0.2</v>
      </c>
      <c r="Q35" s="464">
        <f>+'1.Informe Seguimiento POA 2022'!R53</f>
        <v>0.13</v>
      </c>
      <c r="R35" s="464">
        <f>+'1.Informe Seguimiento POA 2022'!P53+'1.Informe Seguimiento POA 2022'!R53</f>
        <v>0.2</v>
      </c>
      <c r="S35" s="464">
        <f t="shared" si="49"/>
        <v>0.2</v>
      </c>
      <c r="T35" s="442">
        <f t="shared" si="36"/>
        <v>1</v>
      </c>
      <c r="U35" s="442">
        <f>IF(AND(P35&gt;0),R35/P35,"No programado")</f>
        <v>1</v>
      </c>
      <c r="V35" s="435">
        <f t="shared" si="37"/>
        <v>0.5</v>
      </c>
      <c r="W35" s="464">
        <f t="shared" si="51"/>
        <v>0.4</v>
      </c>
      <c r="X35" s="464">
        <f>+'1.Informe Seguimiento POA 2022'!S53</f>
        <v>0.13</v>
      </c>
      <c r="Y35" s="464">
        <f>+'1.Informe Seguimiento POA 2022'!O53+'1.Informe Seguimiento POA 2022'!Q53+'1.Informe Seguimiento POA 2022'!S53</f>
        <v>0.33</v>
      </c>
      <c r="Z35" s="464">
        <f>+'1.Informe Seguimiento POA 2022'!T53</f>
        <v>0.13</v>
      </c>
      <c r="AA35" s="464">
        <f>+'1.Informe Seguimiento POA 2022'!R53+'1.Informe Seguimiento POA 2022'!T53+'1.Informe Seguimiento POA 2022'!P53</f>
        <v>0.33</v>
      </c>
      <c r="AB35" s="464">
        <f t="shared" si="39"/>
        <v>0.33</v>
      </c>
      <c r="AC35" s="442">
        <f t="shared" si="52"/>
        <v>1</v>
      </c>
      <c r="AD35" s="442">
        <f t="shared" si="53"/>
        <v>1</v>
      </c>
      <c r="AE35" s="435">
        <f t="shared" si="41"/>
        <v>0.82499999999999996</v>
      </c>
      <c r="AF35" s="436">
        <f t="shared" si="54"/>
        <v>0.4</v>
      </c>
      <c r="AG35" s="436">
        <f>+'1.Informe Seguimiento POA 2022'!U53</f>
        <v>7.0000000000000007E-2</v>
      </c>
      <c r="AH35" s="436">
        <f>+'1.Informe Seguimiento POA 2022'!O53+'1.Informe Seguimiento POA 2022'!Q53+'1.Informe Seguimiento POA 2022'!S53+'1.Informe Seguimiento POA 2022'!U53</f>
        <v>0.4</v>
      </c>
      <c r="AI35" s="436">
        <f>+'1.Informe Seguimiento POA 2022'!V53</f>
        <v>7.0000000000000007E-2</v>
      </c>
      <c r="AJ35" s="436">
        <f>+'1.Informe Seguimiento POA 2022'!P53+'1.Informe Seguimiento POA 2022'!R53+'1.Informe Seguimiento POA 2022'!T53+'1.Informe Seguimiento POA 2022'!V53</f>
        <v>0.4</v>
      </c>
      <c r="AK35" s="555">
        <f t="shared" si="55"/>
        <v>0.4</v>
      </c>
      <c r="AL35" s="442">
        <f t="shared" si="42"/>
        <v>1</v>
      </c>
      <c r="AM35" s="442">
        <f>IF(AND(AH35&gt;0),AJ35/AH35,"No programado")</f>
        <v>1</v>
      </c>
      <c r="AN35" s="435">
        <f t="shared" si="43"/>
        <v>1</v>
      </c>
      <c r="AO35" s="439" t="str">
        <f>+'Rango indicadores'!H18</f>
        <v>Mayor o igual A:</v>
      </c>
      <c r="AP35" s="434">
        <f>+'Rango indicadores'!I18</f>
        <v>90</v>
      </c>
      <c r="AQ35" s="434" t="str">
        <f>+'Rango indicadores'!J18</f>
        <v>Desde (&gt;):</v>
      </c>
      <c r="AR35" s="434">
        <f>+'Rango indicadores'!K18</f>
        <v>85</v>
      </c>
      <c r="AS35" s="434" t="str">
        <f>+'Rango indicadores'!L18</f>
        <v>Hasta (&lt;):</v>
      </c>
      <c r="AT35" s="434">
        <f>+'Rango indicadores'!M18</f>
        <v>90</v>
      </c>
      <c r="AU35" s="434" t="str">
        <f>+'Rango indicadores'!N18</f>
        <v>Menor o Igual A:</v>
      </c>
      <c r="AV35" s="434">
        <f>+'Rango indicadores'!O18</f>
        <v>85</v>
      </c>
      <c r="AW35" s="523" t="s">
        <v>1175</v>
      </c>
    </row>
    <row r="36" spans="2:52" ht="40.5" customHeight="1">
      <c r="B36" s="431">
        <f t="shared" si="44"/>
        <v>15</v>
      </c>
      <c r="C36" s="432" t="str">
        <f>+'Rango indicadores'!D19</f>
        <v>03-RI-07</v>
      </c>
      <c r="D36" s="432" t="str">
        <f>+'Rango indicadores'!E19</f>
        <v>Porcentaje de actividades ejecutadas de la hoja de ruta de optimización tecnológica</v>
      </c>
      <c r="E36" s="436">
        <f>+'Rango indicadores'!Q19</f>
        <v>0.4</v>
      </c>
      <c r="F36" s="464">
        <f>+'1.Informe Seguimiento POA 2022'!O54</f>
        <v>7.0000000000000007E-2</v>
      </c>
      <c r="G36" s="464">
        <f>+'1.Informe Seguimiento POA 2022'!O54</f>
        <v>7.0000000000000007E-2</v>
      </c>
      <c r="H36" s="464">
        <f>+'1.Informe Seguimiento POA 2022'!P54</f>
        <v>7.0000000000000007E-2</v>
      </c>
      <c r="I36" s="464">
        <f>+'1.Informe Seguimiento POA 2022'!P54</f>
        <v>7.0000000000000007E-2</v>
      </c>
      <c r="J36" s="464">
        <f t="shared" si="45"/>
        <v>7.0000000000000007E-2</v>
      </c>
      <c r="K36" s="442">
        <f t="shared" si="34"/>
        <v>1</v>
      </c>
      <c r="L36" s="442">
        <f>IF(AND(G36&gt;0),I36/G36,"No programado")</f>
        <v>1</v>
      </c>
      <c r="M36" s="435">
        <f t="shared" si="47"/>
        <v>0.17500000000000002</v>
      </c>
      <c r="N36" s="464">
        <f t="shared" si="48"/>
        <v>0.4</v>
      </c>
      <c r="O36" s="464">
        <f>+'1.Informe Seguimiento POA 2022'!Q54</f>
        <v>0.13</v>
      </c>
      <c r="P36" s="464">
        <f>+'1.Informe Seguimiento POA 2022'!O54+'1.Informe Seguimiento POA 2022'!Q54</f>
        <v>0.2</v>
      </c>
      <c r="Q36" s="464">
        <f>+'1.Informe Seguimiento POA 2022'!R54</f>
        <v>0.13</v>
      </c>
      <c r="R36" s="464">
        <f>+'1.Informe Seguimiento POA 2022'!P54+'1.Informe Seguimiento POA 2022'!R54</f>
        <v>0.2</v>
      </c>
      <c r="S36" s="464">
        <f t="shared" si="49"/>
        <v>0.2</v>
      </c>
      <c r="T36" s="442">
        <f t="shared" si="36"/>
        <v>1</v>
      </c>
      <c r="U36" s="442">
        <f>IF(AND(P36&gt;0),R36/P36,"No programado")</f>
        <v>1</v>
      </c>
      <c r="V36" s="435">
        <f t="shared" si="37"/>
        <v>0.5</v>
      </c>
      <c r="W36" s="464">
        <f t="shared" si="51"/>
        <v>0.4</v>
      </c>
      <c r="X36" s="464">
        <f>+'1.Informe Seguimiento POA 2022'!S54</f>
        <v>0.13</v>
      </c>
      <c r="Y36" s="464">
        <f>+'1.Informe Seguimiento POA 2022'!O54+'1.Informe Seguimiento POA 2022'!Q54+'1.Informe Seguimiento POA 2022'!S54</f>
        <v>0.33</v>
      </c>
      <c r="Z36" s="464">
        <f>+'1.Informe Seguimiento POA 2022'!T54</f>
        <v>0.13</v>
      </c>
      <c r="AA36" s="464">
        <f>+'1.Informe Seguimiento POA 2022'!R54+'1.Informe Seguimiento POA 2022'!T54+'1.Informe Seguimiento POA 2022'!P54</f>
        <v>0.33</v>
      </c>
      <c r="AB36" s="464">
        <f t="shared" si="39"/>
        <v>0.33</v>
      </c>
      <c r="AC36" s="442">
        <f t="shared" si="52"/>
        <v>1</v>
      </c>
      <c r="AD36" s="442">
        <f t="shared" si="53"/>
        <v>1</v>
      </c>
      <c r="AE36" s="435">
        <f t="shared" si="41"/>
        <v>0.82499999999999996</v>
      </c>
      <c r="AF36" s="436">
        <f t="shared" si="54"/>
        <v>0.4</v>
      </c>
      <c r="AG36" s="436">
        <f>+'1.Informe Seguimiento POA 2022'!U54</f>
        <v>7.0000000000000007E-2</v>
      </c>
      <c r="AH36" s="436">
        <f>+'1.Informe Seguimiento POA 2022'!O54+'1.Informe Seguimiento POA 2022'!Q54+'1.Informe Seguimiento POA 2022'!S54+'1.Informe Seguimiento POA 2022'!U54</f>
        <v>0.4</v>
      </c>
      <c r="AI36" s="436">
        <f>+'1.Informe Seguimiento POA 2022'!V54</f>
        <v>7.0000000000000007E-2</v>
      </c>
      <c r="AJ36" s="436">
        <f>+'1.Informe Seguimiento POA 2022'!P54+'1.Informe Seguimiento POA 2022'!R54+'1.Informe Seguimiento POA 2022'!T54+'1.Informe Seguimiento POA 2022'!V54</f>
        <v>0.4</v>
      </c>
      <c r="AK36" s="555">
        <f t="shared" si="55"/>
        <v>0.4</v>
      </c>
      <c r="AL36" s="442">
        <f t="shared" ref="AL36" si="56">IF(AND(AG36&gt;0),AI36/AG36,"No programado")</f>
        <v>1</v>
      </c>
      <c r="AM36" s="442">
        <f>IF(AND(AH36&gt;0),AJ36/AH36,"No programado")</f>
        <v>1</v>
      </c>
      <c r="AN36" s="435">
        <f t="shared" si="43"/>
        <v>1</v>
      </c>
      <c r="AO36" s="439" t="str">
        <f>+'Rango indicadores'!H19</f>
        <v>Mayor o igual A:</v>
      </c>
      <c r="AP36" s="434">
        <f>+'Rango indicadores'!I19</f>
        <v>90</v>
      </c>
      <c r="AQ36" s="434" t="str">
        <f>+'Rango indicadores'!J19</f>
        <v>Desde (&gt;):</v>
      </c>
      <c r="AR36" s="434">
        <f>+'Rango indicadores'!K19</f>
        <v>85</v>
      </c>
      <c r="AS36" s="434" t="str">
        <f>+'Rango indicadores'!L19</f>
        <v>Hasta (&lt;):</v>
      </c>
      <c r="AT36" s="434">
        <f>+'Rango indicadores'!M19</f>
        <v>90</v>
      </c>
      <c r="AU36" s="434" t="str">
        <f>+'Rango indicadores'!N19</f>
        <v>Menor o Igual A:</v>
      </c>
      <c r="AV36" s="434">
        <f>+'Rango indicadores'!O19</f>
        <v>85</v>
      </c>
      <c r="AW36" s="523" t="s">
        <v>1175</v>
      </c>
    </row>
    <row r="37" spans="2:52" ht="15.6">
      <c r="C37" s="1378" t="s">
        <v>866</v>
      </c>
      <c r="D37" s="1379"/>
      <c r="E37" s="1379"/>
      <c r="F37" s="1379"/>
      <c r="G37" s="1379"/>
      <c r="H37" s="1379"/>
      <c r="I37" s="1379"/>
      <c r="J37" s="1379"/>
      <c r="K37" s="437">
        <f>IFERROR(AVERAGE(K30:K36),0)</f>
        <v>1</v>
      </c>
      <c r="L37" s="437">
        <f t="shared" ref="L37" si="57">IFERROR(AVERAGE(L30:L36),0)</f>
        <v>1</v>
      </c>
      <c r="M37" s="437">
        <f>IFERROR(AVERAGE(M30:M36),0)</f>
        <v>0.17500000000000002</v>
      </c>
      <c r="N37" s="880"/>
      <c r="O37" s="880"/>
      <c r="P37" s="880"/>
      <c r="Q37" s="880"/>
      <c r="R37" s="880"/>
      <c r="S37" s="880"/>
      <c r="T37" s="437">
        <f>IFERROR(AVERAGE(T30:T36),0)</f>
        <v>1</v>
      </c>
      <c r="U37" s="437">
        <f t="shared" ref="U37" si="58">IFERROR(AVERAGE(U30:U36),0)</f>
        <v>1</v>
      </c>
      <c r="V37" s="437">
        <f>IFERROR(AVERAGE(V30:V36),0)</f>
        <v>0.5</v>
      </c>
      <c r="W37" s="880"/>
      <c r="X37" s="880"/>
      <c r="Y37" s="880"/>
      <c r="Z37" s="880"/>
      <c r="AA37" s="880"/>
      <c r="AB37" s="880"/>
      <c r="AC37" s="437">
        <f>IFERROR(AVERAGE(AC30:AC36),0)</f>
        <v>1</v>
      </c>
      <c r="AD37" s="437">
        <f t="shared" ref="AD37" si="59">IFERROR(AVERAGE(AD30:AD36),0)</f>
        <v>1</v>
      </c>
      <c r="AE37" s="437">
        <f>IFERROR(AVERAGE(AE30:AE36),0)</f>
        <v>0.82500000000000007</v>
      </c>
      <c r="AF37" s="880"/>
      <c r="AG37" s="880"/>
      <c r="AH37" s="880"/>
      <c r="AI37" s="880"/>
      <c r="AJ37" s="880"/>
      <c r="AK37" s="881"/>
      <c r="AL37" s="437">
        <f>IFERROR(AVERAGE(AL30:AL36),0)</f>
        <v>1</v>
      </c>
      <c r="AM37" s="437">
        <f t="shared" ref="AM37" si="60">IFERROR(AVERAGE(AM30:AM36),0)</f>
        <v>1</v>
      </c>
      <c r="AN37" s="437">
        <f>IFERROR(AVERAGE(AN30:AN36),0)</f>
        <v>1</v>
      </c>
      <c r="AO37" s="426"/>
      <c r="AP37" s="426"/>
      <c r="AQ37" s="426"/>
      <c r="AR37" s="426"/>
      <c r="AS37" s="426"/>
      <c r="AT37" s="426"/>
      <c r="AU37" s="426"/>
      <c r="AV37" s="426"/>
      <c r="AW37" s="529"/>
    </row>
    <row r="38" spans="2:52" s="427" customFormat="1" ht="24" customHeight="1" thickBot="1">
      <c r="D38" s="429"/>
      <c r="AW38" s="429"/>
      <c r="AY38" s="413"/>
      <c r="AZ38" s="413"/>
    </row>
    <row r="39" spans="2:52" s="427" customFormat="1" ht="16.2" thickBot="1">
      <c r="C39" s="430" t="s">
        <v>869</v>
      </c>
      <c r="D39" s="460"/>
      <c r="E39" s="1380" t="s">
        <v>1128</v>
      </c>
      <c r="F39" s="1381"/>
      <c r="G39" s="1381"/>
      <c r="H39" s="1381"/>
      <c r="I39" s="1381"/>
      <c r="J39" s="1381"/>
      <c r="K39" s="1381"/>
      <c r="L39" s="1381"/>
      <c r="M39" s="1382"/>
      <c r="N39" s="1383" t="s">
        <v>1129</v>
      </c>
      <c r="O39" s="1384"/>
      <c r="P39" s="1384"/>
      <c r="Q39" s="1384"/>
      <c r="R39" s="1384"/>
      <c r="S39" s="1384"/>
      <c r="T39" s="1384"/>
      <c r="U39" s="1384"/>
      <c r="V39" s="1385"/>
      <c r="W39" s="1386" t="s">
        <v>1130</v>
      </c>
      <c r="X39" s="1387"/>
      <c r="Y39" s="1387"/>
      <c r="Z39" s="1387"/>
      <c r="AA39" s="1387"/>
      <c r="AB39" s="1387"/>
      <c r="AC39" s="1387"/>
      <c r="AD39" s="1387"/>
      <c r="AE39" s="1388"/>
      <c r="AF39" s="1383" t="s">
        <v>1046</v>
      </c>
      <c r="AG39" s="1384"/>
      <c r="AH39" s="1384"/>
      <c r="AI39" s="1384"/>
      <c r="AJ39" s="1384"/>
      <c r="AK39" s="1384"/>
      <c r="AL39" s="1384"/>
      <c r="AM39" s="1384"/>
      <c r="AN39" s="1385"/>
      <c r="AW39" s="429"/>
      <c r="AY39" s="413"/>
      <c r="AZ39" s="413"/>
    </row>
    <row r="40" spans="2:52" ht="34.5" customHeight="1">
      <c r="C40" s="1393" t="str">
        <f>+$C$10</f>
        <v>Identificación del Indicador</v>
      </c>
      <c r="D40" s="1396" t="s">
        <v>861</v>
      </c>
      <c r="E40" s="1389" t="s">
        <v>862</v>
      </c>
      <c r="F40" s="1390"/>
      <c r="G40" s="1391"/>
      <c r="H40" s="1392" t="s">
        <v>1132</v>
      </c>
      <c r="I40" s="1394" t="s">
        <v>1136</v>
      </c>
      <c r="J40" s="1392" t="s">
        <v>863</v>
      </c>
      <c r="K40" s="1392" t="s">
        <v>857</v>
      </c>
      <c r="L40" s="1392"/>
      <c r="M40" s="1392"/>
      <c r="N40" s="1389" t="s">
        <v>862</v>
      </c>
      <c r="O40" s="1390"/>
      <c r="P40" s="1391"/>
      <c r="Q40" s="1392" t="s">
        <v>1141</v>
      </c>
      <c r="R40" s="1394" t="s">
        <v>1133</v>
      </c>
      <c r="S40" s="1392" t="s">
        <v>863</v>
      </c>
      <c r="T40" s="1392" t="s">
        <v>857</v>
      </c>
      <c r="U40" s="1392"/>
      <c r="V40" s="1392"/>
      <c r="W40" s="1389" t="s">
        <v>862</v>
      </c>
      <c r="X40" s="1390"/>
      <c r="Y40" s="1391"/>
      <c r="Z40" s="1392" t="s">
        <v>1142</v>
      </c>
      <c r="AA40" s="1394" t="s">
        <v>1138</v>
      </c>
      <c r="AB40" s="1392" t="s">
        <v>863</v>
      </c>
      <c r="AC40" s="1392" t="s">
        <v>857</v>
      </c>
      <c r="AD40" s="1392"/>
      <c r="AE40" s="1392"/>
      <c r="AF40" s="1389" t="s">
        <v>862</v>
      </c>
      <c r="AG40" s="1390"/>
      <c r="AH40" s="1391"/>
      <c r="AI40" s="1392" t="s">
        <v>1172</v>
      </c>
      <c r="AJ40" s="1394" t="s">
        <v>1173</v>
      </c>
      <c r="AK40" s="1392" t="s">
        <v>863</v>
      </c>
      <c r="AL40" s="1392" t="s">
        <v>857</v>
      </c>
      <c r="AM40" s="1392"/>
      <c r="AN40" s="1392"/>
      <c r="AO40" s="1398" t="s">
        <v>709</v>
      </c>
      <c r="AP40" s="1398"/>
      <c r="AQ40" s="1398"/>
      <c r="AR40" s="1398"/>
      <c r="AS40" s="1398"/>
      <c r="AT40" s="1398"/>
      <c r="AU40" s="1398"/>
      <c r="AV40" s="1398"/>
      <c r="AW40" s="1393" t="s">
        <v>882</v>
      </c>
    </row>
    <row r="41" spans="2:52" ht="47.4" customHeight="1">
      <c r="C41" s="1393"/>
      <c r="D41" s="1396"/>
      <c r="E41" s="1024" t="s">
        <v>1143</v>
      </c>
      <c r="F41" s="1024" t="str">
        <f>+E39</f>
        <v>Primer Trimestre</v>
      </c>
      <c r="G41" s="1025" t="s">
        <v>1135</v>
      </c>
      <c r="H41" s="1393"/>
      <c r="I41" s="1395"/>
      <c r="J41" s="1393"/>
      <c r="K41" s="1024" t="str">
        <f>+$D$6</f>
        <v>Cuarto Trimestre</v>
      </c>
      <c r="L41" s="1025" t="str">
        <f>+G41</f>
        <v>Acumulado
Corte 
31/03/2022</v>
      </c>
      <c r="M41" s="1026" t="s">
        <v>754</v>
      </c>
      <c r="N41" s="1024" t="s">
        <v>1143</v>
      </c>
      <c r="O41" s="1024" t="str">
        <f>+N39</f>
        <v>Segundo Trimestre</v>
      </c>
      <c r="P41" s="1025" t="s">
        <v>1134</v>
      </c>
      <c r="Q41" s="1393"/>
      <c r="R41" s="1395"/>
      <c r="S41" s="1393"/>
      <c r="T41" s="1024" t="str">
        <f>+O41</f>
        <v>Segundo Trimestre</v>
      </c>
      <c r="U41" s="1025" t="str">
        <f>+P41</f>
        <v>Acumulado Corte 
30/06/2022</v>
      </c>
      <c r="V41" s="1026" t="s">
        <v>754</v>
      </c>
      <c r="W41" s="1024" t="s">
        <v>1143</v>
      </c>
      <c r="X41" s="1024" t="str">
        <f>+W39</f>
        <v>Tercer Trimestre</v>
      </c>
      <c r="Y41" s="1025" t="s">
        <v>1137</v>
      </c>
      <c r="Z41" s="1393"/>
      <c r="AA41" s="1395"/>
      <c r="AB41" s="1393"/>
      <c r="AC41" s="1024" t="str">
        <f>+X41</f>
        <v>Tercer Trimestre</v>
      </c>
      <c r="AD41" s="1025" t="str">
        <f>+Y41</f>
        <v>Acumulado Corte 
30/09/2022</v>
      </c>
      <c r="AE41" s="1026" t="s">
        <v>754</v>
      </c>
      <c r="AF41" s="1024" t="s">
        <v>1143</v>
      </c>
      <c r="AG41" s="1024" t="s">
        <v>1171</v>
      </c>
      <c r="AH41" s="1025" t="s">
        <v>1139</v>
      </c>
      <c r="AI41" s="1393"/>
      <c r="AJ41" s="1395"/>
      <c r="AK41" s="1393"/>
      <c r="AL41" s="1024" t="str">
        <f>+AG41</f>
        <v>Cuarto Trimestre
31-12-2022</v>
      </c>
      <c r="AM41" s="1025" t="str">
        <f>+AH41</f>
        <v>Acumulado Corte 
31/12/2022</v>
      </c>
      <c r="AN41" s="1026" t="s">
        <v>754</v>
      </c>
      <c r="AO41" s="1097" t="s">
        <v>864</v>
      </c>
      <c r="AP41" s="1098"/>
      <c r="AQ41" s="1099" t="s">
        <v>865</v>
      </c>
      <c r="AR41" s="1100"/>
      <c r="AS41" s="1100"/>
      <c r="AT41" s="1101"/>
      <c r="AU41" s="1102" t="s">
        <v>717</v>
      </c>
      <c r="AV41" s="1103"/>
      <c r="AW41" s="1393"/>
    </row>
    <row r="42" spans="2:52" ht="35.25" customHeight="1">
      <c r="B42" s="431">
        <f>1+B36</f>
        <v>16</v>
      </c>
      <c r="C42" s="432" t="str">
        <f>+'Rango indicadores'!D20</f>
        <v>04-RI-01</v>
      </c>
      <c r="D42" s="432" t="str">
        <f>+'Rango indicadores'!E20</f>
        <v>Productos de comunicación externa desarrollados</v>
      </c>
      <c r="E42" s="436">
        <f>+'Rango indicadores'!Q20</f>
        <v>1</v>
      </c>
      <c r="F42" s="436">
        <f>+'1.Informe Seguimiento POA 2022'!O93</f>
        <v>1</v>
      </c>
      <c r="G42" s="436">
        <f>IFERROR(AVERAGE('1.Informe Seguimiento POA 2022'!O93),0)</f>
        <v>1</v>
      </c>
      <c r="H42" s="436">
        <f>+'1.Informe Seguimiento POA 2022'!P93</f>
        <v>1</v>
      </c>
      <c r="I42" s="436">
        <f>IFERROR(AVERAGE('1.Informe Seguimiento POA 2022'!P93),0)</f>
        <v>1</v>
      </c>
      <c r="J42" s="436">
        <f>+I42</f>
        <v>1</v>
      </c>
      <c r="K42" s="468">
        <f>IF(AND(F42&gt;0),H42/F42,"No programado")</f>
        <v>1</v>
      </c>
      <c r="L42" s="468">
        <f>IF(AND(G42&gt;0),I42/G42,"No programado")</f>
        <v>1</v>
      </c>
      <c r="M42" s="435">
        <f>IF(AND(E42&gt;0,$J42&gt;0),J42/$E42,0)*0.25</f>
        <v>0.25</v>
      </c>
      <c r="N42" s="436">
        <f>+E42</f>
        <v>1</v>
      </c>
      <c r="O42" s="436">
        <f>+'1.Informe Seguimiento POA 2022'!Q93</f>
        <v>1</v>
      </c>
      <c r="P42" s="436">
        <f>IFERROR(AVERAGE('1.Informe Seguimiento POA 2022'!O93,'1.Informe Seguimiento POA 2022'!Q93),0)</f>
        <v>1</v>
      </c>
      <c r="Q42" s="436">
        <f>+'1.Informe Seguimiento POA 2022'!R93</f>
        <v>1</v>
      </c>
      <c r="R42" s="436">
        <f>IFERROR(AVERAGE('1.Informe Seguimiento POA 2022'!P93,'1.Informe Seguimiento POA 2022'!R93),0)</f>
        <v>1</v>
      </c>
      <c r="S42" s="436">
        <f>IFERROR(IF(OR($N42="",$N42=0),0,ROUNDDOWN(AVERAGE($H42,Q42),3)),0)</f>
        <v>1</v>
      </c>
      <c r="T42" s="468">
        <f>IF(AND(O42&gt;0),Q42/O42,"No programado")</f>
        <v>1</v>
      </c>
      <c r="U42" s="468">
        <f>IF(AND(P42&gt;0),R42/P42,"No programado")</f>
        <v>1</v>
      </c>
      <c r="V42" s="435">
        <f>IF(AND(N42&gt;0,$S42&gt;0),S42/$N42,0)*0.5</f>
        <v>0.5</v>
      </c>
      <c r="W42" s="436">
        <f>+N42</f>
        <v>1</v>
      </c>
      <c r="X42" s="436">
        <f>+'1.Informe Seguimiento POA 2022'!S93</f>
        <v>1</v>
      </c>
      <c r="Y42" s="436">
        <f>IFERROR(AVERAGE('1.Informe Seguimiento POA 2022'!O93,'1.Informe Seguimiento POA 2022'!Q93,'1.Informe Seguimiento POA 2022'!S93),0)</f>
        <v>1</v>
      </c>
      <c r="Z42" s="436">
        <f>+'1.Informe Seguimiento POA 2022'!T93</f>
        <v>1</v>
      </c>
      <c r="AA42" s="436">
        <f>IFERROR(AVERAGE('1.Informe Seguimiento POA 2022'!R93,'1.Informe Seguimiento POA 2022'!P93,'1.Informe Seguimiento POA 2022'!T93),0)</f>
        <v>1</v>
      </c>
      <c r="AB42" s="436">
        <f>IFERROR(IF(OR($W42="",$W42=0),0,ROUNDDOWN(AVERAGE($H42,Q42,Z42),3)),0)</f>
        <v>1</v>
      </c>
      <c r="AC42" s="468">
        <f>IF(AND(X42&gt;0),Z42/X42,"No programado")</f>
        <v>1</v>
      </c>
      <c r="AD42" s="468">
        <f>IF(AND(Y42&gt;0),AA42/Y42,"No programado")</f>
        <v>1</v>
      </c>
      <c r="AE42" s="435">
        <f>IF(AND(W42&gt;0,$AB42&gt;0),AB42/$W42,0)*0.75</f>
        <v>0.75</v>
      </c>
      <c r="AF42" s="436">
        <f>+W42</f>
        <v>1</v>
      </c>
      <c r="AG42" s="436">
        <f>+'1.Informe Seguimiento POA 2022'!U93</f>
        <v>1</v>
      </c>
      <c r="AH42" s="436">
        <f>IFERROR(AVERAGE('1.Informe Seguimiento POA 2022'!O93,'1.Informe Seguimiento POA 2022'!Q93,'1.Informe Seguimiento POA 2022'!S93,'1.Informe Seguimiento POA 2022'!U93),0)</f>
        <v>1</v>
      </c>
      <c r="AI42" s="436">
        <f>+'1.Informe Seguimiento POA 2022'!V93</f>
        <v>1</v>
      </c>
      <c r="AJ42" s="436">
        <f>IFERROR(AVERAGE('1.Informe Seguimiento POA 2022'!P93,'1.Informe Seguimiento POA 2022'!R93,'1.Informe Seguimiento POA 2022'!T93,'1.Informe Seguimiento POA 2022'!V93),0)</f>
        <v>1</v>
      </c>
      <c r="AK42" s="436">
        <f>IFERROR(IF(OR($AF42="",$AF42=0),0,ROUNDDOWN(AVERAGE($H42,Q42,Z42,AI42),3)),0)</f>
        <v>1</v>
      </c>
      <c r="AL42" s="468">
        <f>IF(AND(AG42&gt;0),AI42/AG42,"No programado")</f>
        <v>1</v>
      </c>
      <c r="AM42" s="468">
        <f>IF(AND(AH42&gt;0),AJ42/AH42,"No programado")</f>
        <v>1</v>
      </c>
      <c r="AN42" s="435">
        <f>IF(AND(AF42&gt;0,$AK42&gt;0),AK42/$AF42,0)</f>
        <v>1</v>
      </c>
      <c r="AO42" s="439" t="str">
        <f>+'Rango indicadores'!H20</f>
        <v>Mayor A:</v>
      </c>
      <c r="AP42" s="434">
        <f>+'Rango indicadores'!I20</f>
        <v>90</v>
      </c>
      <c r="AQ42" s="434" t="str">
        <f>+'Rango indicadores'!J20</f>
        <v>Desde (&gt;=):</v>
      </c>
      <c r="AR42" s="434">
        <f>+'Rango indicadores'!K20</f>
        <v>75</v>
      </c>
      <c r="AS42" s="434" t="str">
        <f>+'Rango indicadores'!L20</f>
        <v>Hasta (&lt;=):</v>
      </c>
      <c r="AT42" s="434">
        <f>+'Rango indicadores'!M20</f>
        <v>90</v>
      </c>
      <c r="AU42" s="434" t="str">
        <f>+'Rango indicadores'!N20</f>
        <v>Menor A:</v>
      </c>
      <c r="AV42" s="434">
        <f>+'Rango indicadores'!O20</f>
        <v>75</v>
      </c>
      <c r="AW42" s="523" t="s">
        <v>1175</v>
      </c>
    </row>
    <row r="43" spans="2:52" ht="35.25" customHeight="1">
      <c r="B43" s="431">
        <f>+B42+1</f>
        <v>17</v>
      </c>
      <c r="C43" s="432" t="str">
        <f>+'Rango indicadores'!D21</f>
        <v>04-RI-02</v>
      </c>
      <c r="D43" s="432" t="str">
        <f>+'Rango indicadores'!E21</f>
        <v>Productos  de comunicación interna
desarrollados</v>
      </c>
      <c r="E43" s="436">
        <f>+'Rango indicadores'!Q21</f>
        <v>1</v>
      </c>
      <c r="F43" s="436">
        <f>+'1.Informe Seguimiento POA 2022'!O94</f>
        <v>1</v>
      </c>
      <c r="G43" s="436">
        <f>IFERROR(AVERAGE('1.Informe Seguimiento POA 2022'!O94),0)</f>
        <v>1</v>
      </c>
      <c r="H43" s="436">
        <f>+'1.Informe Seguimiento POA 2022'!P94</f>
        <v>1</v>
      </c>
      <c r="I43" s="436">
        <f>IFERROR(AVERAGE('1.Informe Seguimiento POA 2022'!P94),0)</f>
        <v>1</v>
      </c>
      <c r="J43" s="436">
        <f>+I43</f>
        <v>1</v>
      </c>
      <c r="K43" s="468">
        <f>IF(AND(F43&gt;0),H43/F43,"No programado")</f>
        <v>1</v>
      </c>
      <c r="L43" s="468">
        <f t="shared" ref="L43" si="61">IF(AND(G43&gt;0),I43/G43,"No programado")</f>
        <v>1</v>
      </c>
      <c r="M43" s="435">
        <f>IF(AND(E43&gt;0,$J43&gt;0),J43/$E43,0)*0.25</f>
        <v>0.25</v>
      </c>
      <c r="N43" s="436">
        <f>+E43</f>
        <v>1</v>
      </c>
      <c r="O43" s="436">
        <f>+'1.Informe Seguimiento POA 2022'!Q94</f>
        <v>1</v>
      </c>
      <c r="P43" s="436">
        <f>IFERROR(AVERAGE('1.Informe Seguimiento POA 2022'!O94,'1.Informe Seguimiento POA 2022'!Q94),0)</f>
        <v>1</v>
      </c>
      <c r="Q43" s="436">
        <f>+'1.Informe Seguimiento POA 2022'!R94</f>
        <v>1</v>
      </c>
      <c r="R43" s="436">
        <f>IFERROR(AVERAGE('1.Informe Seguimiento POA 2022'!P94,'1.Informe Seguimiento POA 2022'!R94),0)</f>
        <v>1</v>
      </c>
      <c r="S43" s="436">
        <f>IFERROR(IF(OR($N43="",$N43=0),0,ROUNDDOWN(AVERAGE($H43,Q43),3)),0)</f>
        <v>1</v>
      </c>
      <c r="T43" s="468">
        <f>IF(AND(O43&gt;0),Q43/O43,"No programado")</f>
        <v>1</v>
      </c>
      <c r="U43" s="468">
        <f t="shared" ref="U43" si="62">IF(AND(P43&gt;0),R43/P43,"No programado")</f>
        <v>1</v>
      </c>
      <c r="V43" s="435">
        <f>IF(AND(N43&gt;0,$S43&gt;0),S43/$N43,0)*0.5</f>
        <v>0.5</v>
      </c>
      <c r="W43" s="436">
        <f>+N43</f>
        <v>1</v>
      </c>
      <c r="X43" s="436">
        <f>+'1.Informe Seguimiento POA 2022'!S94</f>
        <v>1</v>
      </c>
      <c r="Y43" s="436">
        <f>IFERROR(AVERAGE('1.Informe Seguimiento POA 2022'!O94,'1.Informe Seguimiento POA 2022'!Q94,'1.Informe Seguimiento POA 2022'!S94),0)</f>
        <v>1</v>
      </c>
      <c r="Z43" s="436">
        <f>+'1.Informe Seguimiento POA 2022'!T94</f>
        <v>1</v>
      </c>
      <c r="AA43" s="436">
        <f>IFERROR(AVERAGE('1.Informe Seguimiento POA 2022'!R94,'1.Informe Seguimiento POA 2022'!P94,'1.Informe Seguimiento POA 2022'!T94),0)</f>
        <v>1</v>
      </c>
      <c r="AB43" s="436">
        <f>IFERROR(IF(OR($W43="",$W43=0),0,ROUNDDOWN(AVERAGE($H43,Q43,Z43),3)),0)</f>
        <v>1</v>
      </c>
      <c r="AC43" s="468">
        <f>IF(AND(X43&gt;0),Z43/X43,"No programado")</f>
        <v>1</v>
      </c>
      <c r="AD43" s="468">
        <f t="shared" ref="AD43" si="63">IF(AND(Y43&gt;0),AA43/Y43,"No programado")</f>
        <v>1</v>
      </c>
      <c r="AE43" s="435">
        <f>IF(AND(W43&gt;0,$AB43&gt;0),AB43/$W43,0)*0.75</f>
        <v>0.75</v>
      </c>
      <c r="AF43" s="436">
        <f>+W43</f>
        <v>1</v>
      </c>
      <c r="AG43" s="436">
        <f>+'1.Informe Seguimiento POA 2022'!U94</f>
        <v>1</v>
      </c>
      <c r="AH43" s="436">
        <f>IFERROR(AVERAGE('1.Informe Seguimiento POA 2022'!O94,'1.Informe Seguimiento POA 2022'!Q94,'1.Informe Seguimiento POA 2022'!S94,'1.Informe Seguimiento POA 2022'!U94),0)</f>
        <v>1</v>
      </c>
      <c r="AI43" s="436">
        <f>+'1.Informe Seguimiento POA 2022'!V94</f>
        <v>1</v>
      </c>
      <c r="AJ43" s="436">
        <f>IFERROR(AVERAGE('1.Informe Seguimiento POA 2022'!P94,'1.Informe Seguimiento POA 2022'!R94,'1.Informe Seguimiento POA 2022'!T94,'1.Informe Seguimiento POA 2022'!V94),0)</f>
        <v>1</v>
      </c>
      <c r="AK43" s="436">
        <f>IFERROR(IF(OR($AF43="",$AF43=0),0,ROUNDDOWN(AVERAGE($H43,Q43,Z43,AI43),3)),0)</f>
        <v>1</v>
      </c>
      <c r="AL43" s="468">
        <f>IF(AND(AG43&gt;0),AI43/AG43,"No programado")</f>
        <v>1</v>
      </c>
      <c r="AM43" s="468">
        <f t="shared" ref="AM43" si="64">IF(AND(AH43&gt;0),AJ43/AH43,"No programado")</f>
        <v>1</v>
      </c>
      <c r="AN43" s="435">
        <f>IF(AND(AF43&gt;0,$AK43&gt;0),AK43/$AF43,0)</f>
        <v>1</v>
      </c>
      <c r="AO43" s="439" t="str">
        <f>+'Rango indicadores'!H21</f>
        <v>Mayor A:</v>
      </c>
      <c r="AP43" s="434">
        <f>+'Rango indicadores'!I21</f>
        <v>90</v>
      </c>
      <c r="AQ43" s="434" t="str">
        <f>+'Rango indicadores'!J21</f>
        <v>Desde (&gt;=):</v>
      </c>
      <c r="AR43" s="434">
        <f>+'Rango indicadores'!K21</f>
        <v>75</v>
      </c>
      <c r="AS43" s="434" t="str">
        <f>+'Rango indicadores'!L21</f>
        <v>Hasta (&lt;=):</v>
      </c>
      <c r="AT43" s="434">
        <f>+'Rango indicadores'!M21</f>
        <v>90</v>
      </c>
      <c r="AU43" s="434" t="str">
        <f>+'Rango indicadores'!N21</f>
        <v>Menor A:</v>
      </c>
      <c r="AV43" s="434">
        <f>+'Rango indicadores'!O21</f>
        <v>75</v>
      </c>
      <c r="AW43" s="523" t="s">
        <v>1175</v>
      </c>
    </row>
    <row r="44" spans="2:52" ht="15.6">
      <c r="C44" s="1378" t="s">
        <v>866</v>
      </c>
      <c r="D44" s="1379"/>
      <c r="E44" s="1379"/>
      <c r="F44" s="1379"/>
      <c r="G44" s="1379"/>
      <c r="H44" s="1379"/>
      <c r="I44" s="1379"/>
      <c r="J44" s="1379"/>
      <c r="K44" s="437">
        <f>IFERROR(AVERAGE(K42:K43),0)</f>
        <v>1</v>
      </c>
      <c r="L44" s="437">
        <f>IFERROR(AVERAGE(L42:L43),0)</f>
        <v>1</v>
      </c>
      <c r="M44" s="437">
        <f>IFERROR(AVERAGE(M42:M43),0)</f>
        <v>0.25</v>
      </c>
      <c r="N44" s="880"/>
      <c r="O44" s="880"/>
      <c r="P44" s="880"/>
      <c r="Q44" s="880"/>
      <c r="R44" s="880"/>
      <c r="S44" s="880"/>
      <c r="T44" s="437">
        <f>IFERROR(AVERAGE(T42:T43),0)</f>
        <v>1</v>
      </c>
      <c r="U44" s="437">
        <f>IFERROR(AVERAGE(U42:U43),0)</f>
        <v>1</v>
      </c>
      <c r="V44" s="437">
        <f>IFERROR(AVERAGE(V42:V43),0)</f>
        <v>0.5</v>
      </c>
      <c r="W44" s="880"/>
      <c r="X44" s="880"/>
      <c r="Y44" s="880"/>
      <c r="Z44" s="880"/>
      <c r="AA44" s="880"/>
      <c r="AB44" s="880"/>
      <c r="AC44" s="437">
        <f>IFERROR(AVERAGE(AC42:AC43),0)</f>
        <v>1</v>
      </c>
      <c r="AD44" s="437">
        <f>IFERROR(AVERAGE(AD42:AD43),0)</f>
        <v>1</v>
      </c>
      <c r="AE44" s="437">
        <f>IFERROR(AVERAGE(AE42:AE43),0)</f>
        <v>0.75</v>
      </c>
      <c r="AF44" s="880"/>
      <c r="AG44" s="880"/>
      <c r="AH44" s="880"/>
      <c r="AI44" s="880"/>
      <c r="AJ44" s="880"/>
      <c r="AK44" s="881"/>
      <c r="AL44" s="437">
        <f>IFERROR(AVERAGE(AL42:AL43),0)</f>
        <v>1</v>
      </c>
      <c r="AM44" s="437">
        <f>IFERROR(AVERAGE(AM42:AM43),0)</f>
        <v>1</v>
      </c>
      <c r="AN44" s="437">
        <f>IFERROR(AVERAGE(AN42:AN43),0)</f>
        <v>1</v>
      </c>
      <c r="AO44" s="444"/>
      <c r="AP44" s="444"/>
      <c r="AQ44" s="444"/>
      <c r="AR44" s="444"/>
      <c r="AS44" s="444"/>
      <c r="AT44" s="444"/>
      <c r="AU44" s="444"/>
      <c r="AV44" s="444"/>
      <c r="AW44" s="529"/>
    </row>
    <row r="45" spans="2:52" s="966" customFormat="1" ht="24" customHeight="1" thickBot="1">
      <c r="D45" s="967"/>
      <c r="AW45" s="967"/>
      <c r="AY45" s="577"/>
      <c r="AZ45" s="577"/>
    </row>
    <row r="46" spans="2:52" s="427" customFormat="1" ht="16.2" thickBot="1">
      <c r="C46" s="430" t="s">
        <v>870</v>
      </c>
      <c r="D46" s="460"/>
      <c r="E46" s="1380" t="s">
        <v>1128</v>
      </c>
      <c r="F46" s="1381"/>
      <c r="G46" s="1381"/>
      <c r="H46" s="1381"/>
      <c r="I46" s="1381"/>
      <c r="J46" s="1381"/>
      <c r="K46" s="1381"/>
      <c r="L46" s="1381"/>
      <c r="M46" s="1382"/>
      <c r="N46" s="1383" t="s">
        <v>1129</v>
      </c>
      <c r="O46" s="1384"/>
      <c r="P46" s="1384"/>
      <c r="Q46" s="1384"/>
      <c r="R46" s="1384"/>
      <c r="S46" s="1384"/>
      <c r="T46" s="1384"/>
      <c r="U46" s="1384"/>
      <c r="V46" s="1385"/>
      <c r="W46" s="1386" t="s">
        <v>1130</v>
      </c>
      <c r="X46" s="1387"/>
      <c r="Y46" s="1387"/>
      <c r="Z46" s="1387"/>
      <c r="AA46" s="1387"/>
      <c r="AB46" s="1387"/>
      <c r="AC46" s="1387"/>
      <c r="AD46" s="1387"/>
      <c r="AE46" s="1388"/>
      <c r="AF46" s="1383" t="s">
        <v>1046</v>
      </c>
      <c r="AG46" s="1384"/>
      <c r="AH46" s="1384"/>
      <c r="AI46" s="1384"/>
      <c r="AJ46" s="1384"/>
      <c r="AK46" s="1384"/>
      <c r="AL46" s="1384"/>
      <c r="AM46" s="1384"/>
      <c r="AN46" s="1385"/>
      <c r="AW46" s="429"/>
      <c r="AY46" s="413"/>
      <c r="AZ46" s="413"/>
    </row>
    <row r="47" spans="2:52" ht="28.2" customHeight="1">
      <c r="C47" s="1393" t="str">
        <f>+$C$10</f>
        <v>Identificación del Indicador</v>
      </c>
      <c r="D47" s="1396" t="s">
        <v>861</v>
      </c>
      <c r="E47" s="1389" t="s">
        <v>862</v>
      </c>
      <c r="F47" s="1390"/>
      <c r="G47" s="1391"/>
      <c r="H47" s="1392" t="s">
        <v>1132</v>
      </c>
      <c r="I47" s="1394" t="s">
        <v>1136</v>
      </c>
      <c r="J47" s="1392" t="s">
        <v>863</v>
      </c>
      <c r="K47" s="1392" t="s">
        <v>857</v>
      </c>
      <c r="L47" s="1392"/>
      <c r="M47" s="1392"/>
      <c r="N47" s="1389" t="s">
        <v>862</v>
      </c>
      <c r="O47" s="1390"/>
      <c r="P47" s="1391"/>
      <c r="Q47" s="1392" t="s">
        <v>1141</v>
      </c>
      <c r="R47" s="1394" t="s">
        <v>1133</v>
      </c>
      <c r="S47" s="1392" t="s">
        <v>863</v>
      </c>
      <c r="T47" s="1392" t="s">
        <v>857</v>
      </c>
      <c r="U47" s="1392"/>
      <c r="V47" s="1392"/>
      <c r="W47" s="1389" t="s">
        <v>862</v>
      </c>
      <c r="X47" s="1390"/>
      <c r="Y47" s="1391"/>
      <c r="Z47" s="1392" t="s">
        <v>1142</v>
      </c>
      <c r="AA47" s="1394" t="s">
        <v>1138</v>
      </c>
      <c r="AB47" s="1392" t="s">
        <v>863</v>
      </c>
      <c r="AC47" s="1392" t="s">
        <v>857</v>
      </c>
      <c r="AD47" s="1392"/>
      <c r="AE47" s="1392"/>
      <c r="AF47" s="1389" t="s">
        <v>862</v>
      </c>
      <c r="AG47" s="1390"/>
      <c r="AH47" s="1391"/>
      <c r="AI47" s="1392" t="s">
        <v>1172</v>
      </c>
      <c r="AJ47" s="1394" t="s">
        <v>1173</v>
      </c>
      <c r="AK47" s="1392" t="s">
        <v>863</v>
      </c>
      <c r="AL47" s="1392" t="s">
        <v>857</v>
      </c>
      <c r="AM47" s="1392"/>
      <c r="AN47" s="1392"/>
      <c r="AO47" s="1398" t="s">
        <v>709</v>
      </c>
      <c r="AP47" s="1398"/>
      <c r="AQ47" s="1398"/>
      <c r="AR47" s="1398"/>
      <c r="AS47" s="1398"/>
      <c r="AT47" s="1398"/>
      <c r="AU47" s="1398"/>
      <c r="AV47" s="1398"/>
      <c r="AW47" s="1393" t="s">
        <v>882</v>
      </c>
    </row>
    <row r="48" spans="2:52" ht="46.2" customHeight="1">
      <c r="C48" s="1393"/>
      <c r="D48" s="1396"/>
      <c r="E48" s="1024" t="s">
        <v>1143</v>
      </c>
      <c r="F48" s="1024" t="str">
        <f>+E46</f>
        <v>Primer Trimestre</v>
      </c>
      <c r="G48" s="1025" t="s">
        <v>1135</v>
      </c>
      <c r="H48" s="1393"/>
      <c r="I48" s="1395"/>
      <c r="J48" s="1393"/>
      <c r="K48" s="1024" t="str">
        <f>+$D$6</f>
        <v>Cuarto Trimestre</v>
      </c>
      <c r="L48" s="1025" t="str">
        <f>+G48</f>
        <v>Acumulado
Corte 
31/03/2022</v>
      </c>
      <c r="M48" s="1026" t="s">
        <v>754</v>
      </c>
      <c r="N48" s="1024" t="s">
        <v>1143</v>
      </c>
      <c r="O48" s="1024" t="str">
        <f>+N46</f>
        <v>Segundo Trimestre</v>
      </c>
      <c r="P48" s="1025" t="s">
        <v>1134</v>
      </c>
      <c r="Q48" s="1393"/>
      <c r="R48" s="1395"/>
      <c r="S48" s="1393"/>
      <c r="T48" s="1024" t="str">
        <f>+O48</f>
        <v>Segundo Trimestre</v>
      </c>
      <c r="U48" s="1025" t="str">
        <f>+P48</f>
        <v>Acumulado Corte 
30/06/2022</v>
      </c>
      <c r="V48" s="1026" t="s">
        <v>754</v>
      </c>
      <c r="W48" s="1024" t="s">
        <v>1143</v>
      </c>
      <c r="X48" s="1024" t="str">
        <f>+W46</f>
        <v>Tercer Trimestre</v>
      </c>
      <c r="Y48" s="1025" t="s">
        <v>1137</v>
      </c>
      <c r="Z48" s="1393"/>
      <c r="AA48" s="1395"/>
      <c r="AB48" s="1393"/>
      <c r="AC48" s="1024" t="str">
        <f>+X48</f>
        <v>Tercer Trimestre</v>
      </c>
      <c r="AD48" s="1025" t="str">
        <f>+Y48</f>
        <v>Acumulado Corte 
30/09/2022</v>
      </c>
      <c r="AE48" s="1026" t="s">
        <v>754</v>
      </c>
      <c r="AF48" s="1024" t="s">
        <v>1143</v>
      </c>
      <c r="AG48" s="1024" t="s">
        <v>1171</v>
      </c>
      <c r="AH48" s="1025" t="s">
        <v>1139</v>
      </c>
      <c r="AI48" s="1393"/>
      <c r="AJ48" s="1395"/>
      <c r="AK48" s="1393"/>
      <c r="AL48" s="1024" t="str">
        <f>+AG48</f>
        <v>Cuarto Trimestre
31-12-2022</v>
      </c>
      <c r="AM48" s="1025" t="str">
        <f>+AH48</f>
        <v>Acumulado Corte 
31/12/2022</v>
      </c>
      <c r="AN48" s="1026" t="s">
        <v>754</v>
      </c>
      <c r="AO48" s="1097" t="s">
        <v>864</v>
      </c>
      <c r="AP48" s="1098"/>
      <c r="AQ48" s="1099" t="s">
        <v>865</v>
      </c>
      <c r="AR48" s="1100"/>
      <c r="AS48" s="1100"/>
      <c r="AT48" s="1101"/>
      <c r="AU48" s="1102" t="s">
        <v>717</v>
      </c>
      <c r="AV48" s="1103"/>
      <c r="AW48" s="1393"/>
    </row>
    <row r="49" spans="2:53" ht="46.5" customHeight="1">
      <c r="B49" s="431">
        <f>+B43+1</f>
        <v>18</v>
      </c>
      <c r="C49" s="432" t="str">
        <f>+'Rango indicadores'!D83</f>
        <v>14-RI-01</v>
      </c>
      <c r="D49" s="432" t="str">
        <f>+'Rango indicadores'!E83</f>
        <v>Porcentaje de Percepción de los usuarios en calificación excelente y bueno incrementado</v>
      </c>
      <c r="E49" s="436">
        <f>+'Rango indicadores'!Q83</f>
        <v>0.9</v>
      </c>
      <c r="F49" s="464">
        <f>+'1.Informe Seguimiento POA 2022'!O59</f>
        <v>0.9</v>
      </c>
      <c r="G49" s="464">
        <f>+'1.Informe Seguimiento POA 2022'!O59</f>
        <v>0.9</v>
      </c>
      <c r="H49" s="790">
        <f>+'1.Informe Seguimiento POA 2022'!P59</f>
        <v>0.95899999999999996</v>
      </c>
      <c r="I49" s="464">
        <f>+'1.Informe Seguimiento POA 2022'!P59</f>
        <v>0.95899999999999996</v>
      </c>
      <c r="J49" s="464">
        <f>+I49</f>
        <v>0.95899999999999996</v>
      </c>
      <c r="K49" s="422">
        <f>IF(AND(F49&gt;0),H49/F49,"No programado")</f>
        <v>1.0655555555555556</v>
      </c>
      <c r="L49" s="422">
        <f>IF(AND(G49&gt;0),I49/G49,"No programado")</f>
        <v>1.0655555555555556</v>
      </c>
      <c r="M49" s="435">
        <f>IF(AND(E49&gt;0,$J49&gt;0),J49/$E49,0)*0.25</f>
        <v>0.2663888888888889</v>
      </c>
      <c r="N49" s="436">
        <f>+E49</f>
        <v>0.9</v>
      </c>
      <c r="O49" s="436">
        <f>+'1.Informe Seguimiento POA 2022'!Q59</f>
        <v>0</v>
      </c>
      <c r="P49" s="436">
        <f>+'1.Informe Seguimiento POA 2022'!O59</f>
        <v>0.9</v>
      </c>
      <c r="Q49" s="436">
        <f>+'1.Informe Seguimiento POA 2022'!R59</f>
        <v>0</v>
      </c>
      <c r="R49" s="464">
        <f>+'1.Informe Seguimiento POA 2022'!P59</f>
        <v>0.95899999999999996</v>
      </c>
      <c r="S49" s="464">
        <f>J49</f>
        <v>0.95899999999999996</v>
      </c>
      <c r="T49" s="422" t="str">
        <f>IF(AND(O49&gt;0),Q49/O49,"No programado")</f>
        <v>No programado</v>
      </c>
      <c r="U49" s="422">
        <f>IF(AND(P49&gt;0),R49/P49,"No programado")</f>
        <v>1.0655555555555556</v>
      </c>
      <c r="V49" s="435">
        <f>IF(AND(N49&gt;0,$S49&gt;0),S49/$N49,0)</f>
        <v>1.0655555555555556</v>
      </c>
      <c r="W49" s="436">
        <f>+N49</f>
        <v>0.9</v>
      </c>
      <c r="X49" s="436">
        <f>+'1.Informe Seguimiento POA 2022'!S59</f>
        <v>0.9</v>
      </c>
      <c r="Y49" s="436">
        <f>IFERROR(AVERAGE('1.Informe Seguimiento POA 2022'!O59,'1.Informe Seguimiento POA 2022'!S59),0)</f>
        <v>0.9</v>
      </c>
      <c r="Z49" s="436">
        <f>+'1.Informe Seguimiento POA 2022'!T59</f>
        <v>0.96</v>
      </c>
      <c r="AA49" s="944">
        <f>IFERROR(AVERAGE('1.Informe Seguimiento POA 2022'!P59,'1.Informe Seguimiento POA 2022'!T59),0)</f>
        <v>0.95950000000000002</v>
      </c>
      <c r="AB49" s="944">
        <f>IFERROR(IF(OR($W49="",$W49=0),0,ROUNDDOWN(AVERAGE($H49,Z49),3)),0)</f>
        <v>0.95899999999999996</v>
      </c>
      <c r="AC49" s="422">
        <f>IF(AND(X49&gt;0),Z49/X49,"No programado")</f>
        <v>1.0666666666666667</v>
      </c>
      <c r="AD49" s="422">
        <f>IF(AND(Y49&gt;0),AA49/Y49,"No programado")</f>
        <v>1.066111111111111</v>
      </c>
      <c r="AE49" s="435">
        <f>IF(AND(W49&gt;0,$AB49&gt;0),AB49/$W49,0)</f>
        <v>1.0655555555555556</v>
      </c>
      <c r="AF49" s="436">
        <f>+W49</f>
        <v>0.9</v>
      </c>
      <c r="AG49" s="436">
        <f>+'1.Informe Seguimiento POA 2022'!U59</f>
        <v>0</v>
      </c>
      <c r="AH49" s="436">
        <f>+'1.Informe Seguimiento POA 2022'!S59</f>
        <v>0.9</v>
      </c>
      <c r="AI49" s="436">
        <f>+'1.Informe Seguimiento POA 2022'!V59</f>
        <v>0</v>
      </c>
      <c r="AJ49" s="436">
        <f>+'1.Informe Seguimiento POA 2022'!T59</f>
        <v>0.96</v>
      </c>
      <c r="AK49" s="436">
        <f>+AB49</f>
        <v>0.95899999999999996</v>
      </c>
      <c r="AL49" s="422" t="str">
        <f>IF(AND(AG49&gt;0),AI49/AG49,"No programado")</f>
        <v>No programado</v>
      </c>
      <c r="AM49" s="422">
        <f>IF(AND(AH49&gt;0),AJ49/AH49,"No programado")</f>
        <v>1.0666666666666667</v>
      </c>
      <c r="AN49" s="435">
        <f>IF(AND(AF49&gt;0,$AK49&gt;0),AK49/$AF49,0)</f>
        <v>1.0655555555555556</v>
      </c>
      <c r="AO49" s="445" t="str">
        <f>+'Rango indicadores'!H83</f>
        <v>Mayor A:</v>
      </c>
      <c r="AP49" s="434">
        <f>+'Rango indicadores'!I83</f>
        <v>90</v>
      </c>
      <c r="AQ49" s="434" t="str">
        <f>+'Rango indicadores'!J83</f>
        <v>Desde (&gt;=):</v>
      </c>
      <c r="AR49" s="434">
        <f>+'Rango indicadores'!K83</f>
        <v>70</v>
      </c>
      <c r="AS49" s="434" t="str">
        <f>+'Rango indicadores'!L83</f>
        <v>Hasta (&lt;=):</v>
      </c>
      <c r="AT49" s="434">
        <f>+'Rango indicadores'!M83</f>
        <v>90</v>
      </c>
      <c r="AU49" s="434" t="str">
        <f>+'Rango indicadores'!N83</f>
        <v>Menor A:</v>
      </c>
      <c r="AV49" s="434">
        <f>+'Rango indicadores'!O83</f>
        <v>70</v>
      </c>
      <c r="AW49" s="523" t="s">
        <v>1176</v>
      </c>
    </row>
    <row r="50" spans="2:53" ht="46.5" customHeight="1">
      <c r="B50" s="431">
        <f>+B49+1</f>
        <v>19</v>
      </c>
      <c r="C50" s="432" t="str">
        <f>+'Rango indicadores'!D84</f>
        <v>14-RI-02</v>
      </c>
      <c r="D50" s="432" t="str">
        <f>+'Rango indicadores'!E84</f>
        <v>Lineamientos implementados</v>
      </c>
      <c r="E50" s="434">
        <f>+'Rango indicadores'!Q84</f>
        <v>3</v>
      </c>
      <c r="F50" s="434">
        <f>+'1.Informe Seguimiento POA 2022'!O60</f>
        <v>1</v>
      </c>
      <c r="G50" s="434">
        <f>+'1.Informe Seguimiento POA 2022'!O60</f>
        <v>1</v>
      </c>
      <c r="H50" s="434">
        <f>+'1.Informe Seguimiento POA 2022'!P60</f>
        <v>1</v>
      </c>
      <c r="I50" s="434">
        <f>+'1.Informe Seguimiento POA 2022'!P60</f>
        <v>1</v>
      </c>
      <c r="J50" s="434">
        <f t="shared" ref="J50:J51" si="65">+I50</f>
        <v>1</v>
      </c>
      <c r="K50" s="422">
        <f>IF(AND(F50&gt;0),H50/F50,"No programado")</f>
        <v>1</v>
      </c>
      <c r="L50" s="422">
        <f t="shared" ref="L50:L51" si="66">IF(AND(G50&gt;0),I50/G50,"No programado")</f>
        <v>1</v>
      </c>
      <c r="M50" s="435">
        <f t="shared" ref="M50:M51" si="67">IF(AND(E50&gt;0,$J50&gt;0),J50/$E50,0)</f>
        <v>0.33333333333333331</v>
      </c>
      <c r="N50" s="434">
        <f>+E50</f>
        <v>3</v>
      </c>
      <c r="O50" s="434">
        <f>+'1.Informe Seguimiento POA 2022'!Q60</f>
        <v>1</v>
      </c>
      <c r="P50" s="434">
        <f>+'1.Informe Seguimiento POA 2022'!O60+'1.Informe Seguimiento POA 2022'!Q60</f>
        <v>2</v>
      </c>
      <c r="Q50" s="434">
        <f>'1.Informe Seguimiento POA 2022'!R60</f>
        <v>1</v>
      </c>
      <c r="R50" s="434">
        <f>+'1.Informe Seguimiento POA 2022'!P60+'1.Informe Seguimiento POA 2022'!R60</f>
        <v>2</v>
      </c>
      <c r="S50" s="434">
        <f>H50+Q50</f>
        <v>2</v>
      </c>
      <c r="T50" s="422">
        <f>IF(AND(O50&gt;0),Q50/O50,"No programado")</f>
        <v>1</v>
      </c>
      <c r="U50" s="422">
        <f t="shared" ref="U50:U51" si="68">IF(AND(P50&gt;0),R50/P50,"No programado")</f>
        <v>1</v>
      </c>
      <c r="V50" s="435">
        <f>IF(AND(N50&gt;0,$S50&gt;0),S50/$N50,0)</f>
        <v>0.66666666666666663</v>
      </c>
      <c r="W50" s="434">
        <f>+N50</f>
        <v>3</v>
      </c>
      <c r="X50" s="434">
        <f>+'1.Informe Seguimiento POA 2022'!S60</f>
        <v>0</v>
      </c>
      <c r="Y50" s="434">
        <f>+'1.Informe Seguimiento POA 2022'!O60+'1.Informe Seguimiento POA 2022'!Q60+'1.Informe Seguimiento POA 2022'!S60</f>
        <v>2</v>
      </c>
      <c r="Z50" s="434">
        <f>+'1.Informe Seguimiento POA 2022'!T60</f>
        <v>0</v>
      </c>
      <c r="AA50" s="434">
        <f>+'1.Informe Seguimiento POA 2022'!R60+'1.Informe Seguimiento POA 2022'!T60+'1.Informe Seguimiento POA 2022'!P60</f>
        <v>2</v>
      </c>
      <c r="AB50" s="878">
        <f>H50+Q50+Z50</f>
        <v>2</v>
      </c>
      <c r="AC50" s="422" t="str">
        <f>IF(AND(X50&gt;0),Z50/X50,"No programado")</f>
        <v>No programado</v>
      </c>
      <c r="AD50" s="422">
        <f t="shared" ref="AD50:AD51" si="69">IF(AND(Y50&gt;0),AA50/Y50,"No programado")</f>
        <v>1</v>
      </c>
      <c r="AE50" s="435">
        <f>IF(AND(W50&gt;0,$AB50&gt;0),AB50/$W50,0)</f>
        <v>0.66666666666666663</v>
      </c>
      <c r="AF50" s="434">
        <f>+W50</f>
        <v>3</v>
      </c>
      <c r="AG50" s="434">
        <f>+'1.Informe Seguimiento POA 2022'!U60</f>
        <v>1</v>
      </c>
      <c r="AH50" s="434">
        <f>+'1.Informe Seguimiento POA 2022'!O60+'1.Informe Seguimiento POA 2022'!Q60+'1.Informe Seguimiento POA 2022'!S60+'1.Informe Seguimiento POA 2022'!U60</f>
        <v>3</v>
      </c>
      <c r="AI50" s="434">
        <f>+'1.Informe Seguimiento POA 2022'!V60</f>
        <v>1</v>
      </c>
      <c r="AJ50" s="434">
        <f>+'1.Informe Seguimiento POA 2022'!P60+'1.Informe Seguimiento POA 2022'!R60+'1.Informe Seguimiento POA 2022'!T60+'1.Informe Seguimiento POA 2022'!V60</f>
        <v>3</v>
      </c>
      <c r="AK50" s="434">
        <f>H50+Q50+Z50+AI50</f>
        <v>3</v>
      </c>
      <c r="AL50" s="422">
        <f>IF(AND(AG50&gt;0),AI50/AG50,"No programado")</f>
        <v>1</v>
      </c>
      <c r="AM50" s="422">
        <f t="shared" ref="AM50:AM51" si="70">IF(AND(AH50&gt;0),AJ50/AH50,"No programado")</f>
        <v>1</v>
      </c>
      <c r="AN50" s="435">
        <f>IF(AND(AF50&gt;0,$AK50&gt;0),AK50/$AF50,0)</f>
        <v>1</v>
      </c>
      <c r="AO50" s="445" t="str">
        <f>+'Rango indicadores'!H84</f>
        <v>Mayor A:</v>
      </c>
      <c r="AP50" s="434">
        <f>+'Rango indicadores'!I84</f>
        <v>90</v>
      </c>
      <c r="AQ50" s="434" t="str">
        <f>+'Rango indicadores'!J84</f>
        <v>Desde (&gt;=):</v>
      </c>
      <c r="AR50" s="434">
        <f>+'Rango indicadores'!K84</f>
        <v>70</v>
      </c>
      <c r="AS50" s="434" t="str">
        <f>+'Rango indicadores'!L84</f>
        <v>Hasta (&lt;=):</v>
      </c>
      <c r="AT50" s="434">
        <f>+'Rango indicadores'!M84</f>
        <v>90</v>
      </c>
      <c r="AU50" s="434" t="str">
        <f>+'Rango indicadores'!N84</f>
        <v>Menor A:</v>
      </c>
      <c r="AV50" s="434">
        <f>+'Rango indicadores'!O84</f>
        <v>70</v>
      </c>
      <c r="AW50" s="523" t="s">
        <v>1175</v>
      </c>
    </row>
    <row r="51" spans="2:53" ht="46.5" customHeight="1">
      <c r="B51" s="431">
        <f>+B50+1</f>
        <v>20</v>
      </c>
      <c r="C51" s="432" t="str">
        <f>+'Rango indicadores'!D85</f>
        <v>14-RI-03</v>
      </c>
      <c r="D51" s="432" t="str">
        <f>+'Rango indicadores'!E85</f>
        <v>Acuerdos interinstitucionales gestionados</v>
      </c>
      <c r="E51" s="434">
        <f>+'Rango indicadores'!Q85</f>
        <v>1</v>
      </c>
      <c r="F51" s="434">
        <f>+'1.Informe Seguimiento POA 2022'!O95</f>
        <v>0</v>
      </c>
      <c r="G51" s="434">
        <f>+'1.Informe Seguimiento POA 2022'!O95</f>
        <v>0</v>
      </c>
      <c r="H51" s="434">
        <f>+'1.Informe Seguimiento POA 2022'!P95</f>
        <v>0</v>
      </c>
      <c r="I51" s="434">
        <f>+'1.Informe Seguimiento POA 2022'!P95</f>
        <v>0</v>
      </c>
      <c r="J51" s="434">
        <f t="shared" si="65"/>
        <v>0</v>
      </c>
      <c r="K51" s="450" t="str">
        <f>IF(AND(F51&gt;0),H51/F51,"No programado")</f>
        <v>No programado</v>
      </c>
      <c r="L51" s="450" t="str">
        <f t="shared" si="66"/>
        <v>No programado</v>
      </c>
      <c r="M51" s="435">
        <f t="shared" si="67"/>
        <v>0</v>
      </c>
      <c r="N51" s="434">
        <f>+E51</f>
        <v>1</v>
      </c>
      <c r="O51" s="434">
        <f>+'1.Informe Seguimiento POA 2022'!Q95</f>
        <v>0</v>
      </c>
      <c r="P51" s="434">
        <f>+'1.Informe Seguimiento POA 2022'!O95+'1.Informe Seguimiento POA 2022'!Q95</f>
        <v>0</v>
      </c>
      <c r="Q51" s="434">
        <f>'1.Informe Seguimiento POA 2022'!R95</f>
        <v>0</v>
      </c>
      <c r="R51" s="434">
        <f>+'1.Informe Seguimiento POA 2022'!P95+'1.Informe Seguimiento POA 2022'!R95</f>
        <v>0</v>
      </c>
      <c r="S51" s="434">
        <f>H51+Q51</f>
        <v>0</v>
      </c>
      <c r="T51" s="450" t="str">
        <f>IF(AND(O51&gt;0),Q51/O51,"No programado")</f>
        <v>No programado</v>
      </c>
      <c r="U51" s="450" t="str">
        <f t="shared" si="68"/>
        <v>No programado</v>
      </c>
      <c r="V51" s="435">
        <f>IF(AND(N51&gt;0,$S51&gt;0),S51/$N51,0)</f>
        <v>0</v>
      </c>
      <c r="W51" s="434">
        <f>+N51</f>
        <v>1</v>
      </c>
      <c r="X51" s="434">
        <f>+'1.Informe Seguimiento POA 2022'!S95</f>
        <v>0</v>
      </c>
      <c r="Y51" s="434">
        <f>+'1.Informe Seguimiento POA 2022'!O95+'1.Informe Seguimiento POA 2022'!Q95+'1.Informe Seguimiento POA 2022'!S95</f>
        <v>0</v>
      </c>
      <c r="Z51" s="434">
        <f>+'1.Informe Seguimiento POA 2022'!T95</f>
        <v>0</v>
      </c>
      <c r="AA51" s="434">
        <f>+'1.Informe Seguimiento POA 2022'!R95+'1.Informe Seguimiento POA 2022'!T95+'1.Informe Seguimiento POA 2022'!P95</f>
        <v>0</v>
      </c>
      <c r="AB51" s="878">
        <f>H51+Q51+Z51</f>
        <v>0</v>
      </c>
      <c r="AC51" s="422" t="str">
        <f>IF(AND(X51&gt;0),Z51/X51,"No programado")</f>
        <v>No programado</v>
      </c>
      <c r="AD51" s="450" t="str">
        <f t="shared" si="69"/>
        <v>No programado</v>
      </c>
      <c r="AE51" s="435">
        <f>IF(AND(W51&gt;0,$AB51&gt;0),AB51/$W51,0)</f>
        <v>0</v>
      </c>
      <c r="AF51" s="434">
        <f>+W51</f>
        <v>1</v>
      </c>
      <c r="AG51" s="434">
        <f>+'1.Informe Seguimiento POA 2022'!U95</f>
        <v>1</v>
      </c>
      <c r="AH51" s="434">
        <f>+'1.Informe Seguimiento POA 2022'!O95+'1.Informe Seguimiento POA 2022'!Q95+'1.Informe Seguimiento POA 2022'!S95+'1.Informe Seguimiento POA 2022'!U95</f>
        <v>1</v>
      </c>
      <c r="AI51" s="434">
        <f>+'1.Informe Seguimiento POA 2022'!V95</f>
        <v>2</v>
      </c>
      <c r="AJ51" s="434">
        <f>+'1.Informe Seguimiento POA 2022'!P95+'1.Informe Seguimiento POA 2022'!R95+'1.Informe Seguimiento POA 2022'!T95+'1.Informe Seguimiento POA 2022'!V95</f>
        <v>2</v>
      </c>
      <c r="AK51" s="434">
        <f>H51+Q51+Z51+AI51</f>
        <v>2</v>
      </c>
      <c r="AL51" s="450">
        <f>IF(AND(AG51&gt;0),AI51/AG51,"No programado")</f>
        <v>2</v>
      </c>
      <c r="AM51" s="450">
        <f t="shared" si="70"/>
        <v>2</v>
      </c>
      <c r="AN51" s="435">
        <f>IF(AND(AF51&gt;0,$AK51&gt;0),AK51/$AF51,0)</f>
        <v>2</v>
      </c>
      <c r="AO51" s="445" t="str">
        <f>+'Rango indicadores'!H85</f>
        <v>Mayor A:</v>
      </c>
      <c r="AP51" s="434">
        <f>+'Rango indicadores'!I85</f>
        <v>90</v>
      </c>
      <c r="AQ51" s="434" t="str">
        <f>+'Rango indicadores'!J85</f>
        <v>Desde (&gt;=):</v>
      </c>
      <c r="AR51" s="434">
        <f>+'Rango indicadores'!K85</f>
        <v>70</v>
      </c>
      <c r="AS51" s="434" t="str">
        <f>+'Rango indicadores'!L85</f>
        <v>Hasta (&lt;=):</v>
      </c>
      <c r="AT51" s="434">
        <f>+'Rango indicadores'!M85</f>
        <v>90</v>
      </c>
      <c r="AU51" s="434" t="str">
        <f>+'Rango indicadores'!N85</f>
        <v>Menor A:</v>
      </c>
      <c r="AV51" s="434">
        <f>+'Rango indicadores'!O85</f>
        <v>70</v>
      </c>
      <c r="AW51" s="523" t="s">
        <v>1176</v>
      </c>
    </row>
    <row r="52" spans="2:53" ht="15.6">
      <c r="C52" s="1378" t="s">
        <v>866</v>
      </c>
      <c r="D52" s="1379"/>
      <c r="E52" s="1379"/>
      <c r="F52" s="1379"/>
      <c r="G52" s="1379"/>
      <c r="H52" s="1379"/>
      <c r="I52" s="1379"/>
      <c r="J52" s="1379"/>
      <c r="K52" s="437">
        <f t="shared" ref="K52:L52" si="71">IFERROR(AVERAGE(K49:K51),0)</f>
        <v>1.0327777777777778</v>
      </c>
      <c r="L52" s="437">
        <f t="shared" si="71"/>
        <v>1.0327777777777778</v>
      </c>
      <c r="M52" s="437">
        <f>IFERROR(AVERAGE(M49:M51),0)</f>
        <v>0.19990740740740742</v>
      </c>
      <c r="N52" s="880"/>
      <c r="O52" s="880"/>
      <c r="P52" s="880"/>
      <c r="Q52" s="880"/>
      <c r="R52" s="880"/>
      <c r="S52" s="880"/>
      <c r="T52" s="437">
        <f t="shared" ref="T52:U52" si="72">IFERROR(AVERAGE(T49:T51),0)</f>
        <v>1</v>
      </c>
      <c r="U52" s="437">
        <f t="shared" si="72"/>
        <v>1.0327777777777778</v>
      </c>
      <c r="V52" s="437">
        <f>IFERROR(AVERAGE(V49:V51),0)</f>
        <v>0.57740740740740737</v>
      </c>
      <c r="W52" s="880"/>
      <c r="X52" s="880"/>
      <c r="Y52" s="880"/>
      <c r="Z52" s="880"/>
      <c r="AA52" s="880"/>
      <c r="AB52" s="880"/>
      <c r="AC52" s="437">
        <f t="shared" ref="AC52:AD52" si="73">IFERROR(AVERAGE(AC49:AC51),0)</f>
        <v>1.0666666666666667</v>
      </c>
      <c r="AD52" s="437">
        <f t="shared" si="73"/>
        <v>1.0330555555555554</v>
      </c>
      <c r="AE52" s="437">
        <f>IFERROR(AVERAGE(AE49:AE51),0)</f>
        <v>0.57740740740740737</v>
      </c>
      <c r="AF52" s="880"/>
      <c r="AG52" s="880"/>
      <c r="AH52" s="880"/>
      <c r="AI52" s="880"/>
      <c r="AJ52" s="880"/>
      <c r="AK52" s="881"/>
      <c r="AL52" s="437">
        <f t="shared" ref="AL52:AM52" si="74">IFERROR(AVERAGE(AL49:AL51),0)</f>
        <v>1.5</v>
      </c>
      <c r="AM52" s="437">
        <f t="shared" si="74"/>
        <v>1.3555555555555554</v>
      </c>
      <c r="AN52" s="437">
        <f>IFERROR(AVERAGE(AN49:AN51),0)</f>
        <v>1.355185185185185</v>
      </c>
      <c r="AO52" s="444"/>
      <c r="AP52" s="444"/>
      <c r="AQ52" s="444"/>
      <c r="AR52" s="444"/>
      <c r="AS52" s="444"/>
      <c r="AT52" s="444"/>
      <c r="AU52" s="444"/>
      <c r="AV52" s="444"/>
      <c r="AW52" s="529"/>
    </row>
    <row r="53" spans="2:53" s="966" customFormat="1" ht="23.4" customHeight="1" thickBot="1">
      <c r="D53" s="967"/>
      <c r="AW53" s="967"/>
      <c r="AY53" s="577"/>
      <c r="AZ53" s="577"/>
    </row>
    <row r="54" spans="2:53" s="427" customFormat="1" ht="16.2" thickBot="1">
      <c r="C54" s="430" t="s">
        <v>871</v>
      </c>
      <c r="D54" s="460"/>
      <c r="E54" s="1380" t="s">
        <v>1128</v>
      </c>
      <c r="F54" s="1381"/>
      <c r="G54" s="1381"/>
      <c r="H54" s="1381"/>
      <c r="I54" s="1381"/>
      <c r="J54" s="1381"/>
      <c r="K54" s="1381"/>
      <c r="L54" s="1381"/>
      <c r="M54" s="1382"/>
      <c r="N54" s="1383" t="s">
        <v>1129</v>
      </c>
      <c r="O54" s="1384"/>
      <c r="P54" s="1384"/>
      <c r="Q54" s="1384"/>
      <c r="R54" s="1384"/>
      <c r="S54" s="1384"/>
      <c r="T54" s="1384"/>
      <c r="U54" s="1384"/>
      <c r="V54" s="1385"/>
      <c r="W54" s="1386" t="s">
        <v>1130</v>
      </c>
      <c r="X54" s="1387"/>
      <c r="Y54" s="1387"/>
      <c r="Z54" s="1387"/>
      <c r="AA54" s="1387"/>
      <c r="AB54" s="1387"/>
      <c r="AC54" s="1387"/>
      <c r="AD54" s="1387"/>
      <c r="AE54" s="1388"/>
      <c r="AF54" s="1383" t="s">
        <v>1046</v>
      </c>
      <c r="AG54" s="1384"/>
      <c r="AH54" s="1384"/>
      <c r="AI54" s="1384"/>
      <c r="AJ54" s="1384"/>
      <c r="AK54" s="1384"/>
      <c r="AL54" s="1384"/>
      <c r="AM54" s="1384"/>
      <c r="AN54" s="1385"/>
      <c r="AW54" s="429"/>
      <c r="AY54" s="413"/>
      <c r="AZ54" s="413"/>
    </row>
    <row r="55" spans="2:53" ht="27" customHeight="1">
      <c r="C55" s="1393" t="str">
        <f>+$C$10</f>
        <v>Identificación del Indicador</v>
      </c>
      <c r="D55" s="1396" t="s">
        <v>861</v>
      </c>
      <c r="E55" s="1389" t="s">
        <v>862</v>
      </c>
      <c r="F55" s="1390"/>
      <c r="G55" s="1391"/>
      <c r="H55" s="1392" t="s">
        <v>1132</v>
      </c>
      <c r="I55" s="1394" t="s">
        <v>1136</v>
      </c>
      <c r="J55" s="1392" t="s">
        <v>863</v>
      </c>
      <c r="K55" s="1392" t="s">
        <v>857</v>
      </c>
      <c r="L55" s="1392"/>
      <c r="M55" s="1392"/>
      <c r="N55" s="1389" t="s">
        <v>862</v>
      </c>
      <c r="O55" s="1390"/>
      <c r="P55" s="1391"/>
      <c r="Q55" s="1392" t="s">
        <v>1141</v>
      </c>
      <c r="R55" s="1394" t="s">
        <v>1133</v>
      </c>
      <c r="S55" s="1392" t="s">
        <v>863</v>
      </c>
      <c r="T55" s="1392" t="s">
        <v>857</v>
      </c>
      <c r="U55" s="1392"/>
      <c r="V55" s="1392"/>
      <c r="W55" s="1389" t="s">
        <v>862</v>
      </c>
      <c r="X55" s="1390"/>
      <c r="Y55" s="1391"/>
      <c r="Z55" s="1392" t="s">
        <v>1142</v>
      </c>
      <c r="AA55" s="1394" t="s">
        <v>1138</v>
      </c>
      <c r="AB55" s="1392" t="s">
        <v>863</v>
      </c>
      <c r="AC55" s="1392" t="s">
        <v>857</v>
      </c>
      <c r="AD55" s="1392"/>
      <c r="AE55" s="1392"/>
      <c r="AF55" s="1389" t="s">
        <v>862</v>
      </c>
      <c r="AG55" s="1390"/>
      <c r="AH55" s="1391"/>
      <c r="AI55" s="1392" t="s">
        <v>1172</v>
      </c>
      <c r="AJ55" s="1394" t="s">
        <v>1173</v>
      </c>
      <c r="AK55" s="1392" t="s">
        <v>863</v>
      </c>
      <c r="AL55" s="1392" t="s">
        <v>857</v>
      </c>
      <c r="AM55" s="1392"/>
      <c r="AN55" s="1392"/>
      <c r="AO55" s="1398" t="s">
        <v>709</v>
      </c>
      <c r="AP55" s="1398"/>
      <c r="AQ55" s="1398"/>
      <c r="AR55" s="1398"/>
      <c r="AS55" s="1398"/>
      <c r="AT55" s="1398"/>
      <c r="AU55" s="1398"/>
      <c r="AV55" s="1398"/>
      <c r="AW55" s="1393" t="s">
        <v>882</v>
      </c>
    </row>
    <row r="56" spans="2:53" ht="53.4" customHeight="1">
      <c r="C56" s="1393"/>
      <c r="D56" s="1396"/>
      <c r="E56" s="1024" t="s">
        <v>1143</v>
      </c>
      <c r="F56" s="1024" t="str">
        <f>+E54</f>
        <v>Primer Trimestre</v>
      </c>
      <c r="G56" s="1025" t="s">
        <v>1135</v>
      </c>
      <c r="H56" s="1393"/>
      <c r="I56" s="1395"/>
      <c r="J56" s="1393"/>
      <c r="K56" s="1024" t="str">
        <f>+$D$6</f>
        <v>Cuarto Trimestre</v>
      </c>
      <c r="L56" s="1025" t="str">
        <f>+G56</f>
        <v>Acumulado
Corte 
31/03/2022</v>
      </c>
      <c r="M56" s="1026" t="s">
        <v>754</v>
      </c>
      <c r="N56" s="1024" t="s">
        <v>1143</v>
      </c>
      <c r="O56" s="1024" t="str">
        <f>+N54</f>
        <v>Segundo Trimestre</v>
      </c>
      <c r="P56" s="1025" t="s">
        <v>1134</v>
      </c>
      <c r="Q56" s="1393"/>
      <c r="R56" s="1395"/>
      <c r="S56" s="1393"/>
      <c r="T56" s="1024" t="str">
        <f>+O56</f>
        <v>Segundo Trimestre</v>
      </c>
      <c r="U56" s="1025" t="str">
        <f>+P56</f>
        <v>Acumulado Corte 
30/06/2022</v>
      </c>
      <c r="V56" s="1026" t="s">
        <v>754</v>
      </c>
      <c r="W56" s="1024" t="s">
        <v>1143</v>
      </c>
      <c r="X56" s="1024" t="str">
        <f>+W54</f>
        <v>Tercer Trimestre</v>
      </c>
      <c r="Y56" s="1025" t="s">
        <v>1137</v>
      </c>
      <c r="Z56" s="1393"/>
      <c r="AA56" s="1395"/>
      <c r="AB56" s="1393"/>
      <c r="AC56" s="1024" t="str">
        <f>+X56</f>
        <v>Tercer Trimestre</v>
      </c>
      <c r="AD56" s="1025" t="str">
        <f>+Y56</f>
        <v>Acumulado Corte 
30/09/2022</v>
      </c>
      <c r="AE56" s="1026" t="s">
        <v>754</v>
      </c>
      <c r="AF56" s="1024" t="s">
        <v>1143</v>
      </c>
      <c r="AG56" s="1024" t="s">
        <v>1171</v>
      </c>
      <c r="AH56" s="1025" t="s">
        <v>1139</v>
      </c>
      <c r="AI56" s="1393"/>
      <c r="AJ56" s="1395"/>
      <c r="AK56" s="1393"/>
      <c r="AL56" s="1024" t="str">
        <f>+AG56</f>
        <v>Cuarto Trimestre
31-12-2022</v>
      </c>
      <c r="AM56" s="1025" t="str">
        <f>+AH56</f>
        <v>Acumulado Corte 
31/12/2022</v>
      </c>
      <c r="AN56" s="1026" t="s">
        <v>754</v>
      </c>
      <c r="AO56" s="1097" t="s">
        <v>864</v>
      </c>
      <c r="AP56" s="1098"/>
      <c r="AQ56" s="1099" t="s">
        <v>865</v>
      </c>
      <c r="AR56" s="1100"/>
      <c r="AS56" s="1100"/>
      <c r="AT56" s="1101"/>
      <c r="AU56" s="1102" t="s">
        <v>717</v>
      </c>
      <c r="AV56" s="1103"/>
      <c r="AW56" s="1393"/>
    </row>
    <row r="57" spans="2:53" ht="55.5" customHeight="1">
      <c r="B57" s="431">
        <f>+B51+1</f>
        <v>21</v>
      </c>
      <c r="C57" s="432" t="str">
        <f>+'Rango indicadores'!D22</f>
        <v>05-RI-01</v>
      </c>
      <c r="D57" s="432" t="str">
        <f>+'Rango indicadores'!E22</f>
        <v>Intervenciones realizadas en defensa de los derechos</v>
      </c>
      <c r="E57" s="446">
        <f>+'Rango indicadores'!Q22</f>
        <v>106660</v>
      </c>
      <c r="F57" s="446">
        <f>'1.Informe Seguimiento POA 2022'!O13</f>
        <v>25305</v>
      </c>
      <c r="G57" s="446">
        <f>'1.Informe Seguimiento POA 2022'!O13</f>
        <v>25305</v>
      </c>
      <c r="H57" s="446">
        <f>'1.Informe Seguimiento POA 2022'!P13</f>
        <v>29145</v>
      </c>
      <c r="I57" s="446">
        <f>'1.Informe Seguimiento POA 2022'!P13</f>
        <v>29145</v>
      </c>
      <c r="J57" s="446">
        <f>I57</f>
        <v>29145</v>
      </c>
      <c r="K57" s="435">
        <f t="shared" ref="K57:K76" si="75">IF(AND(F57&gt;0),H57/F57,"No programado")</f>
        <v>1.1517486662714878</v>
      </c>
      <c r="L57" s="435">
        <f>IF(AND(G57&gt;0),I57/G57,"No programado")</f>
        <v>1.1517486662714878</v>
      </c>
      <c r="M57" s="435">
        <f t="shared" ref="M57:M76" si="76">IF(AND(E57&gt;0,$J57&gt;0),J57/$E57,0)</f>
        <v>0.273251453215826</v>
      </c>
      <c r="N57" s="446">
        <f>+E57</f>
        <v>106660</v>
      </c>
      <c r="O57" s="434">
        <f>+'1.Informe Seguimiento POA 2022'!Q13</f>
        <v>28020</v>
      </c>
      <c r="P57" s="446">
        <f>F57+O57</f>
        <v>53325</v>
      </c>
      <c r="Q57" s="434">
        <f>'1.Informe Seguimiento POA 2022'!R13</f>
        <v>33363</v>
      </c>
      <c r="R57" s="434">
        <f>+'1.Informe Seguimiento POA 2022'!P13+'1.Informe Seguimiento POA 2022'!R13</f>
        <v>62508</v>
      </c>
      <c r="S57" s="446">
        <f>H57+Q57</f>
        <v>62508</v>
      </c>
      <c r="T57" s="435">
        <f t="shared" ref="T57:T76" si="77">IF(AND(O57&gt;0),Q57/O57,"No programado")</f>
        <v>1.1906852248394004</v>
      </c>
      <c r="U57" s="435">
        <f>IF(AND(P57&gt;0),R57/P57,"No programado")</f>
        <v>1.1722081575246133</v>
      </c>
      <c r="V57" s="435">
        <f t="shared" ref="V57:V62" si="78">IF(AND(N57&gt;0,$S57&gt;0),S57/$N57,0)</f>
        <v>0.58604912807050435</v>
      </c>
      <c r="W57" s="446">
        <f>+N57</f>
        <v>106660</v>
      </c>
      <c r="X57" s="434">
        <f>+'1.Informe Seguimiento POA 2022'!S13</f>
        <v>28020</v>
      </c>
      <c r="Y57" s="434">
        <f>+'1.Informe Seguimiento POA 2022'!O13+'1.Informe Seguimiento POA 2022'!Q13+'1.Informe Seguimiento POA 2022'!S13</f>
        <v>81345</v>
      </c>
      <c r="Z57" s="434">
        <f>+'1.Informe Seguimiento POA 2022'!T13</f>
        <v>36093</v>
      </c>
      <c r="AA57" s="434">
        <f>+'1.Informe Seguimiento POA 2022'!R13+'1.Informe Seguimiento POA 2022'!T13+'1.Informe Seguimiento POA 2022'!P13</f>
        <v>98601</v>
      </c>
      <c r="AB57" s="878">
        <f>H57+Q57+Z57</f>
        <v>98601</v>
      </c>
      <c r="AC57" s="945">
        <f t="shared" ref="AC57:AC76" si="79">IF(AND(X57&gt;0),Z57/X57,"No programado")</f>
        <v>1.2881156316916489</v>
      </c>
      <c r="AD57" s="435">
        <f>IF(AND(Y57&gt;0),AA57/Y57,"No programado")</f>
        <v>1.2121335054397935</v>
      </c>
      <c r="AE57" s="435">
        <f t="shared" ref="AE57:AE62" si="80">IF(AND(W57&gt;0,$AB57&gt;0),AB57/$W57,0)</f>
        <v>0.92444215263453966</v>
      </c>
      <c r="AF57" s="446">
        <f>+W57</f>
        <v>106660</v>
      </c>
      <c r="AG57" s="446">
        <f>+'1.Informe Seguimiento POA 2022'!U13</f>
        <v>25315</v>
      </c>
      <c r="AH57" s="446">
        <f>+'1.Informe Seguimiento POA 2022'!O13+'1.Informe Seguimiento POA 2022'!Q13+'1.Informe Seguimiento POA 2022'!S13+'1.Informe Seguimiento POA 2022'!U13</f>
        <v>106660</v>
      </c>
      <c r="AI57" s="446">
        <f>+'1.Informe Seguimiento POA 2022'!V13</f>
        <v>31463</v>
      </c>
      <c r="AJ57" s="446">
        <f>+'1.Informe Seguimiento POA 2022'!P13+'1.Informe Seguimiento POA 2022'!R13+'1.Informe Seguimiento POA 2022'!T13+'1.Informe Seguimiento POA 2022'!V13</f>
        <v>130064</v>
      </c>
      <c r="AK57" s="446">
        <f>H57+Q57+Z57+AI57</f>
        <v>130064</v>
      </c>
      <c r="AL57" s="945">
        <f t="shared" ref="AL57:AL76" si="81">IF(AND(AG57&gt;0),AI57/AG57,"No programado")</f>
        <v>1.2428599644479557</v>
      </c>
      <c r="AM57" s="435">
        <f>IF(AND(AH57&gt;0),AJ57/AH57,"No programado")</f>
        <v>1.2194262141383836</v>
      </c>
      <c r="AN57" s="435">
        <f t="shared" ref="AN57:AN62" si="82">IF(AND(AF57&gt;0,$AK57&gt;0),AK57/$AF57,0)</f>
        <v>1.2194262141383836</v>
      </c>
      <c r="AO57" s="439" t="str">
        <f>+'Rango indicadores'!H22</f>
        <v>Mayor A:</v>
      </c>
      <c r="AP57" s="434">
        <f>+'Rango indicadores'!I22</f>
        <v>85</v>
      </c>
      <c r="AQ57" s="434" t="str">
        <f>+'Rango indicadores'!J22</f>
        <v>Desde (&gt;=):</v>
      </c>
      <c r="AR57" s="434">
        <f>+'Rango indicadores'!K22</f>
        <v>80</v>
      </c>
      <c r="AS57" s="434" t="str">
        <f>+'Rango indicadores'!L22</f>
        <v>Hasta (&lt;=):</v>
      </c>
      <c r="AT57" s="434">
        <f>+'Rango indicadores'!M22</f>
        <v>85</v>
      </c>
      <c r="AU57" s="434" t="str">
        <f>+'Rango indicadores'!N22</f>
        <v>Menor A:</v>
      </c>
      <c r="AV57" s="878">
        <f>+'Rango indicadores'!O22</f>
        <v>80</v>
      </c>
      <c r="AW57" s="523" t="s">
        <v>1176</v>
      </c>
      <c r="AX57" s="589"/>
      <c r="AY57" s="589">
        <f>+X57-Z57</f>
        <v>-8073</v>
      </c>
      <c r="AZ57" s="589"/>
      <c r="BA57" s="589"/>
    </row>
    <row r="58" spans="2:53" ht="55.5" customHeight="1">
      <c r="B58" s="431">
        <f t="shared" ref="B58:B63" si="83">+B57+1</f>
        <v>22</v>
      </c>
      <c r="C58" s="432" t="str">
        <f>+'Rango indicadores'!D23</f>
        <v>05-RI-02</v>
      </c>
      <c r="D58" s="432" t="str">
        <f>+'Rango indicadores'!E23</f>
        <v>Personas orientadas en garantía de derechos</v>
      </c>
      <c r="E58" s="446">
        <f>+'Rango indicadores'!Q23</f>
        <v>97105</v>
      </c>
      <c r="F58" s="446">
        <f>'1.Informe Seguimiento POA 2022'!O14</f>
        <v>21621</v>
      </c>
      <c r="G58" s="446">
        <f>'1.Informe Seguimiento POA 2022'!O14</f>
        <v>21621</v>
      </c>
      <c r="H58" s="446">
        <f>'1.Informe Seguimiento POA 2022'!P14</f>
        <v>26507</v>
      </c>
      <c r="I58" s="446">
        <f>'1.Informe Seguimiento POA 2022'!P14</f>
        <v>26507</v>
      </c>
      <c r="J58" s="446">
        <f t="shared" ref="J58:J76" si="84">I58</f>
        <v>26507</v>
      </c>
      <c r="K58" s="435">
        <f t="shared" si="75"/>
        <v>1.2259839970399149</v>
      </c>
      <c r="L58" s="435">
        <f>IF(AND(G58&gt;0),I58/G58,"No programado")</f>
        <v>1.2259839970399149</v>
      </c>
      <c r="M58" s="435">
        <f t="shared" si="76"/>
        <v>0.27297255548118016</v>
      </c>
      <c r="N58" s="446">
        <f t="shared" ref="N58:N76" si="85">+E58</f>
        <v>97105</v>
      </c>
      <c r="O58" s="434">
        <f>+'1.Informe Seguimiento POA 2022'!Q14</f>
        <v>25997</v>
      </c>
      <c r="P58" s="446">
        <f t="shared" ref="P58:P76" si="86">F58+O58</f>
        <v>47618</v>
      </c>
      <c r="Q58" s="434">
        <f>'1.Informe Seguimiento POA 2022'!R14</f>
        <v>27698</v>
      </c>
      <c r="R58" s="434">
        <f>+'1.Informe Seguimiento POA 2022'!P14+'1.Informe Seguimiento POA 2022'!R14</f>
        <v>54205</v>
      </c>
      <c r="S58" s="446">
        <f t="shared" ref="S58:S76" si="87">H58+Q58</f>
        <v>54205</v>
      </c>
      <c r="T58" s="435">
        <f t="shared" si="77"/>
        <v>1.0654306266107627</v>
      </c>
      <c r="U58" s="435">
        <f>IF(AND(P58&gt;0),R58/P58,"No programado")</f>
        <v>1.1383300432609518</v>
      </c>
      <c r="V58" s="435">
        <f t="shared" si="78"/>
        <v>0.55821018485144946</v>
      </c>
      <c r="W58" s="446">
        <f t="shared" ref="W58:W76" si="88">+N58</f>
        <v>97105</v>
      </c>
      <c r="X58" s="434">
        <f>+'1.Informe Seguimiento POA 2022'!S14</f>
        <v>26645</v>
      </c>
      <c r="Y58" s="434">
        <f>+'1.Informe Seguimiento POA 2022'!O14+'1.Informe Seguimiento POA 2022'!Q14+'1.Informe Seguimiento POA 2022'!S14</f>
        <v>74263</v>
      </c>
      <c r="Z58" s="434">
        <f>+'1.Informe Seguimiento POA 2022'!T14</f>
        <v>30355</v>
      </c>
      <c r="AA58" s="434">
        <f>+'1.Informe Seguimiento POA 2022'!R14+'1.Informe Seguimiento POA 2022'!T14+'1.Informe Seguimiento POA 2022'!P14</f>
        <v>84560</v>
      </c>
      <c r="AB58" s="878">
        <f t="shared" ref="AB58:AB76" si="89">H58+Q58+Z58</f>
        <v>84560</v>
      </c>
      <c r="AC58" s="435">
        <f t="shared" si="79"/>
        <v>1.1392381309814223</v>
      </c>
      <c r="AD58" s="435">
        <f>IF(AND(Y58&gt;0),AA58/Y58,"No programado")</f>
        <v>1.1386558582335753</v>
      </c>
      <c r="AE58" s="435">
        <f t="shared" si="80"/>
        <v>0.870809947994439</v>
      </c>
      <c r="AF58" s="446">
        <f t="shared" ref="AF58:AF76" si="90">+W58</f>
        <v>97105</v>
      </c>
      <c r="AG58" s="446">
        <f>+'1.Informe Seguimiento POA 2022'!U14</f>
        <v>22842</v>
      </c>
      <c r="AH58" s="446">
        <f>+'1.Informe Seguimiento POA 2022'!O14+'1.Informe Seguimiento POA 2022'!Q14+'1.Informe Seguimiento POA 2022'!S14+'1.Informe Seguimiento POA 2022'!U14</f>
        <v>97105</v>
      </c>
      <c r="AI58" s="446">
        <f>+'1.Informe Seguimiento POA 2022'!V14</f>
        <v>29076</v>
      </c>
      <c r="AJ58" s="446">
        <f>+'1.Informe Seguimiento POA 2022'!P14+'1.Informe Seguimiento POA 2022'!R14+'1.Informe Seguimiento POA 2022'!T14+'1.Informe Seguimiento POA 2022'!V14</f>
        <v>113636</v>
      </c>
      <c r="AK58" s="446">
        <f t="shared" ref="AK58:AK76" si="91">H58+Q58+Z58+AI58</f>
        <v>113636</v>
      </c>
      <c r="AL58" s="435">
        <f t="shared" si="81"/>
        <v>1.2729183083793012</v>
      </c>
      <c r="AM58" s="435">
        <f>IF(AND(AH58&gt;0),AJ58/AH58,"No programado")</f>
        <v>1.170238401730086</v>
      </c>
      <c r="AN58" s="435">
        <f t="shared" si="82"/>
        <v>1.170238401730086</v>
      </c>
      <c r="AO58" s="439" t="str">
        <f>+'Rango indicadores'!H23</f>
        <v>Mayor A:</v>
      </c>
      <c r="AP58" s="434">
        <f>+'Rango indicadores'!I23</f>
        <v>85</v>
      </c>
      <c r="AQ58" s="434" t="str">
        <f>+'Rango indicadores'!J23</f>
        <v>Desde (&gt;=):</v>
      </c>
      <c r="AR58" s="434">
        <f>+'Rango indicadores'!K23</f>
        <v>80</v>
      </c>
      <c r="AS58" s="434" t="str">
        <f>+'Rango indicadores'!L23</f>
        <v>Hasta (&lt;=):</v>
      </c>
      <c r="AT58" s="434">
        <f>+'Rango indicadores'!M23</f>
        <v>85</v>
      </c>
      <c r="AU58" s="434" t="str">
        <f>+'Rango indicadores'!N23</f>
        <v>Menor A:</v>
      </c>
      <c r="AV58" s="878">
        <f>+'Rango indicadores'!O23</f>
        <v>80</v>
      </c>
      <c r="AW58" s="523" t="s">
        <v>1176</v>
      </c>
      <c r="AX58" s="589"/>
      <c r="AY58" s="589">
        <f>+X58-Z58</f>
        <v>-3710</v>
      </c>
      <c r="AZ58" s="589"/>
      <c r="BA58" s="589"/>
    </row>
    <row r="59" spans="2:53" ht="55.5" customHeight="1">
      <c r="B59" s="465">
        <f t="shared" si="83"/>
        <v>23</v>
      </c>
      <c r="C59" s="432" t="str">
        <f>+'Rango indicadores'!D24</f>
        <v>05-RI-03</v>
      </c>
      <c r="D59" s="432" t="str">
        <f>+'Rango indicadores'!E24</f>
        <v>Personas asistidas en garantía de derechos</v>
      </c>
      <c r="E59" s="446">
        <f>+'Rango indicadores'!Q24</f>
        <v>26115</v>
      </c>
      <c r="F59" s="446">
        <f>'1.Informe Seguimiento POA 2022'!O15</f>
        <v>6670</v>
      </c>
      <c r="G59" s="446">
        <f>'1.Informe Seguimiento POA 2022'!O15</f>
        <v>6670</v>
      </c>
      <c r="H59" s="446">
        <f>'1.Informe Seguimiento POA 2022'!P15</f>
        <v>9518</v>
      </c>
      <c r="I59" s="446">
        <f>'1.Informe Seguimiento POA 2022'!P15</f>
        <v>9518</v>
      </c>
      <c r="J59" s="446">
        <f t="shared" si="84"/>
        <v>9518</v>
      </c>
      <c r="K59" s="435">
        <f t="shared" si="75"/>
        <v>1.4269865067466267</v>
      </c>
      <c r="L59" s="435">
        <f>IF(AND(G59&gt;0),I59/G59,"No programado")</f>
        <v>1.4269865067466267</v>
      </c>
      <c r="M59" s="435">
        <f t="shared" si="76"/>
        <v>0.36446486693471186</v>
      </c>
      <c r="N59" s="446">
        <f t="shared" si="85"/>
        <v>26115</v>
      </c>
      <c r="O59" s="434">
        <f>+'1.Informe Seguimiento POA 2022'!Q15</f>
        <v>8165</v>
      </c>
      <c r="P59" s="446">
        <f t="shared" si="86"/>
        <v>14835</v>
      </c>
      <c r="Q59" s="434">
        <f>'1.Informe Seguimiento POA 2022'!R15</f>
        <v>10298</v>
      </c>
      <c r="R59" s="434">
        <f>+'1.Informe Seguimiento POA 2022'!P15+'1.Informe Seguimiento POA 2022'!R15</f>
        <v>19816</v>
      </c>
      <c r="S59" s="446">
        <f t="shared" si="87"/>
        <v>19816</v>
      </c>
      <c r="T59" s="435">
        <f t="shared" si="77"/>
        <v>1.2612369871402327</v>
      </c>
      <c r="U59" s="435">
        <f>IF(AND(P59&gt;0),R59/P59,"No programado")</f>
        <v>1.3357600269632626</v>
      </c>
      <c r="V59" s="435">
        <f t="shared" si="78"/>
        <v>0.75879762588550637</v>
      </c>
      <c r="W59" s="446">
        <f t="shared" si="88"/>
        <v>26115</v>
      </c>
      <c r="X59" s="434">
        <f>+'1.Informe Seguimiento POA 2022'!S15</f>
        <v>6765</v>
      </c>
      <c r="Y59" s="434">
        <f>+'1.Informe Seguimiento POA 2022'!O15+'1.Informe Seguimiento POA 2022'!Q15+'1.Informe Seguimiento POA 2022'!S15</f>
        <v>21600</v>
      </c>
      <c r="Z59" s="434">
        <f>+'1.Informe Seguimiento POA 2022'!T15</f>
        <v>10102</v>
      </c>
      <c r="AA59" s="434">
        <f>+'1.Informe Seguimiento POA 2022'!R15+'1.Informe Seguimiento POA 2022'!T15+'1.Informe Seguimiento POA 2022'!P15</f>
        <v>29918</v>
      </c>
      <c r="AB59" s="878">
        <f t="shared" si="89"/>
        <v>29918</v>
      </c>
      <c r="AC59" s="435">
        <f t="shared" si="79"/>
        <v>1.4932742054693273</v>
      </c>
      <c r="AD59" s="435">
        <f>IF(AND(Y59&gt;0),AA59/Y59,"No programado")</f>
        <v>1.3850925925925925</v>
      </c>
      <c r="AE59" s="435">
        <f t="shared" si="80"/>
        <v>1.1456251196630289</v>
      </c>
      <c r="AF59" s="446">
        <f t="shared" si="90"/>
        <v>26115</v>
      </c>
      <c r="AG59" s="446">
        <f>+'1.Informe Seguimiento POA 2022'!U15</f>
        <v>4515</v>
      </c>
      <c r="AH59" s="446">
        <f>+'1.Informe Seguimiento POA 2022'!O15+'1.Informe Seguimiento POA 2022'!Q15+'1.Informe Seguimiento POA 2022'!S15+'1.Informe Seguimiento POA 2022'!U15</f>
        <v>26115</v>
      </c>
      <c r="AI59" s="446">
        <f>+'1.Informe Seguimiento POA 2022'!V15</f>
        <v>10654</v>
      </c>
      <c r="AJ59" s="446">
        <f>+'1.Informe Seguimiento POA 2022'!P15+'1.Informe Seguimiento POA 2022'!R15+'1.Informe Seguimiento POA 2022'!T15+'1.Informe Seguimiento POA 2022'!V15</f>
        <v>40572</v>
      </c>
      <c r="AK59" s="446">
        <f t="shared" si="91"/>
        <v>40572</v>
      </c>
      <c r="AL59" s="435">
        <f t="shared" si="81"/>
        <v>2.3596899224806203</v>
      </c>
      <c r="AM59" s="435">
        <f>IF(AND(AH59&gt;0),AJ59/AH59,"No programado")</f>
        <v>1.5535898908673176</v>
      </c>
      <c r="AN59" s="435">
        <f t="shared" si="82"/>
        <v>1.5535898908673176</v>
      </c>
      <c r="AO59" s="439" t="str">
        <f>+'Rango indicadores'!H24</f>
        <v>Mayor A:</v>
      </c>
      <c r="AP59" s="434">
        <f>+'Rango indicadores'!I24</f>
        <v>80</v>
      </c>
      <c r="AQ59" s="434" t="str">
        <f>+'Rango indicadores'!J24</f>
        <v>Desde (&gt;=):</v>
      </c>
      <c r="AR59" s="434">
        <f>+'Rango indicadores'!K24</f>
        <v>70</v>
      </c>
      <c r="AS59" s="434" t="str">
        <f>+'Rango indicadores'!L24</f>
        <v>Hasta (&lt;=):</v>
      </c>
      <c r="AT59" s="434">
        <f>+'Rango indicadores'!M24</f>
        <v>80</v>
      </c>
      <c r="AU59" s="434" t="str">
        <f>+'Rango indicadores'!N24</f>
        <v>Menor A:</v>
      </c>
      <c r="AV59" s="878">
        <f>+'Rango indicadores'!O24</f>
        <v>70</v>
      </c>
      <c r="AW59" s="523" t="s">
        <v>1176</v>
      </c>
      <c r="AX59" s="589"/>
      <c r="AY59" s="589">
        <f t="shared" ref="AY59:AZ76" si="92">+X59-Z59</f>
        <v>-3337</v>
      </c>
      <c r="AZ59" s="589">
        <f t="shared" si="92"/>
        <v>-8318</v>
      </c>
      <c r="BA59" s="447"/>
    </row>
    <row r="60" spans="2:53" ht="55.5" customHeight="1">
      <c r="B60" s="431">
        <f t="shared" si="83"/>
        <v>24</v>
      </c>
      <c r="C60" s="432" t="str">
        <f>+'Rango indicadores'!D25</f>
        <v>05-RI-04</v>
      </c>
      <c r="D60" s="432" t="str">
        <f>+'Rango indicadores'!E25</f>
        <v>Personas asistidas en Mecanismos Alternativos de Solución de Conflictos</v>
      </c>
      <c r="E60" s="446">
        <f>+'Rango indicadores'!Q25</f>
        <v>6900</v>
      </c>
      <c r="F60" s="446">
        <f>'1.Informe Seguimiento POA 2022'!O16</f>
        <v>900</v>
      </c>
      <c r="G60" s="446">
        <f>'1.Informe Seguimiento POA 2022'!O16</f>
        <v>900</v>
      </c>
      <c r="H60" s="446">
        <f>'1.Informe Seguimiento POA 2022'!P16</f>
        <v>3289</v>
      </c>
      <c r="I60" s="446">
        <f>'1.Informe Seguimiento POA 2022'!P16</f>
        <v>3289</v>
      </c>
      <c r="J60" s="446">
        <f t="shared" si="84"/>
        <v>3289</v>
      </c>
      <c r="K60" s="435">
        <f t="shared" si="75"/>
        <v>3.6544444444444446</v>
      </c>
      <c r="L60" s="435">
        <f t="shared" ref="L60:L62" si="93">IF(AND(G60&gt;0),I60/G60,"No programado")</f>
        <v>3.6544444444444446</v>
      </c>
      <c r="M60" s="435">
        <f t="shared" si="76"/>
        <v>0.47666666666666668</v>
      </c>
      <c r="N60" s="446">
        <f t="shared" si="85"/>
        <v>6900</v>
      </c>
      <c r="O60" s="434">
        <f>+'1.Informe Seguimiento POA 2022'!Q16</f>
        <v>1500</v>
      </c>
      <c r="P60" s="446">
        <f t="shared" si="86"/>
        <v>2400</v>
      </c>
      <c r="Q60" s="434">
        <f>'1.Informe Seguimiento POA 2022'!R16</f>
        <v>3199</v>
      </c>
      <c r="R60" s="434">
        <f>+'1.Informe Seguimiento POA 2022'!P16+'1.Informe Seguimiento POA 2022'!R16</f>
        <v>6488</v>
      </c>
      <c r="S60" s="446">
        <f t="shared" si="87"/>
        <v>6488</v>
      </c>
      <c r="T60" s="435">
        <f t="shared" si="77"/>
        <v>2.1326666666666667</v>
      </c>
      <c r="U60" s="435">
        <f t="shared" ref="U60:U62" si="94">IF(AND(P60&gt;0),R60/P60,"No programado")</f>
        <v>2.7033333333333331</v>
      </c>
      <c r="V60" s="435">
        <f t="shared" si="78"/>
        <v>0.94028985507246376</v>
      </c>
      <c r="W60" s="446">
        <f t="shared" si="88"/>
        <v>6900</v>
      </c>
      <c r="X60" s="434">
        <f>+'1.Informe Seguimiento POA 2022'!S16</f>
        <v>2100</v>
      </c>
      <c r="Y60" s="434">
        <f>+'1.Informe Seguimiento POA 2022'!O16+'1.Informe Seguimiento POA 2022'!Q16+'1.Informe Seguimiento POA 2022'!S16</f>
        <v>4500</v>
      </c>
      <c r="Z60" s="434">
        <f>+'1.Informe Seguimiento POA 2022'!T16</f>
        <v>3709</v>
      </c>
      <c r="AA60" s="434">
        <f>+'1.Informe Seguimiento POA 2022'!R16+'1.Informe Seguimiento POA 2022'!T16+'1.Informe Seguimiento POA 2022'!P16</f>
        <v>10197</v>
      </c>
      <c r="AB60" s="878">
        <f t="shared" si="89"/>
        <v>10197</v>
      </c>
      <c r="AC60" s="435">
        <f t="shared" si="79"/>
        <v>1.7661904761904761</v>
      </c>
      <c r="AD60" s="435">
        <f t="shared" ref="AD60:AD62" si="95">IF(AND(Y60&gt;0),AA60/Y60,"No programado")</f>
        <v>2.266</v>
      </c>
      <c r="AE60" s="435">
        <f t="shared" si="80"/>
        <v>1.4778260869565218</v>
      </c>
      <c r="AF60" s="446">
        <f t="shared" si="90"/>
        <v>6900</v>
      </c>
      <c r="AG60" s="446">
        <f>+'1.Informe Seguimiento POA 2022'!U16</f>
        <v>2400</v>
      </c>
      <c r="AH60" s="446">
        <f>+'1.Informe Seguimiento POA 2022'!O16+'1.Informe Seguimiento POA 2022'!Q16+'1.Informe Seguimiento POA 2022'!S16+'1.Informe Seguimiento POA 2022'!U16</f>
        <v>6900</v>
      </c>
      <c r="AI60" s="446">
        <f>+'1.Informe Seguimiento POA 2022'!V16</f>
        <v>4344</v>
      </c>
      <c r="AJ60" s="446">
        <f>+'1.Informe Seguimiento POA 2022'!P16+'1.Informe Seguimiento POA 2022'!R16+'1.Informe Seguimiento POA 2022'!T16+'1.Informe Seguimiento POA 2022'!V16</f>
        <v>14541</v>
      </c>
      <c r="AK60" s="446">
        <f t="shared" si="91"/>
        <v>14541</v>
      </c>
      <c r="AL60" s="435">
        <f t="shared" si="81"/>
        <v>1.81</v>
      </c>
      <c r="AM60" s="435">
        <f t="shared" ref="AM60:AM62" si="96">IF(AND(AH60&gt;0),AJ60/AH60,"No programado")</f>
        <v>2.1073913043478263</v>
      </c>
      <c r="AN60" s="435">
        <f t="shared" si="82"/>
        <v>2.1073913043478263</v>
      </c>
      <c r="AO60" s="439" t="str">
        <f>+'Rango indicadores'!H25</f>
        <v>Mayor A:</v>
      </c>
      <c r="AP60" s="434">
        <f>+'Rango indicadores'!I25</f>
        <v>85</v>
      </c>
      <c r="AQ60" s="434" t="str">
        <f>+'Rango indicadores'!J25</f>
        <v>Desde (&gt;=):</v>
      </c>
      <c r="AR60" s="434">
        <f>+'Rango indicadores'!K25</f>
        <v>80</v>
      </c>
      <c r="AS60" s="434" t="str">
        <f>+'Rango indicadores'!L25</f>
        <v>Hasta (&lt;=):</v>
      </c>
      <c r="AT60" s="434">
        <f>+'Rango indicadores'!M25</f>
        <v>85</v>
      </c>
      <c r="AU60" s="434" t="str">
        <f>+'Rango indicadores'!N25</f>
        <v>Menor A:</v>
      </c>
      <c r="AV60" s="878">
        <f>+'Rango indicadores'!O25</f>
        <v>80</v>
      </c>
      <c r="AW60" s="523" t="s">
        <v>1176</v>
      </c>
      <c r="AX60" s="589"/>
      <c r="AY60" s="589">
        <f t="shared" si="92"/>
        <v>-1609</v>
      </c>
      <c r="AZ60" s="589">
        <f t="shared" si="92"/>
        <v>-5697</v>
      </c>
      <c r="BA60" s="447"/>
    </row>
    <row r="61" spans="2:53" ht="55.5" customHeight="1">
      <c r="B61" s="465">
        <f t="shared" si="83"/>
        <v>25</v>
      </c>
      <c r="C61" s="432" t="str">
        <f>+'Rango indicadores'!D26</f>
        <v>05-RI-05</v>
      </c>
      <c r="D61" s="432" t="str">
        <f>+'Rango indicadores'!E26</f>
        <v>Peticiones o requerimientos ciudadanos atendidos en garantía de derechos</v>
      </c>
      <c r="E61" s="446">
        <f>+'Rango indicadores'!Q26</f>
        <v>16115</v>
      </c>
      <c r="F61" s="446">
        <f>'1.Informe Seguimiento POA 2022'!O17</f>
        <v>3408</v>
      </c>
      <c r="G61" s="446">
        <f>'1.Informe Seguimiento POA 2022'!O17</f>
        <v>3408</v>
      </c>
      <c r="H61" s="446">
        <f>'1.Informe Seguimiento POA 2022'!P17</f>
        <v>5102</v>
      </c>
      <c r="I61" s="446">
        <f>'1.Informe Seguimiento POA 2022'!P17</f>
        <v>5102</v>
      </c>
      <c r="J61" s="446">
        <f t="shared" si="84"/>
        <v>5102</v>
      </c>
      <c r="K61" s="435">
        <f t="shared" si="75"/>
        <v>1.4970657276995305</v>
      </c>
      <c r="L61" s="435">
        <f t="shared" si="93"/>
        <v>1.4970657276995305</v>
      </c>
      <c r="M61" s="435">
        <f t="shared" si="76"/>
        <v>0.31659944151411729</v>
      </c>
      <c r="N61" s="446">
        <f t="shared" si="85"/>
        <v>16115</v>
      </c>
      <c r="O61" s="434">
        <f>+'1.Informe Seguimiento POA 2022'!Q17</f>
        <v>4265</v>
      </c>
      <c r="P61" s="446">
        <f t="shared" si="86"/>
        <v>7673</v>
      </c>
      <c r="Q61" s="434">
        <f>'1.Informe Seguimiento POA 2022'!R17</f>
        <v>5964</v>
      </c>
      <c r="R61" s="434">
        <f>+'1.Informe Seguimiento POA 2022'!P17+'1.Informe Seguimiento POA 2022'!R17</f>
        <v>11066</v>
      </c>
      <c r="S61" s="446">
        <f t="shared" si="87"/>
        <v>11066</v>
      </c>
      <c r="T61" s="435">
        <f t="shared" si="77"/>
        <v>1.398358733880422</v>
      </c>
      <c r="U61" s="435">
        <f t="shared" si="94"/>
        <v>1.4421999218037274</v>
      </c>
      <c r="V61" s="435">
        <f t="shared" si="78"/>
        <v>0.6866894197952218</v>
      </c>
      <c r="W61" s="446">
        <f t="shared" si="88"/>
        <v>16115</v>
      </c>
      <c r="X61" s="434">
        <f>+'1.Informe Seguimiento POA 2022'!S17</f>
        <v>4275</v>
      </c>
      <c r="Y61" s="434">
        <f>+'1.Informe Seguimiento POA 2022'!O17+'1.Informe Seguimiento POA 2022'!Q17+'1.Informe Seguimiento POA 2022'!S17</f>
        <v>11948</v>
      </c>
      <c r="Z61" s="434">
        <f>+'1.Informe Seguimiento POA 2022'!T17</f>
        <v>6560</v>
      </c>
      <c r="AA61" s="434">
        <f>+'1.Informe Seguimiento POA 2022'!R17+'1.Informe Seguimiento POA 2022'!T17+'1.Informe Seguimiento POA 2022'!P17</f>
        <v>17626</v>
      </c>
      <c r="AB61" s="878">
        <f t="shared" si="89"/>
        <v>17626</v>
      </c>
      <c r="AC61" s="435">
        <f t="shared" si="79"/>
        <v>1.5345029239766081</v>
      </c>
      <c r="AD61" s="435">
        <f t="shared" si="95"/>
        <v>1.4752259792433879</v>
      </c>
      <c r="AE61" s="435">
        <f t="shared" si="80"/>
        <v>1.0937635743096494</v>
      </c>
      <c r="AF61" s="446">
        <f t="shared" si="90"/>
        <v>16115</v>
      </c>
      <c r="AG61" s="446">
        <f>+'1.Informe Seguimiento POA 2022'!U17</f>
        <v>4167</v>
      </c>
      <c r="AH61" s="446">
        <f>+'1.Informe Seguimiento POA 2022'!O17+'1.Informe Seguimiento POA 2022'!Q17+'1.Informe Seguimiento POA 2022'!S17+'1.Informe Seguimiento POA 2022'!U17</f>
        <v>16115</v>
      </c>
      <c r="AI61" s="446">
        <f>+'1.Informe Seguimiento POA 2022'!V17</f>
        <v>6851</v>
      </c>
      <c r="AJ61" s="446">
        <f>+'1.Informe Seguimiento POA 2022'!P17+'1.Informe Seguimiento POA 2022'!R17+'1.Informe Seguimiento POA 2022'!T17+'1.Informe Seguimiento POA 2022'!V17</f>
        <v>24477</v>
      </c>
      <c r="AK61" s="446">
        <f t="shared" si="91"/>
        <v>24477</v>
      </c>
      <c r="AL61" s="435">
        <f t="shared" si="81"/>
        <v>1.6441084713222942</v>
      </c>
      <c r="AM61" s="435">
        <f t="shared" si="96"/>
        <v>1.5188954390319578</v>
      </c>
      <c r="AN61" s="435">
        <f t="shared" si="82"/>
        <v>1.5188954390319578</v>
      </c>
      <c r="AO61" s="439" t="str">
        <f>+'Rango indicadores'!H26</f>
        <v>Mayor A:</v>
      </c>
      <c r="AP61" s="434">
        <f>+'Rango indicadores'!I26</f>
        <v>85</v>
      </c>
      <c r="AQ61" s="434" t="str">
        <f>+'Rango indicadores'!J26</f>
        <v>Desde (&gt;=):</v>
      </c>
      <c r="AR61" s="434">
        <f>+'Rango indicadores'!K26</f>
        <v>80</v>
      </c>
      <c r="AS61" s="434" t="str">
        <f>+'Rango indicadores'!L26</f>
        <v>Hasta (&lt;=):</v>
      </c>
      <c r="AT61" s="434">
        <f>+'Rango indicadores'!M26</f>
        <v>85</v>
      </c>
      <c r="AU61" s="434" t="str">
        <f>+'Rango indicadores'!N26</f>
        <v>Menor A:</v>
      </c>
      <c r="AV61" s="878">
        <f>+'Rango indicadores'!O26</f>
        <v>80</v>
      </c>
      <c r="AW61" s="523" t="s">
        <v>1176</v>
      </c>
      <c r="AX61" s="589"/>
      <c r="AY61" s="589">
        <f t="shared" si="92"/>
        <v>-2285</v>
      </c>
      <c r="AZ61" s="589"/>
      <c r="BA61" s="447"/>
    </row>
    <row r="62" spans="2:53" ht="55.5" customHeight="1">
      <c r="B62" s="431">
        <f t="shared" si="83"/>
        <v>26</v>
      </c>
      <c r="C62" s="432" t="str">
        <f>+'Rango indicadores'!D27</f>
        <v>05-RI-06</v>
      </c>
      <c r="D62" s="432" t="str">
        <f>+'Rango indicadores'!E27</f>
        <v>Espacios de mejora y transferencia de conocimiento realizados</v>
      </c>
      <c r="E62" s="446">
        <f>+'Rango indicadores'!Q27</f>
        <v>20</v>
      </c>
      <c r="F62" s="446">
        <f>'1.Informe Seguimiento POA 2022'!O18</f>
        <v>2</v>
      </c>
      <c r="G62" s="446">
        <f>'1.Informe Seguimiento POA 2022'!O18</f>
        <v>2</v>
      </c>
      <c r="H62" s="446">
        <f>'1.Informe Seguimiento POA 2022'!P18</f>
        <v>0</v>
      </c>
      <c r="I62" s="446">
        <f>'1.Informe Seguimiento POA 2022'!P18</f>
        <v>0</v>
      </c>
      <c r="J62" s="446">
        <f t="shared" si="84"/>
        <v>0</v>
      </c>
      <c r="K62" s="435">
        <f t="shared" si="75"/>
        <v>0</v>
      </c>
      <c r="L62" s="435">
        <f t="shared" si="93"/>
        <v>0</v>
      </c>
      <c r="M62" s="435">
        <f t="shared" si="76"/>
        <v>0</v>
      </c>
      <c r="N62" s="446">
        <f t="shared" si="85"/>
        <v>20</v>
      </c>
      <c r="O62" s="434">
        <f>+'1.Informe Seguimiento POA 2022'!Q18</f>
        <v>11</v>
      </c>
      <c r="P62" s="446">
        <f t="shared" si="86"/>
        <v>13</v>
      </c>
      <c r="Q62" s="434">
        <f>'1.Informe Seguimiento POA 2022'!R18</f>
        <v>11</v>
      </c>
      <c r="R62" s="434">
        <f>+'1.Informe Seguimiento POA 2022'!P18+'1.Informe Seguimiento POA 2022'!R18</f>
        <v>11</v>
      </c>
      <c r="S62" s="446">
        <f t="shared" si="87"/>
        <v>11</v>
      </c>
      <c r="T62" s="435">
        <f t="shared" si="77"/>
        <v>1</v>
      </c>
      <c r="U62" s="435">
        <f t="shared" si="94"/>
        <v>0.84615384615384615</v>
      </c>
      <c r="V62" s="435">
        <f t="shared" si="78"/>
        <v>0.55000000000000004</v>
      </c>
      <c r="W62" s="446">
        <f t="shared" si="88"/>
        <v>20</v>
      </c>
      <c r="X62" s="434">
        <f>+'1.Informe Seguimiento POA 2022'!S18</f>
        <v>6</v>
      </c>
      <c r="Y62" s="434">
        <f>+'1.Informe Seguimiento POA 2022'!O18+'1.Informe Seguimiento POA 2022'!Q18+'1.Informe Seguimiento POA 2022'!S18</f>
        <v>19</v>
      </c>
      <c r="Z62" s="434">
        <f>+'1.Informe Seguimiento POA 2022'!T18</f>
        <v>4</v>
      </c>
      <c r="AA62" s="434">
        <f>+'1.Informe Seguimiento POA 2022'!R18+'1.Informe Seguimiento POA 2022'!T18+'1.Informe Seguimiento POA 2022'!P18</f>
        <v>15</v>
      </c>
      <c r="AB62" s="878">
        <f t="shared" si="89"/>
        <v>15</v>
      </c>
      <c r="AC62" s="435">
        <f t="shared" si="79"/>
        <v>0.66666666666666663</v>
      </c>
      <c r="AD62" s="435">
        <f t="shared" si="95"/>
        <v>0.78947368421052633</v>
      </c>
      <c r="AE62" s="435">
        <f t="shared" si="80"/>
        <v>0.75</v>
      </c>
      <c r="AF62" s="446">
        <f t="shared" si="90"/>
        <v>20</v>
      </c>
      <c r="AG62" s="446">
        <f>+'1.Informe Seguimiento POA 2022'!U18</f>
        <v>1</v>
      </c>
      <c r="AH62" s="446">
        <f>+'1.Informe Seguimiento POA 2022'!O18+'1.Informe Seguimiento POA 2022'!Q18+'1.Informe Seguimiento POA 2022'!S18+'1.Informe Seguimiento POA 2022'!U18</f>
        <v>20</v>
      </c>
      <c r="AI62" s="446">
        <f>+'1.Informe Seguimiento POA 2022'!V18</f>
        <v>5</v>
      </c>
      <c r="AJ62" s="446">
        <f>+'1.Informe Seguimiento POA 2022'!P18+'1.Informe Seguimiento POA 2022'!R18+'1.Informe Seguimiento POA 2022'!T18+'1.Informe Seguimiento POA 2022'!V18</f>
        <v>20</v>
      </c>
      <c r="AK62" s="446">
        <f t="shared" si="91"/>
        <v>20</v>
      </c>
      <c r="AL62" s="435">
        <f t="shared" si="81"/>
        <v>5</v>
      </c>
      <c r="AM62" s="435">
        <f t="shared" si="96"/>
        <v>1</v>
      </c>
      <c r="AN62" s="435">
        <f t="shared" si="82"/>
        <v>1</v>
      </c>
      <c r="AO62" s="439" t="str">
        <f>+'Rango indicadores'!H27</f>
        <v>Mayor A:</v>
      </c>
      <c r="AP62" s="434">
        <f>+'Rango indicadores'!I27</f>
        <v>85</v>
      </c>
      <c r="AQ62" s="434" t="str">
        <f>+'Rango indicadores'!J27</f>
        <v>Desde (&gt;=):</v>
      </c>
      <c r="AR62" s="434">
        <f>+'Rango indicadores'!K27</f>
        <v>80</v>
      </c>
      <c r="AS62" s="434" t="str">
        <f>+'Rango indicadores'!L27</f>
        <v>Hasta (&lt;=):</v>
      </c>
      <c r="AT62" s="434">
        <f>+'Rango indicadores'!M27</f>
        <v>85</v>
      </c>
      <c r="AU62" s="434" t="str">
        <f>+'Rango indicadores'!N27</f>
        <v>Menor A:</v>
      </c>
      <c r="AV62" s="878">
        <f>+'Rango indicadores'!O27</f>
        <v>80</v>
      </c>
      <c r="AW62" s="523" t="s">
        <v>1174</v>
      </c>
      <c r="AX62" s="589"/>
      <c r="AY62" s="589">
        <f t="shared" si="92"/>
        <v>2</v>
      </c>
      <c r="AZ62" s="589">
        <f t="shared" si="92"/>
        <v>4</v>
      </c>
      <c r="BA62" s="447"/>
    </row>
    <row r="63" spans="2:53" ht="55.5" customHeight="1">
      <c r="B63" s="431">
        <f t="shared" si="83"/>
        <v>27</v>
      </c>
      <c r="C63" s="432" t="str">
        <f>+'Rango indicadores'!D28</f>
        <v>05-RI-07</v>
      </c>
      <c r="D63" s="432" t="str">
        <f>+'Rango indicadores'!E28</f>
        <v>Porcentaje de Acciones de Tutela, Desacatos e Impugnaciones Entregadas en un Termino Menor a Cinco (5) Días Hábiles</v>
      </c>
      <c r="E63" s="446" t="str">
        <f>+'Rango indicadores'!Q28</f>
        <v>&gt;=95%</v>
      </c>
      <c r="F63" s="464">
        <f>'1.Informe Seguimiento POA 2022'!O19</f>
        <v>0.94999999999999984</v>
      </c>
      <c r="G63" s="464">
        <f>'1.Informe Seguimiento POA 2022'!O19</f>
        <v>0.94999999999999984</v>
      </c>
      <c r="H63" s="790">
        <f>'1.Informe Seguimiento POA 2022'!P19</f>
        <v>1</v>
      </c>
      <c r="I63" s="790">
        <f>'1.Informe Seguimiento POA 2022'!P19</f>
        <v>1</v>
      </c>
      <c r="J63" s="790">
        <f t="shared" si="84"/>
        <v>1</v>
      </c>
      <c r="K63" s="435">
        <f t="shared" si="75"/>
        <v>1.0526315789473686</v>
      </c>
      <c r="L63" s="435">
        <f>(IF(AND(G63&gt;0),I63/G63,"No programado"))</f>
        <v>1.0526315789473686</v>
      </c>
      <c r="M63" s="435">
        <f>IF(AND(E63&gt;0,$J63&gt;0),J63/95%,0)*0.25</f>
        <v>0.26315789473684209</v>
      </c>
      <c r="N63" s="446" t="str">
        <f t="shared" si="85"/>
        <v>&gt;=95%</v>
      </c>
      <c r="O63" s="790">
        <f>+'1.Informe Seguimiento POA 2022'!Q19</f>
        <v>0.94999999999999984</v>
      </c>
      <c r="P63" s="879">
        <f>IFERROR(AVERAGE(F63,O63),0)</f>
        <v>0.94999999999999984</v>
      </c>
      <c r="Q63" s="790">
        <f>'1.Informe Seguimiento POA 2022'!R19</f>
        <v>1</v>
      </c>
      <c r="R63" s="436">
        <f>IFERROR(AVERAGE('1.Informe Seguimiento POA 2022'!P19,'1.Informe Seguimiento POA 2022'!R19),0)</f>
        <v>1</v>
      </c>
      <c r="S63" s="436">
        <f>IFERROR(IF(OR($N63="",$N63=0),0,ROUNDDOWN(AVERAGE($H63,Q63),3)),0)</f>
        <v>1</v>
      </c>
      <c r="T63" s="435">
        <f t="shared" si="77"/>
        <v>1.0526315789473686</v>
      </c>
      <c r="U63" s="435">
        <f>(IF(AND(P63&gt;0),R63/P63,"No programado"))</f>
        <v>1.0526315789473686</v>
      </c>
      <c r="V63" s="435">
        <f>IF(AND(N63&gt;0,$S63&gt;0),S63/95%,0)*0.5</f>
        <v>0.52631578947368418</v>
      </c>
      <c r="W63" s="446" t="str">
        <f t="shared" si="88"/>
        <v>&gt;=95%</v>
      </c>
      <c r="X63" s="464">
        <f>+'1.Informe Seguimiento POA 2022'!S19</f>
        <v>0.94999999999999984</v>
      </c>
      <c r="Y63" s="436">
        <f>IFERROR(AVERAGE('1.Informe Seguimiento POA 2022'!O19,'1.Informe Seguimiento POA 2022'!Q19,,'1.Informe Seguimiento POA 2022'!S19),0)</f>
        <v>0.71249999999999991</v>
      </c>
      <c r="Z63" s="436">
        <f>+'1.Informe Seguimiento POA 2022'!T19</f>
        <v>0.99933333333333341</v>
      </c>
      <c r="AA63" s="436">
        <f>IFERROR(AVERAGE('1.Informe Seguimiento POA 2022'!R19,'1.Informe Seguimiento POA 2022'!P19,'1.Informe Seguimiento POA 2022'!T19),0)</f>
        <v>0.99977777777777777</v>
      </c>
      <c r="AB63" s="436">
        <f>IFERROR(IF(OR($W63="",$W63=0),0,ROUNDDOWN(AVERAGE($H63,Q63,Z63),3)),0)</f>
        <v>0.999</v>
      </c>
      <c r="AC63" s="435">
        <f t="shared" si="79"/>
        <v>1.0519298245614037</v>
      </c>
      <c r="AD63" s="435">
        <f>(IF(AND(Y63&gt;0),AA63/Y63,"No programado"))</f>
        <v>1.403196881091618</v>
      </c>
      <c r="AE63" s="435">
        <f>IF(AND(W63&gt;0,$AB63&gt;0),AB63/95%,0)*0.75</f>
        <v>0.78868421052631588</v>
      </c>
      <c r="AF63" s="446" t="str">
        <f t="shared" si="90"/>
        <v>&gt;=95%</v>
      </c>
      <c r="AG63" s="524">
        <f>'1.Informe Seguimiento POA 2022'!U19</f>
        <v>0.94999999999999984</v>
      </c>
      <c r="AH63" s="524">
        <f>IFERROR(AVERAGE('1.Informe Seguimiento POA 2022'!O19,'1.Informe Seguimiento POA 2022'!Q19,'1.Informe Seguimiento POA 2022'!S19,'1.Informe Seguimiento POA 2022'!U19),0)</f>
        <v>0.94999999999999984</v>
      </c>
      <c r="AI63" s="524">
        <f>+'1.Informe Seguimiento POA 2022'!V19</f>
        <v>0.99799999999999989</v>
      </c>
      <c r="AJ63" s="524">
        <f>IFERROR(AVERAGE('1.Informe Seguimiento POA 2022'!P19,'1.Informe Seguimiento POA 2022'!R19,'1.Informe Seguimiento POA 2022'!T19,'1.Informe Seguimiento POA 2022'!V19),0)</f>
        <v>0.9993333333333333</v>
      </c>
      <c r="AK63" s="524">
        <f>IFERROR(IF(OR($AF63="",$AF63=0),0,ROUNDDOWN(AVERAGE($H63,Q63,Z63,AI63),3)),0)</f>
        <v>0.999</v>
      </c>
      <c r="AL63" s="435">
        <f t="shared" si="81"/>
        <v>1.0505263157894738</v>
      </c>
      <c r="AM63" s="435">
        <f>(IF(AND(AH63&gt;0),AJ63/AH63,"No programado"))</f>
        <v>1.0519298245614037</v>
      </c>
      <c r="AN63" s="435">
        <f>IF(AND(AF63&gt;0,$AK63&gt;0),AK63/95%,0)*1</f>
        <v>1.0515789473684212</v>
      </c>
      <c r="AO63" s="439" t="str">
        <f>+'Rango indicadores'!H28</f>
        <v>Mayor o igual A:</v>
      </c>
      <c r="AP63" s="434">
        <f>+'Rango indicadores'!I28</f>
        <v>95</v>
      </c>
      <c r="AQ63" s="434" t="str">
        <f>+'Rango indicadores'!J28</f>
        <v>Desde (&gt;):</v>
      </c>
      <c r="AR63" s="434">
        <f>+'Rango indicadores'!K28</f>
        <v>90</v>
      </c>
      <c r="AS63" s="434" t="str">
        <f>+'Rango indicadores'!L28</f>
        <v>Hasta (&lt;):</v>
      </c>
      <c r="AT63" s="434">
        <f>+'Rango indicadores'!M28</f>
        <v>95</v>
      </c>
      <c r="AU63" s="434" t="str">
        <f>+'Rango indicadores'!N28</f>
        <v>Menor o Igual A:</v>
      </c>
      <c r="AV63" s="878">
        <f>+'Rango indicadores'!O28</f>
        <v>90</v>
      </c>
      <c r="AW63" s="523" t="s">
        <v>1176</v>
      </c>
      <c r="AX63" s="764"/>
      <c r="AY63" s="589">
        <f t="shared" si="92"/>
        <v>-4.9333333333333562E-2</v>
      </c>
      <c r="AZ63" s="589"/>
      <c r="BA63" s="447"/>
    </row>
    <row r="64" spans="2:53" ht="55.5" customHeight="1">
      <c r="B64" s="431">
        <f t="shared" ref="B64:B76" si="97">+B63+1</f>
        <v>28</v>
      </c>
      <c r="C64" s="432" t="str">
        <f>+'Rango indicadores'!D29</f>
        <v>05-RI-08</v>
      </c>
      <c r="D64" s="432" t="str">
        <f>+'Rango indicadores'!E29</f>
        <v>Audiencias Publicas Realizadas con Asistencia del Ministerio Público</v>
      </c>
      <c r="E64" s="446">
        <f>+'Rango indicadores'!Q29</f>
        <v>6000</v>
      </c>
      <c r="F64" s="446">
        <f>'1.Informe Seguimiento POA 2022'!O20</f>
        <v>1200</v>
      </c>
      <c r="G64" s="446">
        <f>'1.Informe Seguimiento POA 2022'!O20</f>
        <v>1200</v>
      </c>
      <c r="H64" s="446">
        <f>'1.Informe Seguimiento POA 2022'!P20</f>
        <v>1452</v>
      </c>
      <c r="I64" s="446">
        <f>'1.Informe Seguimiento POA 2022'!P20</f>
        <v>1452</v>
      </c>
      <c r="J64" s="446">
        <f t="shared" si="84"/>
        <v>1452</v>
      </c>
      <c r="K64" s="435">
        <f t="shared" si="75"/>
        <v>1.21</v>
      </c>
      <c r="L64" s="435">
        <f t="shared" ref="L64:L76" si="98">IF(AND(G64&gt;0),I64/G64,"No programado")</f>
        <v>1.21</v>
      </c>
      <c r="M64" s="435">
        <f t="shared" si="76"/>
        <v>0.24199999999999999</v>
      </c>
      <c r="N64" s="446">
        <f t="shared" si="85"/>
        <v>6000</v>
      </c>
      <c r="O64" s="434">
        <f>+'1.Informe Seguimiento POA 2022'!Q20</f>
        <v>1800</v>
      </c>
      <c r="P64" s="446">
        <f t="shared" si="86"/>
        <v>3000</v>
      </c>
      <c r="Q64" s="434">
        <f>'1.Informe Seguimiento POA 2022'!R20</f>
        <v>1952</v>
      </c>
      <c r="R64" s="434">
        <f>+'1.Informe Seguimiento POA 2022'!P20+'1.Informe Seguimiento POA 2022'!R20</f>
        <v>3404</v>
      </c>
      <c r="S64" s="446">
        <f t="shared" si="87"/>
        <v>3404</v>
      </c>
      <c r="T64" s="435">
        <f t="shared" si="77"/>
        <v>1.0844444444444445</v>
      </c>
      <c r="U64" s="435">
        <f t="shared" ref="U64:U76" si="99">IF(AND(P64&gt;0),R64/P64,"No programado")</f>
        <v>1.1346666666666667</v>
      </c>
      <c r="V64" s="435">
        <f>IF(AND(N64&gt;0,$S64&gt;0),S64/$N64,0)</f>
        <v>0.56733333333333336</v>
      </c>
      <c r="W64" s="446">
        <f t="shared" si="88"/>
        <v>6000</v>
      </c>
      <c r="X64" s="434">
        <f>+'1.Informe Seguimiento POA 2022'!S20</f>
        <v>1800</v>
      </c>
      <c r="Y64" s="434">
        <f>+'1.Informe Seguimiento POA 2022'!O20+'1.Informe Seguimiento POA 2022'!Q20+'1.Informe Seguimiento POA 2022'!S20</f>
        <v>4800</v>
      </c>
      <c r="Z64" s="434">
        <f>+'1.Informe Seguimiento POA 2022'!T20</f>
        <v>2402</v>
      </c>
      <c r="AA64" s="434">
        <f>+'1.Informe Seguimiento POA 2022'!R20+'1.Informe Seguimiento POA 2022'!T20+'1.Informe Seguimiento POA 2022'!P20</f>
        <v>5806</v>
      </c>
      <c r="AB64" s="878">
        <f t="shared" si="89"/>
        <v>5806</v>
      </c>
      <c r="AC64" s="435">
        <f t="shared" si="79"/>
        <v>1.3344444444444445</v>
      </c>
      <c r="AD64" s="435">
        <f t="shared" ref="AD64:AD76" si="100">IF(AND(Y64&gt;0),AA64/Y64,"No programado")</f>
        <v>1.2095833333333332</v>
      </c>
      <c r="AE64" s="435">
        <f>IF(AND(W64&gt;0,$AB64&gt;0),AB64/$W64,0)</f>
        <v>0.96766666666666667</v>
      </c>
      <c r="AF64" s="446">
        <f t="shared" si="90"/>
        <v>6000</v>
      </c>
      <c r="AG64" s="446">
        <f>+'1.Informe Seguimiento POA 2022'!U20</f>
        <v>1200</v>
      </c>
      <c r="AH64" s="446">
        <f>+'1.Informe Seguimiento POA 2022'!O20+'1.Informe Seguimiento POA 2022'!Q20+'1.Informe Seguimiento POA 2022'!S20+'1.Informe Seguimiento POA 2022'!U20</f>
        <v>6000</v>
      </c>
      <c r="AI64" s="446">
        <f>+'1.Informe Seguimiento POA 2022'!V20</f>
        <v>1740</v>
      </c>
      <c r="AJ64" s="446">
        <f>+'1.Informe Seguimiento POA 2022'!P20+'1.Informe Seguimiento POA 2022'!R20+'1.Informe Seguimiento POA 2022'!T20+'1.Informe Seguimiento POA 2022'!V20</f>
        <v>7546</v>
      </c>
      <c r="AK64" s="446">
        <f t="shared" si="91"/>
        <v>7546</v>
      </c>
      <c r="AL64" s="435">
        <f t="shared" si="81"/>
        <v>1.45</v>
      </c>
      <c r="AM64" s="435">
        <f t="shared" ref="AM64:AM76" si="101">IF(AND(AH64&gt;0),AJ64/AH64,"No programado")</f>
        <v>1.2576666666666667</v>
      </c>
      <c r="AN64" s="435">
        <f>IF(AND(AF64&gt;0,$AK64&gt;0),AK64/$AF64,0)</f>
        <v>1.2576666666666667</v>
      </c>
      <c r="AO64" s="439" t="str">
        <f>+'Rango indicadores'!H29</f>
        <v>Mayor o igual A:</v>
      </c>
      <c r="AP64" s="434">
        <f>+'Rango indicadores'!I29</f>
        <v>95</v>
      </c>
      <c r="AQ64" s="434" t="str">
        <f>+'Rango indicadores'!J29</f>
        <v>Desde (&gt;):</v>
      </c>
      <c r="AR64" s="434">
        <f>+'Rango indicadores'!K29</f>
        <v>90</v>
      </c>
      <c r="AS64" s="434" t="str">
        <f>+'Rango indicadores'!L29</f>
        <v>Hasta (&lt;):</v>
      </c>
      <c r="AT64" s="434">
        <f>+'Rango indicadores'!M29</f>
        <v>95</v>
      </c>
      <c r="AU64" s="434" t="str">
        <f>+'Rango indicadores'!N29</f>
        <v>Menor o Igual A:</v>
      </c>
      <c r="AV64" s="878">
        <f>+'Rango indicadores'!O29</f>
        <v>90</v>
      </c>
      <c r="AW64" s="523" t="s">
        <v>1176</v>
      </c>
      <c r="AX64" s="589"/>
      <c r="AY64" s="589">
        <f t="shared" si="92"/>
        <v>-602</v>
      </c>
      <c r="AZ64" s="589"/>
    </row>
    <row r="65" spans="2:53" ht="55.5" customHeight="1">
      <c r="B65" s="431">
        <f t="shared" si="97"/>
        <v>29</v>
      </c>
      <c r="C65" s="432" t="str">
        <f>+'Rango indicadores'!D30</f>
        <v>05-RI-09</v>
      </c>
      <c r="D65" s="432" t="str">
        <f>+'Rango indicadores'!E30</f>
        <v>Intervenciones realizadas oportunamente para evitar la caducidad y perdida de fuerza ejecutoria (Impulsos procesales)</v>
      </c>
      <c r="E65" s="446">
        <f>+'Rango indicadores'!Q30</f>
        <v>3000</v>
      </c>
      <c r="F65" s="446">
        <f>'1.Informe Seguimiento POA 2022'!O21</f>
        <v>600</v>
      </c>
      <c r="G65" s="446">
        <f>'1.Informe Seguimiento POA 2022'!O21</f>
        <v>600</v>
      </c>
      <c r="H65" s="446">
        <f>'1.Informe Seguimiento POA 2022'!P21</f>
        <v>438</v>
      </c>
      <c r="I65" s="446">
        <f>'1.Informe Seguimiento POA 2022'!P21</f>
        <v>438</v>
      </c>
      <c r="J65" s="446">
        <f t="shared" si="84"/>
        <v>438</v>
      </c>
      <c r="K65" s="435">
        <f t="shared" si="75"/>
        <v>0.73</v>
      </c>
      <c r="L65" s="435">
        <f t="shared" si="98"/>
        <v>0.73</v>
      </c>
      <c r="M65" s="435">
        <f t="shared" si="76"/>
        <v>0.14599999999999999</v>
      </c>
      <c r="N65" s="446">
        <f t="shared" si="85"/>
        <v>3000</v>
      </c>
      <c r="O65" s="434">
        <f>+'1.Informe Seguimiento POA 2022'!Q21</f>
        <v>900</v>
      </c>
      <c r="P65" s="446">
        <f t="shared" si="86"/>
        <v>1500</v>
      </c>
      <c r="Q65" s="434">
        <f>'1.Informe Seguimiento POA 2022'!R21</f>
        <v>727</v>
      </c>
      <c r="R65" s="434">
        <f>+'1.Informe Seguimiento POA 2022'!P21+'1.Informe Seguimiento POA 2022'!R21</f>
        <v>1165</v>
      </c>
      <c r="S65" s="446">
        <f t="shared" si="87"/>
        <v>1165</v>
      </c>
      <c r="T65" s="435">
        <f t="shared" si="77"/>
        <v>0.80777777777777782</v>
      </c>
      <c r="U65" s="435">
        <f t="shared" si="99"/>
        <v>0.77666666666666662</v>
      </c>
      <c r="V65" s="435">
        <f>IF(AND(N65&gt;0,$S65&gt;0),S65/$N65,0)</f>
        <v>0.38833333333333331</v>
      </c>
      <c r="W65" s="446">
        <f t="shared" si="88"/>
        <v>3000</v>
      </c>
      <c r="X65" s="434">
        <f>+'1.Informe Seguimiento POA 2022'!S21</f>
        <v>900</v>
      </c>
      <c r="Y65" s="434">
        <f>+'1.Informe Seguimiento POA 2022'!O21+'1.Informe Seguimiento POA 2022'!Q21+'1.Informe Seguimiento POA 2022'!S21</f>
        <v>2400</v>
      </c>
      <c r="Z65" s="434">
        <f>+'1.Informe Seguimiento POA 2022'!T21</f>
        <v>817</v>
      </c>
      <c r="AA65" s="434">
        <f>+'1.Informe Seguimiento POA 2022'!R21+'1.Informe Seguimiento POA 2022'!T21+'1.Informe Seguimiento POA 2022'!P21</f>
        <v>1982</v>
      </c>
      <c r="AB65" s="878">
        <f t="shared" si="89"/>
        <v>1982</v>
      </c>
      <c r="AC65" s="435">
        <f t="shared" si="79"/>
        <v>0.90777777777777779</v>
      </c>
      <c r="AD65" s="435">
        <f t="shared" si="100"/>
        <v>0.82583333333333331</v>
      </c>
      <c r="AE65" s="435">
        <f>IF(AND(W65&gt;0,$AB65&gt;0),AB65/$W65,0)</f>
        <v>0.66066666666666662</v>
      </c>
      <c r="AF65" s="446">
        <f t="shared" si="90"/>
        <v>3000</v>
      </c>
      <c r="AG65" s="446">
        <f>+'1.Informe Seguimiento POA 2022'!U21</f>
        <v>600</v>
      </c>
      <c r="AH65" s="446">
        <f>+'1.Informe Seguimiento POA 2022'!O21+'1.Informe Seguimiento POA 2022'!Q21+'1.Informe Seguimiento POA 2022'!S21+'1.Informe Seguimiento POA 2022'!U21</f>
        <v>3000</v>
      </c>
      <c r="AI65" s="446">
        <f>+'1.Informe Seguimiento POA 2022'!V21</f>
        <v>1208</v>
      </c>
      <c r="AJ65" s="446">
        <f>+'1.Informe Seguimiento POA 2022'!P21+'1.Informe Seguimiento POA 2022'!R21+'1.Informe Seguimiento POA 2022'!T21+'1.Informe Seguimiento POA 2022'!V21</f>
        <v>3190</v>
      </c>
      <c r="AK65" s="446">
        <f t="shared" si="91"/>
        <v>3190</v>
      </c>
      <c r="AL65" s="435">
        <f t="shared" si="81"/>
        <v>2.0133333333333332</v>
      </c>
      <c r="AM65" s="435">
        <f t="shared" si="101"/>
        <v>1.0633333333333332</v>
      </c>
      <c r="AN65" s="435">
        <f>IF(AND(AF65&gt;0,$AK65&gt;0),AK65/$AF65,0)</f>
        <v>1.0633333333333332</v>
      </c>
      <c r="AO65" s="439" t="str">
        <f>+'Rango indicadores'!H30</f>
        <v>Mayor o igual A:</v>
      </c>
      <c r="AP65" s="434">
        <f>+'Rango indicadores'!I30</f>
        <v>95</v>
      </c>
      <c r="AQ65" s="434" t="str">
        <f>+'Rango indicadores'!J30</f>
        <v>Desde (&gt;):</v>
      </c>
      <c r="AR65" s="434">
        <f>+'Rango indicadores'!K30</f>
        <v>90</v>
      </c>
      <c r="AS65" s="434" t="str">
        <f>+'Rango indicadores'!L30</f>
        <v>Hasta (&lt;):</v>
      </c>
      <c r="AT65" s="434">
        <f>+'Rango indicadores'!M30</f>
        <v>95</v>
      </c>
      <c r="AU65" s="434" t="str">
        <f>+'Rango indicadores'!N30</f>
        <v>Menor o Igual A:</v>
      </c>
      <c r="AV65" s="878">
        <f>+'Rango indicadores'!O30</f>
        <v>90</v>
      </c>
      <c r="AW65" s="523" t="s">
        <v>1176</v>
      </c>
      <c r="AX65" s="589"/>
      <c r="AY65" s="589">
        <f t="shared" si="92"/>
        <v>83</v>
      </c>
      <c r="AZ65" s="589"/>
    </row>
    <row r="66" spans="2:53" ht="55.5" customHeight="1">
      <c r="B66" s="431">
        <f t="shared" si="97"/>
        <v>30</v>
      </c>
      <c r="C66" s="432" t="str">
        <f>+'Rango indicadores'!D31</f>
        <v>05-RI-10</v>
      </c>
      <c r="D66" s="432" t="str">
        <f>+'Rango indicadores'!E31</f>
        <v>Expedientes con impulso procesal para la gestión de multas</v>
      </c>
      <c r="E66" s="446">
        <f>+'Rango indicadores'!Q31</f>
        <v>500</v>
      </c>
      <c r="F66" s="446">
        <f>'1.Informe Seguimiento POA 2022'!O22</f>
        <v>100</v>
      </c>
      <c r="G66" s="446">
        <f>'1.Informe Seguimiento POA 2022'!O22</f>
        <v>100</v>
      </c>
      <c r="H66" s="446">
        <f>'1.Informe Seguimiento POA 2022'!P22</f>
        <v>82</v>
      </c>
      <c r="I66" s="446">
        <f>'1.Informe Seguimiento POA 2022'!P22</f>
        <v>82</v>
      </c>
      <c r="J66" s="446">
        <f t="shared" si="84"/>
        <v>82</v>
      </c>
      <c r="K66" s="435">
        <f t="shared" si="75"/>
        <v>0.82</v>
      </c>
      <c r="L66" s="435">
        <f t="shared" si="98"/>
        <v>0.82</v>
      </c>
      <c r="M66" s="435">
        <f t="shared" si="76"/>
        <v>0.16400000000000001</v>
      </c>
      <c r="N66" s="446">
        <f t="shared" si="85"/>
        <v>500</v>
      </c>
      <c r="O66" s="434">
        <f>+'1.Informe Seguimiento POA 2022'!Q22</f>
        <v>150</v>
      </c>
      <c r="P66" s="446">
        <f t="shared" si="86"/>
        <v>250</v>
      </c>
      <c r="Q66" s="434">
        <f>'1.Informe Seguimiento POA 2022'!R22</f>
        <v>74</v>
      </c>
      <c r="R66" s="434">
        <f>+'1.Informe Seguimiento POA 2022'!P22+'1.Informe Seguimiento POA 2022'!R22</f>
        <v>156</v>
      </c>
      <c r="S66" s="446">
        <f t="shared" si="87"/>
        <v>156</v>
      </c>
      <c r="T66" s="435">
        <f t="shared" si="77"/>
        <v>0.49333333333333335</v>
      </c>
      <c r="U66" s="435">
        <f t="shared" si="99"/>
        <v>0.624</v>
      </c>
      <c r="V66" s="435">
        <f>IF(AND(N66&gt;0,$S66&gt;0),S66/$N66,0)</f>
        <v>0.312</v>
      </c>
      <c r="W66" s="446">
        <f t="shared" si="88"/>
        <v>500</v>
      </c>
      <c r="X66" s="434">
        <f>+'1.Informe Seguimiento POA 2022'!S22</f>
        <v>150</v>
      </c>
      <c r="Y66" s="434">
        <f>+'1.Informe Seguimiento POA 2022'!O22+'1.Informe Seguimiento POA 2022'!Q22+'1.Informe Seguimiento POA 2022'!S22</f>
        <v>400</v>
      </c>
      <c r="Z66" s="434">
        <f>+'1.Informe Seguimiento POA 2022'!T22</f>
        <v>150</v>
      </c>
      <c r="AA66" s="434">
        <f>+'1.Informe Seguimiento POA 2022'!R22+'1.Informe Seguimiento POA 2022'!T22+'1.Informe Seguimiento POA 2022'!P22</f>
        <v>306</v>
      </c>
      <c r="AB66" s="878">
        <f t="shared" si="89"/>
        <v>306</v>
      </c>
      <c r="AC66" s="435">
        <f t="shared" si="79"/>
        <v>1</v>
      </c>
      <c r="AD66" s="435">
        <f t="shared" si="100"/>
        <v>0.76500000000000001</v>
      </c>
      <c r="AE66" s="435">
        <f>IF(AND(W66&gt;0,$AB66&gt;0),AB66/$W66,0)</f>
        <v>0.61199999999999999</v>
      </c>
      <c r="AF66" s="446">
        <f t="shared" si="90"/>
        <v>500</v>
      </c>
      <c r="AG66" s="446">
        <f>+'1.Informe Seguimiento POA 2022'!U22</f>
        <v>100</v>
      </c>
      <c r="AH66" s="446">
        <f>+'1.Informe Seguimiento POA 2022'!O22+'1.Informe Seguimiento POA 2022'!Q22+'1.Informe Seguimiento POA 2022'!S22+'1.Informe Seguimiento POA 2022'!U22</f>
        <v>500</v>
      </c>
      <c r="AI66" s="446">
        <f>+'1.Informe Seguimiento POA 2022'!V22</f>
        <v>275</v>
      </c>
      <c r="AJ66" s="446">
        <f>+'1.Informe Seguimiento POA 2022'!P22+'1.Informe Seguimiento POA 2022'!R22+'1.Informe Seguimiento POA 2022'!T22+'1.Informe Seguimiento POA 2022'!V22</f>
        <v>581</v>
      </c>
      <c r="AK66" s="446">
        <f t="shared" si="91"/>
        <v>581</v>
      </c>
      <c r="AL66" s="435">
        <f t="shared" si="81"/>
        <v>2.75</v>
      </c>
      <c r="AM66" s="435">
        <f t="shared" si="101"/>
        <v>1.1619999999999999</v>
      </c>
      <c r="AN66" s="435">
        <f>IF(AND(AF66&gt;0,$AK66&gt;0),AK66/$AF66,0)</f>
        <v>1.1619999999999999</v>
      </c>
      <c r="AO66" s="439" t="str">
        <f>+'Rango indicadores'!H31</f>
        <v>Mayor o igual A:</v>
      </c>
      <c r="AP66" s="434">
        <f>+'Rango indicadores'!I31</f>
        <v>95</v>
      </c>
      <c r="AQ66" s="434" t="str">
        <f>+'Rango indicadores'!J31</f>
        <v>Desde (&gt;):</v>
      </c>
      <c r="AR66" s="434">
        <f>+'Rango indicadores'!K31</f>
        <v>90</v>
      </c>
      <c r="AS66" s="434" t="str">
        <f>+'Rango indicadores'!L31</f>
        <v>Hasta (&lt;):</v>
      </c>
      <c r="AT66" s="434">
        <f>+'Rango indicadores'!M31</f>
        <v>95</v>
      </c>
      <c r="AU66" s="434" t="str">
        <f>+'Rango indicadores'!N31</f>
        <v>Menor o Igual A:</v>
      </c>
      <c r="AV66" s="878">
        <f>+'Rango indicadores'!O31</f>
        <v>90</v>
      </c>
      <c r="AW66" s="523" t="s">
        <v>1176</v>
      </c>
      <c r="AX66" s="589"/>
      <c r="AY66" s="589">
        <f t="shared" si="92"/>
        <v>0</v>
      </c>
      <c r="AZ66" s="589">
        <f t="shared" si="92"/>
        <v>94</v>
      </c>
    </row>
    <row r="67" spans="2:53" ht="55.5" customHeight="1">
      <c r="B67" s="431">
        <f t="shared" si="97"/>
        <v>31</v>
      </c>
      <c r="C67" s="432" t="str">
        <f>+'Rango indicadores'!D32</f>
        <v>05-RI-11</v>
      </c>
      <c r="D67" s="432" t="str">
        <f>+'Rango indicadores'!E32</f>
        <v>Estados de vulneración establecidos</v>
      </c>
      <c r="E67" s="446">
        <f>+'Rango indicadores'!Q32</f>
        <v>0</v>
      </c>
      <c r="F67" s="446">
        <f>'1.Informe Seguimiento POA 2022'!O23</f>
        <v>0</v>
      </c>
      <c r="G67" s="446">
        <f>'1.Informe Seguimiento POA 2022'!O23</f>
        <v>0</v>
      </c>
      <c r="H67" s="446">
        <f>'1.Informe Seguimiento POA 2022'!P23</f>
        <v>0</v>
      </c>
      <c r="I67" s="446">
        <f>'1.Informe Seguimiento POA 2022'!P23</f>
        <v>0</v>
      </c>
      <c r="J67" s="446">
        <f t="shared" si="84"/>
        <v>0</v>
      </c>
      <c r="K67" s="448" t="str">
        <f t="shared" si="75"/>
        <v>No programado</v>
      </c>
      <c r="L67" s="448" t="str">
        <f t="shared" si="98"/>
        <v>No programado</v>
      </c>
      <c r="M67" s="435" t="str">
        <f>IF(AND(E67&gt;0,$J67&gt;0),J67/$E67,"No programado")</f>
        <v>No programado</v>
      </c>
      <c r="N67" s="446">
        <f t="shared" si="85"/>
        <v>0</v>
      </c>
      <c r="O67" s="434">
        <f>+'1.Informe Seguimiento POA 2022'!Q23</f>
        <v>0</v>
      </c>
      <c r="P67" s="446">
        <f t="shared" si="86"/>
        <v>0</v>
      </c>
      <c r="Q67" s="434">
        <f>'1.Informe Seguimiento POA 2022'!R23</f>
        <v>0</v>
      </c>
      <c r="R67" s="434">
        <f>+'1.Informe Seguimiento POA 2022'!P23+'1.Informe Seguimiento POA 2022'!R23</f>
        <v>0</v>
      </c>
      <c r="S67" s="446">
        <f t="shared" si="87"/>
        <v>0</v>
      </c>
      <c r="T67" s="448" t="str">
        <f t="shared" si="77"/>
        <v>No programado</v>
      </c>
      <c r="U67" s="448" t="str">
        <f t="shared" si="99"/>
        <v>No programado</v>
      </c>
      <c r="V67" s="435" t="str">
        <f>IF(AND(N67&gt;0,$S67&gt;0),S67/$N67,"No programado")</f>
        <v>No programado</v>
      </c>
      <c r="W67" s="446">
        <f t="shared" si="88"/>
        <v>0</v>
      </c>
      <c r="X67" s="434">
        <f>+'1.Informe Seguimiento POA 2022'!S23</f>
        <v>0</v>
      </c>
      <c r="Y67" s="434">
        <f>+'1.Informe Seguimiento POA 2022'!O23+'1.Informe Seguimiento POA 2022'!Q23+'1.Informe Seguimiento POA 2022'!S23</f>
        <v>0</v>
      </c>
      <c r="Z67" s="434">
        <f>+'1.Informe Seguimiento POA 2022'!T23</f>
        <v>0</v>
      </c>
      <c r="AA67" s="434">
        <f>+'1.Informe Seguimiento POA 2022'!R23+'1.Informe Seguimiento POA 2022'!T23+'1.Informe Seguimiento POA 2022'!P23</f>
        <v>0</v>
      </c>
      <c r="AB67" s="878">
        <f t="shared" si="89"/>
        <v>0</v>
      </c>
      <c r="AC67" s="448" t="str">
        <f t="shared" si="79"/>
        <v>No programado</v>
      </c>
      <c r="AD67" s="448" t="str">
        <f t="shared" si="100"/>
        <v>No programado</v>
      </c>
      <c r="AE67" s="435" t="str">
        <f>IF(AND(W67&gt;0,$AB67&gt;0),AB67/$W67,"No programado")</f>
        <v>No programado</v>
      </c>
      <c r="AF67" s="446">
        <f t="shared" si="90"/>
        <v>0</v>
      </c>
      <c r="AG67" s="446">
        <f>+'1.Informe Seguimiento POA 2022'!U23</f>
        <v>0</v>
      </c>
      <c r="AH67" s="446">
        <f>+'1.Informe Seguimiento POA 2022'!O23+'1.Informe Seguimiento POA 2022'!Q23+'1.Informe Seguimiento POA 2022'!S23+'1.Informe Seguimiento POA 2022'!U23</f>
        <v>0</v>
      </c>
      <c r="AI67" s="446">
        <f>+'1.Informe Seguimiento POA 2022'!V23</f>
        <v>0</v>
      </c>
      <c r="AJ67" s="446">
        <f>+'1.Informe Seguimiento POA 2022'!P23+'1.Informe Seguimiento POA 2022'!R23+'1.Informe Seguimiento POA 2022'!T23+'1.Informe Seguimiento POA 2022'!V23</f>
        <v>0</v>
      </c>
      <c r="AK67" s="446">
        <f t="shared" si="91"/>
        <v>0</v>
      </c>
      <c r="AL67" s="448" t="str">
        <f t="shared" si="81"/>
        <v>No programado</v>
      </c>
      <c r="AM67" s="448" t="str">
        <f t="shared" si="101"/>
        <v>No programado</v>
      </c>
      <c r="AN67" s="448" t="str">
        <f>IF(AND(AF67&gt;0,$AK67&gt;0),AK67/$AF67,"No programado")</f>
        <v>No programado</v>
      </c>
      <c r="AO67" s="439" t="str">
        <f>+'Rango indicadores'!H32</f>
        <v>Mayor o igual A:</v>
      </c>
      <c r="AP67" s="434">
        <f>+'Rango indicadores'!I32</f>
        <v>95</v>
      </c>
      <c r="AQ67" s="434" t="str">
        <f>+'Rango indicadores'!J32</f>
        <v>Desde (&gt;):</v>
      </c>
      <c r="AR67" s="434">
        <f>+'Rango indicadores'!K32</f>
        <v>90</v>
      </c>
      <c r="AS67" s="434" t="str">
        <f>+'Rango indicadores'!L32</f>
        <v>Hasta (&lt;):</v>
      </c>
      <c r="AT67" s="434">
        <f>+'Rango indicadores'!M32</f>
        <v>95</v>
      </c>
      <c r="AU67" s="434" t="str">
        <f>+'Rango indicadores'!N32</f>
        <v>Menor o Igual A:</v>
      </c>
      <c r="AV67" s="878">
        <f>+'Rango indicadores'!O32</f>
        <v>90</v>
      </c>
      <c r="AW67" s="528" t="s">
        <v>1177</v>
      </c>
      <c r="AX67" s="589"/>
      <c r="AY67" s="589">
        <f t="shared" si="92"/>
        <v>0</v>
      </c>
      <c r="AZ67" s="589"/>
      <c r="BA67" s="447"/>
    </row>
    <row r="68" spans="2:53" ht="55.5" customHeight="1">
      <c r="B68" s="431">
        <f t="shared" si="97"/>
        <v>32</v>
      </c>
      <c r="C68" s="432" t="str">
        <f>+'Rango indicadores'!D33</f>
        <v>05-RI-12</v>
      </c>
      <c r="D68" s="432" t="str">
        <f>+'Rango indicadores'!E33</f>
        <v>Personas sensibilizadas en el Distrito Capital</v>
      </c>
      <c r="E68" s="446">
        <f>+'Rango indicadores'!Q33</f>
        <v>71570</v>
      </c>
      <c r="F68" s="446">
        <f>'1.Informe Seguimiento POA 2022'!O24</f>
        <v>10700</v>
      </c>
      <c r="G68" s="446">
        <f>'1.Informe Seguimiento POA 2022'!O24</f>
        <v>10700</v>
      </c>
      <c r="H68" s="446">
        <f>'1.Informe Seguimiento POA 2022'!P24</f>
        <v>16789</v>
      </c>
      <c r="I68" s="446">
        <f>'1.Informe Seguimiento POA 2022'!P24</f>
        <v>16789</v>
      </c>
      <c r="J68" s="446">
        <f t="shared" si="84"/>
        <v>16789</v>
      </c>
      <c r="K68" s="435">
        <f t="shared" si="75"/>
        <v>1.5690654205607477</v>
      </c>
      <c r="L68" s="435">
        <f t="shared" si="98"/>
        <v>1.5690654205607477</v>
      </c>
      <c r="M68" s="435">
        <f t="shared" si="76"/>
        <v>0.23458152857342462</v>
      </c>
      <c r="N68" s="446">
        <f t="shared" si="85"/>
        <v>71570</v>
      </c>
      <c r="O68" s="434">
        <f>+'1.Informe Seguimiento POA 2022'!Q24</f>
        <v>21400</v>
      </c>
      <c r="P68" s="446">
        <f t="shared" si="86"/>
        <v>32100</v>
      </c>
      <c r="Q68" s="434">
        <f>'1.Informe Seguimiento POA 2022'!R24</f>
        <v>27872</v>
      </c>
      <c r="R68" s="434">
        <f>+'1.Informe Seguimiento POA 2022'!P24+'1.Informe Seguimiento POA 2022'!R24</f>
        <v>44661</v>
      </c>
      <c r="S68" s="446">
        <f t="shared" si="87"/>
        <v>44661</v>
      </c>
      <c r="T68" s="435">
        <f t="shared" si="77"/>
        <v>1.3024299065420561</v>
      </c>
      <c r="U68" s="435">
        <f t="shared" si="99"/>
        <v>1.3913084112149532</v>
      </c>
      <c r="V68" s="435">
        <f t="shared" ref="V68:V76" si="102">IF(AND(N68&gt;0,$S68&gt;0),S68/$N68,0)</f>
        <v>0.62401844348190583</v>
      </c>
      <c r="W68" s="446">
        <f t="shared" si="88"/>
        <v>71570</v>
      </c>
      <c r="X68" s="434">
        <f>+'1.Informe Seguimiento POA 2022'!S24</f>
        <v>23550</v>
      </c>
      <c r="Y68" s="434">
        <f>+'1.Informe Seguimiento POA 2022'!O24+'1.Informe Seguimiento POA 2022'!Q24+'1.Informe Seguimiento POA 2022'!S24</f>
        <v>55650</v>
      </c>
      <c r="Z68" s="434">
        <f>+'1.Informe Seguimiento POA 2022'!T24</f>
        <v>22710</v>
      </c>
      <c r="AA68" s="434">
        <f>+'1.Informe Seguimiento POA 2022'!R24+'1.Informe Seguimiento POA 2022'!T24+'1.Informe Seguimiento POA 2022'!P24</f>
        <v>67371</v>
      </c>
      <c r="AB68" s="878">
        <f t="shared" si="89"/>
        <v>67371</v>
      </c>
      <c r="AC68" s="435">
        <f t="shared" si="79"/>
        <v>0.96433121019108281</v>
      </c>
      <c r="AD68" s="435">
        <f t="shared" si="100"/>
        <v>1.2106199460916443</v>
      </c>
      <c r="AE68" s="435">
        <f t="shared" ref="AE68:AE76" si="103">IF(AND(W68&gt;0,$AB68&gt;0),AB68/$W68,0)</f>
        <v>0.94133016627078381</v>
      </c>
      <c r="AF68" s="446">
        <f t="shared" si="90"/>
        <v>71570</v>
      </c>
      <c r="AG68" s="446">
        <f>+'1.Informe Seguimiento POA 2022'!U24</f>
        <v>15920</v>
      </c>
      <c r="AH68" s="446">
        <f>+'1.Informe Seguimiento POA 2022'!O24+'1.Informe Seguimiento POA 2022'!Q24+'1.Informe Seguimiento POA 2022'!S24+'1.Informe Seguimiento POA 2022'!U24</f>
        <v>71570</v>
      </c>
      <c r="AI68" s="446">
        <f>+'1.Informe Seguimiento POA 2022'!V24</f>
        <v>12229</v>
      </c>
      <c r="AJ68" s="446">
        <f>+'1.Informe Seguimiento POA 2022'!P24+'1.Informe Seguimiento POA 2022'!R24+'1.Informe Seguimiento POA 2022'!T24+'1.Informe Seguimiento POA 2022'!V24</f>
        <v>79600</v>
      </c>
      <c r="AK68" s="446">
        <f t="shared" si="91"/>
        <v>79600</v>
      </c>
      <c r="AL68" s="435">
        <f t="shared" si="81"/>
        <v>0.76815326633165826</v>
      </c>
      <c r="AM68" s="435">
        <f t="shared" si="101"/>
        <v>1.1121978482604442</v>
      </c>
      <c r="AN68" s="435">
        <f t="shared" ref="AN68:AN76" si="104">IF(AND(AF68&gt;0,$AK68&gt;0),AK68/$AF68,0)</f>
        <v>1.1121978482604442</v>
      </c>
      <c r="AO68" s="439" t="str">
        <f>+'Rango indicadores'!H33</f>
        <v>Mayor A:</v>
      </c>
      <c r="AP68" s="434">
        <f>+'Rango indicadores'!I33</f>
        <v>85</v>
      </c>
      <c r="AQ68" s="434" t="str">
        <f>+'Rango indicadores'!J33</f>
        <v>Desde (&gt;=):</v>
      </c>
      <c r="AR68" s="434">
        <f>+'Rango indicadores'!K33</f>
        <v>80</v>
      </c>
      <c r="AS68" s="434" t="str">
        <f>+'Rango indicadores'!L33</f>
        <v>Hasta (&lt;=):</v>
      </c>
      <c r="AT68" s="434">
        <f>+'Rango indicadores'!M33</f>
        <v>85</v>
      </c>
      <c r="AU68" s="434" t="str">
        <f>+'Rango indicadores'!N33</f>
        <v>Menor A:</v>
      </c>
      <c r="AV68" s="878">
        <f>+'Rango indicadores'!O33</f>
        <v>80</v>
      </c>
      <c r="AW68" s="523" t="s">
        <v>1174</v>
      </c>
      <c r="AX68" s="589"/>
      <c r="AY68" s="589">
        <f t="shared" si="92"/>
        <v>840</v>
      </c>
      <c r="AZ68" s="589">
        <f t="shared" si="92"/>
        <v>-11721</v>
      </c>
      <c r="BA68" s="447"/>
    </row>
    <row r="69" spans="2:53" ht="55.5" customHeight="1">
      <c r="B69" s="431">
        <f t="shared" si="97"/>
        <v>33</v>
      </c>
      <c r="C69" s="432" t="str">
        <f>+'Rango indicadores'!D34</f>
        <v>05-RI-13</v>
      </c>
      <c r="D69" s="432" t="str">
        <f>+'Rango indicadores'!E34</f>
        <v>Acciones en favor de las víctimas del conflicto armado interno adelantadas</v>
      </c>
      <c r="E69" s="446">
        <f>+'Rango indicadores'!Q34</f>
        <v>5480</v>
      </c>
      <c r="F69" s="446">
        <f>'1.Informe Seguimiento POA 2022'!O25</f>
        <v>920</v>
      </c>
      <c r="G69" s="446">
        <f>'1.Informe Seguimiento POA 2022'!O25</f>
        <v>920</v>
      </c>
      <c r="H69" s="446">
        <f>'1.Informe Seguimiento POA 2022'!P25</f>
        <v>2701</v>
      </c>
      <c r="I69" s="446">
        <f>'1.Informe Seguimiento POA 2022'!P25</f>
        <v>2701</v>
      </c>
      <c r="J69" s="446">
        <f t="shared" si="84"/>
        <v>2701</v>
      </c>
      <c r="K69" s="435">
        <f t="shared" si="75"/>
        <v>2.9358695652173914</v>
      </c>
      <c r="L69" s="435">
        <f t="shared" si="98"/>
        <v>2.9358695652173914</v>
      </c>
      <c r="M69" s="435">
        <f t="shared" si="76"/>
        <v>0.49288321167883209</v>
      </c>
      <c r="N69" s="446">
        <f t="shared" si="85"/>
        <v>5480</v>
      </c>
      <c r="O69" s="434">
        <f>+'1.Informe Seguimiento POA 2022'!Q25</f>
        <v>1760</v>
      </c>
      <c r="P69" s="446">
        <f t="shared" si="86"/>
        <v>2680</v>
      </c>
      <c r="Q69" s="434">
        <f>'1.Informe Seguimiento POA 2022'!R25</f>
        <v>2810</v>
      </c>
      <c r="R69" s="434">
        <f>+'1.Informe Seguimiento POA 2022'!P25+'1.Informe Seguimiento POA 2022'!R25</f>
        <v>5511</v>
      </c>
      <c r="S69" s="446">
        <f t="shared" si="87"/>
        <v>5511</v>
      </c>
      <c r="T69" s="435">
        <f t="shared" si="77"/>
        <v>1.5965909090909092</v>
      </c>
      <c r="U69" s="435">
        <f t="shared" si="99"/>
        <v>2.0563432835820894</v>
      </c>
      <c r="V69" s="435">
        <f t="shared" si="102"/>
        <v>1.0056569343065693</v>
      </c>
      <c r="W69" s="446">
        <f t="shared" si="88"/>
        <v>5480</v>
      </c>
      <c r="X69" s="434">
        <f>+'1.Informe Seguimiento POA 2022'!S25</f>
        <v>1680</v>
      </c>
      <c r="Y69" s="434">
        <f>+'1.Informe Seguimiento POA 2022'!O25+'1.Informe Seguimiento POA 2022'!Q25+'1.Informe Seguimiento POA 2022'!S25</f>
        <v>4360</v>
      </c>
      <c r="Z69" s="434">
        <f>+'1.Informe Seguimiento POA 2022'!T25</f>
        <v>2279</v>
      </c>
      <c r="AA69" s="434">
        <f>+'1.Informe Seguimiento POA 2022'!R25+'1.Informe Seguimiento POA 2022'!T25+'1.Informe Seguimiento POA 2022'!P25</f>
        <v>7790</v>
      </c>
      <c r="AB69" s="878">
        <f t="shared" si="89"/>
        <v>7790</v>
      </c>
      <c r="AC69" s="435">
        <f t="shared" si="79"/>
        <v>1.3565476190476191</v>
      </c>
      <c r="AD69" s="435">
        <f t="shared" si="100"/>
        <v>1.786697247706422</v>
      </c>
      <c r="AE69" s="435">
        <f t="shared" si="103"/>
        <v>1.4215328467153285</v>
      </c>
      <c r="AF69" s="446">
        <f t="shared" si="90"/>
        <v>5480</v>
      </c>
      <c r="AG69" s="446">
        <f>+'1.Informe Seguimiento POA 2022'!U25</f>
        <v>1120</v>
      </c>
      <c r="AH69" s="446">
        <f>+'1.Informe Seguimiento POA 2022'!O25+'1.Informe Seguimiento POA 2022'!Q25+'1.Informe Seguimiento POA 2022'!S25+'1.Informe Seguimiento POA 2022'!U25</f>
        <v>5480</v>
      </c>
      <c r="AI69" s="446">
        <f>+'1.Informe Seguimiento POA 2022'!V25</f>
        <v>2568</v>
      </c>
      <c r="AJ69" s="446">
        <f>+'1.Informe Seguimiento POA 2022'!P25+'1.Informe Seguimiento POA 2022'!R25+'1.Informe Seguimiento POA 2022'!T25+'1.Informe Seguimiento POA 2022'!V25</f>
        <v>10358</v>
      </c>
      <c r="AK69" s="446">
        <f t="shared" si="91"/>
        <v>10358</v>
      </c>
      <c r="AL69" s="435">
        <f t="shared" si="81"/>
        <v>2.2928571428571427</v>
      </c>
      <c r="AM69" s="435">
        <f t="shared" si="101"/>
        <v>1.8901459854014599</v>
      </c>
      <c r="AN69" s="435">
        <f t="shared" si="104"/>
        <v>1.8901459854014599</v>
      </c>
      <c r="AO69" s="439" t="str">
        <f>+'Rango indicadores'!H34</f>
        <v>Mayor A:</v>
      </c>
      <c r="AP69" s="434">
        <f>+'Rango indicadores'!I34</f>
        <v>85</v>
      </c>
      <c r="AQ69" s="434" t="str">
        <f>+'Rango indicadores'!J34</f>
        <v>Desde (&gt;=):</v>
      </c>
      <c r="AR69" s="434">
        <f>+'Rango indicadores'!K34</f>
        <v>80</v>
      </c>
      <c r="AS69" s="434" t="str">
        <f>+'Rango indicadores'!L34</f>
        <v>Hasta (&lt;=):</v>
      </c>
      <c r="AT69" s="434">
        <f>+'Rango indicadores'!M34</f>
        <v>85</v>
      </c>
      <c r="AU69" s="434" t="str">
        <f>+'Rango indicadores'!N34</f>
        <v>Menor A:</v>
      </c>
      <c r="AV69" s="878">
        <f>+'Rango indicadores'!O34</f>
        <v>80</v>
      </c>
      <c r="AW69" s="523" t="s">
        <v>1176</v>
      </c>
      <c r="AX69" s="589"/>
      <c r="AY69" s="589">
        <f t="shared" si="92"/>
        <v>-599</v>
      </c>
      <c r="AZ69" s="589">
        <f t="shared" si="92"/>
        <v>-3430</v>
      </c>
      <c r="BA69" s="447"/>
    </row>
    <row r="70" spans="2:53" ht="55.5" customHeight="1">
      <c r="B70" s="431">
        <f t="shared" si="97"/>
        <v>34</v>
      </c>
      <c r="C70" s="432" t="str">
        <f>+'Rango indicadores'!D35</f>
        <v>05-RI-14</v>
      </c>
      <c r="D70" s="432" t="str">
        <f>+'Rango indicadores'!E35</f>
        <v>Acciones constitucionales elaboradas para prevenir vulneración de derechos</v>
      </c>
      <c r="E70" s="446">
        <f>+'Rango indicadores'!Q35</f>
        <v>4790</v>
      </c>
      <c r="F70" s="446">
        <f>'1.Informe Seguimiento POA 2022'!O26</f>
        <v>1311</v>
      </c>
      <c r="G70" s="446">
        <f>'1.Informe Seguimiento POA 2022'!O26</f>
        <v>1311</v>
      </c>
      <c r="H70" s="446">
        <f>'1.Informe Seguimiento POA 2022'!P26</f>
        <v>1473</v>
      </c>
      <c r="I70" s="446">
        <f>'1.Informe Seguimiento POA 2022'!P26</f>
        <v>1473</v>
      </c>
      <c r="J70" s="446">
        <f t="shared" si="84"/>
        <v>1473</v>
      </c>
      <c r="K70" s="435">
        <f t="shared" si="75"/>
        <v>1.1235697940503433</v>
      </c>
      <c r="L70" s="435">
        <f t="shared" si="98"/>
        <v>1.1235697940503433</v>
      </c>
      <c r="M70" s="435">
        <f t="shared" si="76"/>
        <v>0.30751565762004174</v>
      </c>
      <c r="N70" s="446">
        <f t="shared" si="85"/>
        <v>4790</v>
      </c>
      <c r="O70" s="434">
        <f>+'1.Informe Seguimiento POA 2022'!Q26</f>
        <v>1674</v>
      </c>
      <c r="P70" s="446">
        <f t="shared" si="86"/>
        <v>2985</v>
      </c>
      <c r="Q70" s="434">
        <f>'1.Informe Seguimiento POA 2022'!R26</f>
        <v>1824</v>
      </c>
      <c r="R70" s="434">
        <f>+'1.Informe Seguimiento POA 2022'!P26+'1.Informe Seguimiento POA 2022'!R26</f>
        <v>3297</v>
      </c>
      <c r="S70" s="446">
        <f t="shared" si="87"/>
        <v>3297</v>
      </c>
      <c r="T70" s="435">
        <f t="shared" si="77"/>
        <v>1.0896057347670252</v>
      </c>
      <c r="U70" s="435">
        <f t="shared" si="99"/>
        <v>1.1045226130653267</v>
      </c>
      <c r="V70" s="435">
        <f t="shared" si="102"/>
        <v>0.68830897703549065</v>
      </c>
      <c r="W70" s="446">
        <f t="shared" si="88"/>
        <v>4790</v>
      </c>
      <c r="X70" s="434">
        <f>+'1.Informe Seguimiento POA 2022'!S26</f>
        <v>1107</v>
      </c>
      <c r="Y70" s="434">
        <f>+'1.Informe Seguimiento POA 2022'!O26+'1.Informe Seguimiento POA 2022'!Q26+'1.Informe Seguimiento POA 2022'!S26</f>
        <v>4092</v>
      </c>
      <c r="Z70" s="434">
        <f>+'1.Informe Seguimiento POA 2022'!T26</f>
        <v>2201</v>
      </c>
      <c r="AA70" s="434">
        <f>+'1.Informe Seguimiento POA 2022'!R26+'1.Informe Seguimiento POA 2022'!T26+'1.Informe Seguimiento POA 2022'!P26</f>
        <v>5498</v>
      </c>
      <c r="AB70" s="878">
        <f t="shared" si="89"/>
        <v>5498</v>
      </c>
      <c r="AC70" s="435">
        <f t="shared" si="79"/>
        <v>1.9882565492321589</v>
      </c>
      <c r="AD70" s="435">
        <f t="shared" si="100"/>
        <v>1.3435972629521016</v>
      </c>
      <c r="AE70" s="435">
        <f t="shared" si="103"/>
        <v>1.1478079331941544</v>
      </c>
      <c r="AF70" s="446">
        <f t="shared" si="90"/>
        <v>4790</v>
      </c>
      <c r="AG70" s="446">
        <f>+'1.Informe Seguimiento POA 2022'!U26</f>
        <v>698</v>
      </c>
      <c r="AH70" s="446">
        <f>+'1.Informe Seguimiento POA 2022'!O26+'1.Informe Seguimiento POA 2022'!Q26+'1.Informe Seguimiento POA 2022'!S26+'1.Informe Seguimiento POA 2022'!U26</f>
        <v>4790</v>
      </c>
      <c r="AI70" s="446">
        <f>+'1.Informe Seguimiento POA 2022'!V26</f>
        <v>2040</v>
      </c>
      <c r="AJ70" s="446">
        <f>+'1.Informe Seguimiento POA 2022'!P26+'1.Informe Seguimiento POA 2022'!R26+'1.Informe Seguimiento POA 2022'!T26+'1.Informe Seguimiento POA 2022'!V26</f>
        <v>7538</v>
      </c>
      <c r="AK70" s="446">
        <f t="shared" si="91"/>
        <v>7538</v>
      </c>
      <c r="AL70" s="435">
        <f t="shared" si="81"/>
        <v>2.9226361031518624</v>
      </c>
      <c r="AM70" s="435">
        <f t="shared" si="101"/>
        <v>1.5736951983298539</v>
      </c>
      <c r="AN70" s="435">
        <f t="shared" si="104"/>
        <v>1.5736951983298539</v>
      </c>
      <c r="AO70" s="439" t="str">
        <f>+'Rango indicadores'!H35</f>
        <v>Mayor A:</v>
      </c>
      <c r="AP70" s="434">
        <f>+'Rango indicadores'!I35</f>
        <v>85</v>
      </c>
      <c r="AQ70" s="434" t="str">
        <f>+'Rango indicadores'!J35</f>
        <v>Desde (&gt;=):</v>
      </c>
      <c r="AR70" s="434">
        <f>+'Rango indicadores'!K35</f>
        <v>80</v>
      </c>
      <c r="AS70" s="434" t="str">
        <f>+'Rango indicadores'!L35</f>
        <v>Hasta (&lt;=):</v>
      </c>
      <c r="AT70" s="434">
        <f>+'Rango indicadores'!M35</f>
        <v>85</v>
      </c>
      <c r="AU70" s="434" t="str">
        <f>+'Rango indicadores'!N35</f>
        <v>Menor A:</v>
      </c>
      <c r="AV70" s="878">
        <f>+'Rango indicadores'!O35</f>
        <v>80</v>
      </c>
      <c r="AW70" s="523" t="s">
        <v>1176</v>
      </c>
      <c r="AX70" s="589"/>
      <c r="AY70" s="589">
        <f t="shared" si="92"/>
        <v>-1094</v>
      </c>
      <c r="AZ70" s="589">
        <f t="shared" si="92"/>
        <v>-1406</v>
      </c>
      <c r="BA70" s="447"/>
    </row>
    <row r="71" spans="2:53" ht="55.5" customHeight="1">
      <c r="B71" s="431">
        <f t="shared" si="97"/>
        <v>35</v>
      </c>
      <c r="C71" s="432" t="str">
        <f>+'Rango indicadores'!D36</f>
        <v>05-RI-15</v>
      </c>
      <c r="D71" s="432" t="str">
        <f>+'Rango indicadores'!E36</f>
        <v>Verificaciones de cumplimiento realizadas por el Ministerio Público a las medidas de protección impuestas por las Comisarías de Familia</v>
      </c>
      <c r="E71" s="446">
        <f>+'Rango indicadores'!Q36</f>
        <v>800</v>
      </c>
      <c r="F71" s="446">
        <f>'1.Informe Seguimiento POA 2022'!O27</f>
        <v>140</v>
      </c>
      <c r="G71" s="446">
        <f>'1.Informe Seguimiento POA 2022'!O27</f>
        <v>140</v>
      </c>
      <c r="H71" s="446">
        <f>'1.Informe Seguimiento POA 2022'!P27</f>
        <v>53</v>
      </c>
      <c r="I71" s="446">
        <f>'1.Informe Seguimiento POA 2022'!P27</f>
        <v>53</v>
      </c>
      <c r="J71" s="446">
        <f t="shared" si="84"/>
        <v>53</v>
      </c>
      <c r="K71" s="435">
        <f t="shared" si="75"/>
        <v>0.37857142857142856</v>
      </c>
      <c r="L71" s="435">
        <f t="shared" si="98"/>
        <v>0.37857142857142856</v>
      </c>
      <c r="M71" s="435">
        <f t="shared" si="76"/>
        <v>6.6250000000000003E-2</v>
      </c>
      <c r="N71" s="446">
        <f t="shared" si="85"/>
        <v>800</v>
      </c>
      <c r="O71" s="434">
        <f>+'1.Informe Seguimiento POA 2022'!Q27</f>
        <v>270</v>
      </c>
      <c r="P71" s="446">
        <f t="shared" si="86"/>
        <v>410</v>
      </c>
      <c r="Q71" s="434">
        <f>'1.Informe Seguimiento POA 2022'!R27</f>
        <v>144</v>
      </c>
      <c r="R71" s="434">
        <f>+'1.Informe Seguimiento POA 2022'!P27+'1.Informe Seguimiento POA 2022'!R27</f>
        <v>197</v>
      </c>
      <c r="S71" s="446">
        <f t="shared" si="87"/>
        <v>197</v>
      </c>
      <c r="T71" s="435">
        <f t="shared" si="77"/>
        <v>0.53333333333333333</v>
      </c>
      <c r="U71" s="435">
        <f t="shared" si="99"/>
        <v>0.48048780487804876</v>
      </c>
      <c r="V71" s="435">
        <f t="shared" si="102"/>
        <v>0.24625</v>
      </c>
      <c r="W71" s="446">
        <f t="shared" si="88"/>
        <v>800</v>
      </c>
      <c r="X71" s="434">
        <f>+'1.Informe Seguimiento POA 2022'!S27</f>
        <v>240</v>
      </c>
      <c r="Y71" s="434">
        <f>+'1.Informe Seguimiento POA 2022'!O27+'1.Informe Seguimiento POA 2022'!Q27+'1.Informe Seguimiento POA 2022'!S27</f>
        <v>650</v>
      </c>
      <c r="Z71" s="434">
        <f>+'1.Informe Seguimiento POA 2022'!T27</f>
        <v>485</v>
      </c>
      <c r="AA71" s="434">
        <f>+'1.Informe Seguimiento POA 2022'!R27+'1.Informe Seguimiento POA 2022'!T27+'1.Informe Seguimiento POA 2022'!P27</f>
        <v>682</v>
      </c>
      <c r="AB71" s="878">
        <f t="shared" si="89"/>
        <v>682</v>
      </c>
      <c r="AC71" s="435">
        <f t="shared" si="79"/>
        <v>2.0208333333333335</v>
      </c>
      <c r="AD71" s="435">
        <f t="shared" si="100"/>
        <v>1.0492307692307692</v>
      </c>
      <c r="AE71" s="435">
        <f t="shared" si="103"/>
        <v>0.85250000000000004</v>
      </c>
      <c r="AF71" s="446">
        <f t="shared" si="90"/>
        <v>800</v>
      </c>
      <c r="AG71" s="446">
        <f>+'1.Informe Seguimiento POA 2022'!U27</f>
        <v>150</v>
      </c>
      <c r="AH71" s="446">
        <f>+'1.Informe Seguimiento POA 2022'!O27+'1.Informe Seguimiento POA 2022'!Q27+'1.Informe Seguimiento POA 2022'!S27+'1.Informe Seguimiento POA 2022'!U27</f>
        <v>800</v>
      </c>
      <c r="AI71" s="446">
        <f>+'1.Informe Seguimiento POA 2022'!V27</f>
        <v>248</v>
      </c>
      <c r="AJ71" s="446">
        <f>+'1.Informe Seguimiento POA 2022'!P27+'1.Informe Seguimiento POA 2022'!R27+'1.Informe Seguimiento POA 2022'!T27+'1.Informe Seguimiento POA 2022'!V27</f>
        <v>930</v>
      </c>
      <c r="AK71" s="446">
        <f t="shared" si="91"/>
        <v>930</v>
      </c>
      <c r="AL71" s="435">
        <f t="shared" si="81"/>
        <v>1.6533333333333333</v>
      </c>
      <c r="AM71" s="435">
        <f t="shared" si="101"/>
        <v>1.1625000000000001</v>
      </c>
      <c r="AN71" s="435">
        <f t="shared" si="104"/>
        <v>1.1625000000000001</v>
      </c>
      <c r="AO71" s="439" t="str">
        <f>+'Rango indicadores'!H36</f>
        <v>Mayor A:</v>
      </c>
      <c r="AP71" s="434">
        <f>+'Rango indicadores'!I36</f>
        <v>85</v>
      </c>
      <c r="AQ71" s="434" t="str">
        <f>+'Rango indicadores'!J36</f>
        <v>Desde (&gt;=):</v>
      </c>
      <c r="AR71" s="434">
        <f>+'Rango indicadores'!K36</f>
        <v>80</v>
      </c>
      <c r="AS71" s="434" t="str">
        <f>+'Rango indicadores'!L36</f>
        <v>Hasta (&lt;=):</v>
      </c>
      <c r="AT71" s="434">
        <f>+'Rango indicadores'!M36</f>
        <v>85</v>
      </c>
      <c r="AU71" s="434" t="str">
        <f>+'Rango indicadores'!N36</f>
        <v>Menor A:</v>
      </c>
      <c r="AV71" s="878">
        <f>+'Rango indicadores'!O36</f>
        <v>80</v>
      </c>
      <c r="AW71" s="523" t="s">
        <v>1176</v>
      </c>
      <c r="AX71" s="589"/>
      <c r="AY71" s="589">
        <f t="shared" si="92"/>
        <v>-245</v>
      </c>
      <c r="AZ71" s="589">
        <f t="shared" si="92"/>
        <v>-32</v>
      </c>
      <c r="BA71" s="447"/>
    </row>
    <row r="72" spans="2:53" ht="55.5" customHeight="1">
      <c r="B72" s="431">
        <f t="shared" si="97"/>
        <v>36</v>
      </c>
      <c r="C72" s="432" t="str">
        <f>+'Rango indicadores'!D37</f>
        <v>05-RI-16</v>
      </c>
      <c r="D72" s="432" t="str">
        <f>+'Rango indicadores'!E37</f>
        <v>Espacios Interinstitucionales con participación</v>
      </c>
      <c r="E72" s="446">
        <f>+'Rango indicadores'!Q37</f>
        <v>2771</v>
      </c>
      <c r="F72" s="446">
        <f>'1.Informe Seguimiento POA 2022'!O28</f>
        <v>678</v>
      </c>
      <c r="G72" s="446">
        <f>'1.Informe Seguimiento POA 2022'!O28</f>
        <v>678</v>
      </c>
      <c r="H72" s="446">
        <f>'1.Informe Seguimiento POA 2022'!P28</f>
        <v>602</v>
      </c>
      <c r="I72" s="446">
        <f>'1.Informe Seguimiento POA 2022'!P28</f>
        <v>602</v>
      </c>
      <c r="J72" s="446">
        <f t="shared" si="84"/>
        <v>602</v>
      </c>
      <c r="K72" s="435">
        <f t="shared" si="75"/>
        <v>0.88790560471976399</v>
      </c>
      <c r="L72" s="435">
        <f t="shared" si="98"/>
        <v>0.88790560471976399</v>
      </c>
      <c r="M72" s="435">
        <f t="shared" si="76"/>
        <v>0.21725009022013714</v>
      </c>
      <c r="N72" s="446">
        <f t="shared" si="85"/>
        <v>2771</v>
      </c>
      <c r="O72" s="434">
        <f>+'1.Informe Seguimiento POA 2022'!Q28</f>
        <v>702</v>
      </c>
      <c r="P72" s="446">
        <f t="shared" si="86"/>
        <v>1380</v>
      </c>
      <c r="Q72" s="434">
        <f>'1.Informe Seguimiento POA 2022'!R28</f>
        <v>847</v>
      </c>
      <c r="R72" s="434">
        <f>+'1.Informe Seguimiento POA 2022'!P28+'1.Informe Seguimiento POA 2022'!R28</f>
        <v>1449</v>
      </c>
      <c r="S72" s="446">
        <f t="shared" si="87"/>
        <v>1449</v>
      </c>
      <c r="T72" s="435">
        <f t="shared" si="77"/>
        <v>1.2065527065527066</v>
      </c>
      <c r="U72" s="435">
        <f t="shared" si="99"/>
        <v>1.05</v>
      </c>
      <c r="V72" s="435">
        <f t="shared" si="102"/>
        <v>0.52291591483219058</v>
      </c>
      <c r="W72" s="446">
        <f t="shared" si="88"/>
        <v>2771</v>
      </c>
      <c r="X72" s="434">
        <f>+'1.Informe Seguimiento POA 2022'!S28</f>
        <v>703</v>
      </c>
      <c r="Y72" s="434">
        <f>+'1.Informe Seguimiento POA 2022'!O28+'1.Informe Seguimiento POA 2022'!Q28+'1.Informe Seguimiento POA 2022'!S28</f>
        <v>2083</v>
      </c>
      <c r="Z72" s="434">
        <f>+'1.Informe Seguimiento POA 2022'!T28</f>
        <v>810</v>
      </c>
      <c r="AA72" s="434">
        <f>+'1.Informe Seguimiento POA 2022'!R28+'1.Informe Seguimiento POA 2022'!T28+'1.Informe Seguimiento POA 2022'!P28</f>
        <v>2259</v>
      </c>
      <c r="AB72" s="878">
        <f t="shared" si="89"/>
        <v>2259</v>
      </c>
      <c r="AC72" s="435">
        <f t="shared" si="79"/>
        <v>1.1522048364153628</v>
      </c>
      <c r="AD72" s="435">
        <f t="shared" si="100"/>
        <v>1.084493518963034</v>
      </c>
      <c r="AE72" s="435">
        <f t="shared" si="103"/>
        <v>0.81522915914832195</v>
      </c>
      <c r="AF72" s="446">
        <f t="shared" si="90"/>
        <v>2771</v>
      </c>
      <c r="AG72" s="446">
        <f>+'1.Informe Seguimiento POA 2022'!U28</f>
        <v>688</v>
      </c>
      <c r="AH72" s="446">
        <f>+'1.Informe Seguimiento POA 2022'!O28+'1.Informe Seguimiento POA 2022'!Q28+'1.Informe Seguimiento POA 2022'!S28+'1.Informe Seguimiento POA 2022'!U28</f>
        <v>2771</v>
      </c>
      <c r="AI72" s="446">
        <f>+'1.Informe Seguimiento POA 2022'!V28</f>
        <v>811</v>
      </c>
      <c r="AJ72" s="446">
        <f>+'1.Informe Seguimiento POA 2022'!P28+'1.Informe Seguimiento POA 2022'!R28+'1.Informe Seguimiento POA 2022'!T28+'1.Informe Seguimiento POA 2022'!V28</f>
        <v>3070</v>
      </c>
      <c r="AK72" s="446">
        <f t="shared" si="91"/>
        <v>3070</v>
      </c>
      <c r="AL72" s="435">
        <f t="shared" si="81"/>
        <v>1.1787790697674418</v>
      </c>
      <c r="AM72" s="435">
        <f t="shared" si="101"/>
        <v>1.1079032840129917</v>
      </c>
      <c r="AN72" s="435">
        <f t="shared" si="104"/>
        <v>1.1079032840129917</v>
      </c>
      <c r="AO72" s="439" t="str">
        <f>+'Rango indicadores'!H37</f>
        <v>Mayor A:</v>
      </c>
      <c r="AP72" s="434">
        <f>+'Rango indicadores'!I37</f>
        <v>85</v>
      </c>
      <c r="AQ72" s="434" t="str">
        <f>+'Rango indicadores'!J37</f>
        <v>Desde (&gt;=):</v>
      </c>
      <c r="AR72" s="434">
        <f>+'Rango indicadores'!K37</f>
        <v>80</v>
      </c>
      <c r="AS72" s="434" t="str">
        <f>+'Rango indicadores'!L37</f>
        <v>Hasta (&lt;=):</v>
      </c>
      <c r="AT72" s="434">
        <f>+'Rango indicadores'!M37</f>
        <v>85</v>
      </c>
      <c r="AU72" s="434" t="str">
        <f>+'Rango indicadores'!N37</f>
        <v>Menor A:</v>
      </c>
      <c r="AV72" s="878">
        <f>+'Rango indicadores'!O37</f>
        <v>80</v>
      </c>
      <c r="AW72" s="523" t="s">
        <v>1176</v>
      </c>
      <c r="AX72" s="589"/>
      <c r="AY72" s="589">
        <f t="shared" si="92"/>
        <v>-107</v>
      </c>
      <c r="AZ72" s="589">
        <f t="shared" si="92"/>
        <v>-176</v>
      </c>
      <c r="BA72" s="447"/>
    </row>
    <row r="73" spans="2:53" ht="55.5" customHeight="1">
      <c r="B73" s="431">
        <f t="shared" si="97"/>
        <v>37</v>
      </c>
      <c r="C73" s="432" t="str">
        <f>+'Rango indicadores'!D38</f>
        <v>05-RI-17</v>
      </c>
      <c r="D73" s="432" t="str">
        <f>+'Rango indicadores'!E38</f>
        <v>Seguimientos a la Amenaza y Vulneración de los Derechos Realizados</v>
      </c>
      <c r="E73" s="446">
        <f>+'Rango indicadores'!Q38</f>
        <v>208</v>
      </c>
      <c r="F73" s="446">
        <f>'1.Informe Seguimiento POA 2022'!O29</f>
        <v>45</v>
      </c>
      <c r="G73" s="446">
        <f>'1.Informe Seguimiento POA 2022'!O29</f>
        <v>45</v>
      </c>
      <c r="H73" s="446">
        <f>'1.Informe Seguimiento POA 2022'!P29</f>
        <v>88</v>
      </c>
      <c r="I73" s="446">
        <f>'1.Informe Seguimiento POA 2022'!P29</f>
        <v>88</v>
      </c>
      <c r="J73" s="446">
        <f t="shared" si="84"/>
        <v>88</v>
      </c>
      <c r="K73" s="435">
        <f t="shared" si="75"/>
        <v>1.9555555555555555</v>
      </c>
      <c r="L73" s="435">
        <f t="shared" si="98"/>
        <v>1.9555555555555555</v>
      </c>
      <c r="M73" s="435">
        <f t="shared" si="76"/>
        <v>0.42307692307692307</v>
      </c>
      <c r="N73" s="446">
        <f t="shared" si="85"/>
        <v>208</v>
      </c>
      <c r="O73" s="434">
        <f>+'1.Informe Seguimiento POA 2022'!Q29</f>
        <v>64</v>
      </c>
      <c r="P73" s="446">
        <f t="shared" si="86"/>
        <v>109</v>
      </c>
      <c r="Q73" s="434">
        <f>'1.Informe Seguimiento POA 2022'!R29</f>
        <v>94</v>
      </c>
      <c r="R73" s="434">
        <f>+'1.Informe Seguimiento POA 2022'!P29+'1.Informe Seguimiento POA 2022'!R29</f>
        <v>182</v>
      </c>
      <c r="S73" s="446">
        <f t="shared" si="87"/>
        <v>182</v>
      </c>
      <c r="T73" s="435">
        <f t="shared" si="77"/>
        <v>1.46875</v>
      </c>
      <c r="U73" s="435">
        <f t="shared" si="99"/>
        <v>1.6697247706422018</v>
      </c>
      <c r="V73" s="435">
        <f t="shared" si="102"/>
        <v>0.875</v>
      </c>
      <c r="W73" s="446">
        <f t="shared" si="88"/>
        <v>208</v>
      </c>
      <c r="X73" s="434">
        <f>+'1.Informe Seguimiento POA 2022'!S29</f>
        <v>57</v>
      </c>
      <c r="Y73" s="434">
        <f>+'1.Informe Seguimiento POA 2022'!O29+'1.Informe Seguimiento POA 2022'!Q29+'1.Informe Seguimiento POA 2022'!S29</f>
        <v>166</v>
      </c>
      <c r="Z73" s="434">
        <f>+'1.Informe Seguimiento POA 2022'!T29</f>
        <v>87</v>
      </c>
      <c r="AA73" s="434">
        <f>+'1.Informe Seguimiento POA 2022'!R29+'1.Informe Seguimiento POA 2022'!T29+'1.Informe Seguimiento POA 2022'!P29</f>
        <v>269</v>
      </c>
      <c r="AB73" s="878">
        <f t="shared" si="89"/>
        <v>269</v>
      </c>
      <c r="AC73" s="435">
        <f t="shared" si="79"/>
        <v>1.5263157894736843</v>
      </c>
      <c r="AD73" s="435">
        <f t="shared" si="100"/>
        <v>1.6204819277108433</v>
      </c>
      <c r="AE73" s="435">
        <f t="shared" si="103"/>
        <v>1.2932692307692308</v>
      </c>
      <c r="AF73" s="446">
        <f t="shared" si="90"/>
        <v>208</v>
      </c>
      <c r="AG73" s="446">
        <f>+'1.Informe Seguimiento POA 2022'!U29</f>
        <v>42</v>
      </c>
      <c r="AH73" s="446">
        <f>+'1.Informe Seguimiento POA 2022'!O29+'1.Informe Seguimiento POA 2022'!Q29+'1.Informe Seguimiento POA 2022'!S29+'1.Informe Seguimiento POA 2022'!U29</f>
        <v>208</v>
      </c>
      <c r="AI73" s="446">
        <f>+'1.Informe Seguimiento POA 2022'!V29</f>
        <v>80</v>
      </c>
      <c r="AJ73" s="446">
        <f>+'1.Informe Seguimiento POA 2022'!P29+'1.Informe Seguimiento POA 2022'!R29+'1.Informe Seguimiento POA 2022'!T29+'1.Informe Seguimiento POA 2022'!V29</f>
        <v>349</v>
      </c>
      <c r="AK73" s="446">
        <f t="shared" si="91"/>
        <v>349</v>
      </c>
      <c r="AL73" s="435">
        <f t="shared" si="81"/>
        <v>1.9047619047619047</v>
      </c>
      <c r="AM73" s="435">
        <f t="shared" si="101"/>
        <v>1.6778846153846154</v>
      </c>
      <c r="AN73" s="435">
        <f t="shared" si="104"/>
        <v>1.6778846153846154</v>
      </c>
      <c r="AO73" s="439" t="str">
        <f>+'Rango indicadores'!H38</f>
        <v>Mayor A:</v>
      </c>
      <c r="AP73" s="434">
        <f>+'Rango indicadores'!I38</f>
        <v>85</v>
      </c>
      <c r="AQ73" s="434" t="str">
        <f>+'Rango indicadores'!J38</f>
        <v>Desde (&gt;=):</v>
      </c>
      <c r="AR73" s="434">
        <f>+'Rango indicadores'!K38</f>
        <v>80</v>
      </c>
      <c r="AS73" s="434" t="str">
        <f>+'Rango indicadores'!L38</f>
        <v>Hasta (&lt;=):</v>
      </c>
      <c r="AT73" s="434">
        <f>+'Rango indicadores'!M38</f>
        <v>85</v>
      </c>
      <c r="AU73" s="434" t="str">
        <f>+'Rango indicadores'!N38</f>
        <v>Menor A:</v>
      </c>
      <c r="AV73" s="878">
        <f>+'Rango indicadores'!O38</f>
        <v>80</v>
      </c>
      <c r="AW73" s="523" t="s">
        <v>1176</v>
      </c>
      <c r="AX73" s="589"/>
      <c r="AY73" s="589">
        <f t="shared" si="92"/>
        <v>-30</v>
      </c>
      <c r="AZ73" s="589">
        <f t="shared" si="92"/>
        <v>-103</v>
      </c>
      <c r="BA73" s="447"/>
    </row>
    <row r="74" spans="2:53" ht="55.5" customHeight="1">
      <c r="B74" s="431">
        <f t="shared" si="97"/>
        <v>38</v>
      </c>
      <c r="C74" s="432" t="str">
        <f>+'Rango indicadores'!D39</f>
        <v>05-RI-18</v>
      </c>
      <c r="D74" s="432" t="str">
        <f>+'Rango indicadores'!E39</f>
        <v>Actividades de acercamiento de la Entidad a la comunidad realizadas</v>
      </c>
      <c r="E74" s="446">
        <f>+'Rango indicadores'!Q39</f>
        <v>8</v>
      </c>
      <c r="F74" s="446">
        <f>'1.Informe Seguimiento POA 2022'!O30</f>
        <v>0</v>
      </c>
      <c r="G74" s="446">
        <f>'1.Informe Seguimiento POA 2022'!O30</f>
        <v>0</v>
      </c>
      <c r="H74" s="446">
        <f>'1.Informe Seguimiento POA 2022'!P30</f>
        <v>0.2</v>
      </c>
      <c r="I74" s="446">
        <f>'1.Informe Seguimiento POA 2022'!P30</f>
        <v>0.2</v>
      </c>
      <c r="J74" s="446">
        <f t="shared" si="84"/>
        <v>0.2</v>
      </c>
      <c r="K74" s="448" t="str">
        <f t="shared" si="75"/>
        <v>No programado</v>
      </c>
      <c r="L74" s="448" t="str">
        <f t="shared" si="98"/>
        <v>No programado</v>
      </c>
      <c r="M74" s="435">
        <f t="shared" si="76"/>
        <v>2.5000000000000001E-2</v>
      </c>
      <c r="N74" s="446">
        <f t="shared" si="85"/>
        <v>8</v>
      </c>
      <c r="O74" s="434">
        <f>+'1.Informe Seguimiento POA 2022'!Q30</f>
        <v>2</v>
      </c>
      <c r="P74" s="446">
        <f t="shared" si="86"/>
        <v>2</v>
      </c>
      <c r="Q74" s="434">
        <f>'1.Informe Seguimiento POA 2022'!R30</f>
        <v>1.8000000000000003</v>
      </c>
      <c r="R74" s="434">
        <f>+'1.Informe Seguimiento POA 2022'!P30+'1.Informe Seguimiento POA 2022'!R30</f>
        <v>2.0000000000000004</v>
      </c>
      <c r="S74" s="446">
        <f t="shared" si="87"/>
        <v>2.0000000000000004</v>
      </c>
      <c r="T74" s="448">
        <f t="shared" si="77"/>
        <v>0.90000000000000013</v>
      </c>
      <c r="U74" s="448">
        <f t="shared" si="99"/>
        <v>1.0000000000000002</v>
      </c>
      <c r="V74" s="435">
        <f t="shared" si="102"/>
        <v>0.25000000000000006</v>
      </c>
      <c r="W74" s="446">
        <f t="shared" si="88"/>
        <v>8</v>
      </c>
      <c r="X74" s="434">
        <f>+'1.Informe Seguimiento POA 2022'!S30</f>
        <v>5</v>
      </c>
      <c r="Y74" s="434">
        <f>+'1.Informe Seguimiento POA 2022'!O30+'1.Informe Seguimiento POA 2022'!Q30+'1.Informe Seguimiento POA 2022'!S30</f>
        <v>7</v>
      </c>
      <c r="Z74" s="434">
        <f>+'1.Informe Seguimiento POA 2022'!T30</f>
        <v>2.6</v>
      </c>
      <c r="AA74" s="434">
        <f>+'1.Informe Seguimiento POA 2022'!R30+'1.Informe Seguimiento POA 2022'!T30+'1.Informe Seguimiento POA 2022'!P30</f>
        <v>4.6000000000000005</v>
      </c>
      <c r="AB74" s="878">
        <f t="shared" si="89"/>
        <v>4.6000000000000005</v>
      </c>
      <c r="AC74" s="448">
        <f t="shared" si="79"/>
        <v>0.52</v>
      </c>
      <c r="AD74" s="448">
        <f t="shared" si="100"/>
        <v>0.65714285714285725</v>
      </c>
      <c r="AE74" s="435">
        <f t="shared" si="103"/>
        <v>0.57500000000000007</v>
      </c>
      <c r="AF74" s="446">
        <f t="shared" si="90"/>
        <v>8</v>
      </c>
      <c r="AG74" s="446">
        <f>+'1.Informe Seguimiento POA 2022'!U30</f>
        <v>1</v>
      </c>
      <c r="AH74" s="446">
        <f>+'1.Informe Seguimiento POA 2022'!O30+'1.Informe Seguimiento POA 2022'!Q30+'1.Informe Seguimiento POA 2022'!S30+'1.Informe Seguimiento POA 2022'!U30</f>
        <v>8</v>
      </c>
      <c r="AI74" s="446">
        <f>+'1.Informe Seguimiento POA 2022'!V30</f>
        <v>3.4</v>
      </c>
      <c r="AJ74" s="446">
        <f>+'1.Informe Seguimiento POA 2022'!P30+'1.Informe Seguimiento POA 2022'!R30+'1.Informe Seguimiento POA 2022'!T30+'1.Informe Seguimiento POA 2022'!V30</f>
        <v>8</v>
      </c>
      <c r="AK74" s="446">
        <f t="shared" si="91"/>
        <v>8</v>
      </c>
      <c r="AL74" s="448">
        <f t="shared" si="81"/>
        <v>3.4</v>
      </c>
      <c r="AM74" s="448">
        <f t="shared" si="101"/>
        <v>1</v>
      </c>
      <c r="AN74" s="435">
        <f t="shared" si="104"/>
        <v>1</v>
      </c>
      <c r="AO74" s="439" t="str">
        <f>+'Rango indicadores'!H39</f>
        <v>Mayor A:</v>
      </c>
      <c r="AP74" s="434">
        <f>+'Rango indicadores'!I39</f>
        <v>85</v>
      </c>
      <c r="AQ74" s="434" t="str">
        <f>+'Rango indicadores'!J39</f>
        <v>Desde (&gt;=):</v>
      </c>
      <c r="AR74" s="434">
        <f>+'Rango indicadores'!K39</f>
        <v>80</v>
      </c>
      <c r="AS74" s="434" t="str">
        <f>+'Rango indicadores'!L39</f>
        <v>Hasta (&lt;=):</v>
      </c>
      <c r="AT74" s="434">
        <f>+'Rango indicadores'!M39</f>
        <v>85</v>
      </c>
      <c r="AU74" s="434" t="str">
        <f>+'Rango indicadores'!N39</f>
        <v>Menor A:</v>
      </c>
      <c r="AV74" s="878">
        <f>+'Rango indicadores'!O39</f>
        <v>80</v>
      </c>
      <c r="AW74" s="523" t="s">
        <v>1174</v>
      </c>
      <c r="AX74" s="589"/>
      <c r="AY74" s="589">
        <f t="shared" si="92"/>
        <v>2.4</v>
      </c>
      <c r="AZ74" s="589">
        <f t="shared" si="92"/>
        <v>2.3999999999999995</v>
      </c>
      <c r="BA74" s="447"/>
    </row>
    <row r="75" spans="2:53" ht="55.5" customHeight="1">
      <c r="B75" s="431">
        <f t="shared" si="97"/>
        <v>39</v>
      </c>
      <c r="C75" s="432" t="str">
        <f>+'Rango indicadores'!D40</f>
        <v>05-RI-19</v>
      </c>
      <c r="D75" s="432" t="str">
        <f>+'Rango indicadores'!E40</f>
        <v>Acciones realizadas para incrementar la cobertura de los servicios</v>
      </c>
      <c r="E75" s="446">
        <f>+'Rango indicadores'!Q40</f>
        <v>3</v>
      </c>
      <c r="F75" s="446">
        <f>'1.Informe Seguimiento POA 2022'!O31</f>
        <v>0</v>
      </c>
      <c r="G75" s="446">
        <f>'1.Informe Seguimiento POA 2022'!O31</f>
        <v>0</v>
      </c>
      <c r="H75" s="446">
        <f>'1.Informe Seguimiento POA 2022'!P31</f>
        <v>0</v>
      </c>
      <c r="I75" s="446">
        <f>'1.Informe Seguimiento POA 2022'!P31</f>
        <v>0</v>
      </c>
      <c r="J75" s="446">
        <f t="shared" si="84"/>
        <v>0</v>
      </c>
      <c r="K75" s="448" t="str">
        <f t="shared" si="75"/>
        <v>No programado</v>
      </c>
      <c r="L75" s="448" t="str">
        <f t="shared" si="98"/>
        <v>No programado</v>
      </c>
      <c r="M75" s="435">
        <f t="shared" si="76"/>
        <v>0</v>
      </c>
      <c r="N75" s="446">
        <f t="shared" si="85"/>
        <v>3</v>
      </c>
      <c r="O75" s="434">
        <f>+'1.Informe Seguimiento POA 2022'!Q31</f>
        <v>0</v>
      </c>
      <c r="P75" s="446">
        <f t="shared" si="86"/>
        <v>0</v>
      </c>
      <c r="Q75" s="434">
        <f>'1.Informe Seguimiento POA 2022'!R31</f>
        <v>0</v>
      </c>
      <c r="R75" s="434">
        <f>+'1.Informe Seguimiento POA 2022'!P31+'1.Informe Seguimiento POA 2022'!R31</f>
        <v>0</v>
      </c>
      <c r="S75" s="446">
        <f t="shared" si="87"/>
        <v>0</v>
      </c>
      <c r="T75" s="448" t="str">
        <f t="shared" si="77"/>
        <v>No programado</v>
      </c>
      <c r="U75" s="448" t="str">
        <f t="shared" si="99"/>
        <v>No programado</v>
      </c>
      <c r="V75" s="435">
        <f t="shared" si="102"/>
        <v>0</v>
      </c>
      <c r="W75" s="446">
        <f t="shared" si="88"/>
        <v>3</v>
      </c>
      <c r="X75" s="434">
        <f>+'1.Informe Seguimiento POA 2022'!S31</f>
        <v>3</v>
      </c>
      <c r="Y75" s="434">
        <f>+'1.Informe Seguimiento POA 2022'!O31+'1.Informe Seguimiento POA 2022'!Q31+'1.Informe Seguimiento POA 2022'!S31</f>
        <v>3</v>
      </c>
      <c r="Z75" s="434">
        <f>+'1.Informe Seguimiento POA 2022'!T31</f>
        <v>1</v>
      </c>
      <c r="AA75" s="434">
        <f>+'1.Informe Seguimiento POA 2022'!R31+'1.Informe Seguimiento POA 2022'!T31+'1.Informe Seguimiento POA 2022'!P31</f>
        <v>1</v>
      </c>
      <c r="AB75" s="878">
        <f t="shared" si="89"/>
        <v>1</v>
      </c>
      <c r="AC75" s="448">
        <f t="shared" si="79"/>
        <v>0.33333333333333331</v>
      </c>
      <c r="AD75" s="448">
        <f t="shared" si="100"/>
        <v>0.33333333333333331</v>
      </c>
      <c r="AE75" s="435">
        <f t="shared" si="103"/>
        <v>0.33333333333333331</v>
      </c>
      <c r="AF75" s="446">
        <f t="shared" si="90"/>
        <v>3</v>
      </c>
      <c r="AG75" s="446">
        <f>+'1.Informe Seguimiento POA 2022'!U31</f>
        <v>0</v>
      </c>
      <c r="AH75" s="446">
        <f>+'1.Informe Seguimiento POA 2022'!O31+'1.Informe Seguimiento POA 2022'!Q31+'1.Informe Seguimiento POA 2022'!S31+'1.Informe Seguimiento POA 2022'!U31</f>
        <v>3</v>
      </c>
      <c r="AI75" s="446">
        <f>+'1.Informe Seguimiento POA 2022'!V31</f>
        <v>2</v>
      </c>
      <c r="AJ75" s="446">
        <f>+'1.Informe Seguimiento POA 2022'!P31+'1.Informe Seguimiento POA 2022'!R31+'1.Informe Seguimiento POA 2022'!T31+'1.Informe Seguimiento POA 2022'!V31</f>
        <v>3</v>
      </c>
      <c r="AK75" s="446">
        <f t="shared" si="91"/>
        <v>3</v>
      </c>
      <c r="AL75" s="448" t="str">
        <f t="shared" si="81"/>
        <v>No programado</v>
      </c>
      <c r="AM75" s="448">
        <f t="shared" si="101"/>
        <v>1</v>
      </c>
      <c r="AN75" s="435">
        <f t="shared" si="104"/>
        <v>1</v>
      </c>
      <c r="AO75" s="439" t="str">
        <f>+'Rango indicadores'!H40</f>
        <v>Mayor A:</v>
      </c>
      <c r="AP75" s="434">
        <f>+'Rango indicadores'!I40</f>
        <v>85</v>
      </c>
      <c r="AQ75" s="434" t="str">
        <f>+'Rango indicadores'!J40</f>
        <v>Desde (&gt;=):</v>
      </c>
      <c r="AR75" s="434">
        <f>+'Rango indicadores'!K40</f>
        <v>80</v>
      </c>
      <c r="AS75" s="434" t="str">
        <f>+'Rango indicadores'!L40</f>
        <v>Hasta (&lt;=):</v>
      </c>
      <c r="AT75" s="434">
        <f>+'Rango indicadores'!M40</f>
        <v>85</v>
      </c>
      <c r="AU75" s="434" t="str">
        <f>+'Rango indicadores'!N40</f>
        <v>Menor A:</v>
      </c>
      <c r="AV75" s="878">
        <f>+'Rango indicadores'!O40</f>
        <v>80</v>
      </c>
      <c r="AW75" s="523" t="s">
        <v>1175</v>
      </c>
      <c r="AX75" s="589"/>
      <c r="AY75" s="589">
        <f t="shared" si="92"/>
        <v>2</v>
      </c>
      <c r="AZ75" s="589">
        <f t="shared" si="92"/>
        <v>2</v>
      </c>
      <c r="BA75" s="447"/>
    </row>
    <row r="76" spans="2:53" ht="55.5" customHeight="1">
      <c r="B76" s="431">
        <f t="shared" si="97"/>
        <v>40</v>
      </c>
      <c r="C76" s="432" t="str">
        <f>+'Rango indicadores'!D41</f>
        <v>05-RI-20</v>
      </c>
      <c r="D76" s="432" t="str">
        <f>+'Rango indicadores'!E41</f>
        <v>Herramientas de promoción y prevención a infracciones del Derecho Internacional Humanitario implementadas</v>
      </c>
      <c r="E76" s="446">
        <f>+'Rango indicadores'!Q41</f>
        <v>1</v>
      </c>
      <c r="F76" s="446">
        <f>'1.Informe Seguimiento POA 2022'!O32</f>
        <v>0</v>
      </c>
      <c r="G76" s="446">
        <f>'1.Informe Seguimiento POA 2022'!O32</f>
        <v>0</v>
      </c>
      <c r="H76" s="446">
        <f>'1.Informe Seguimiento POA 2022'!P32</f>
        <v>0</v>
      </c>
      <c r="I76" s="446">
        <f>'1.Informe Seguimiento POA 2022'!P32</f>
        <v>0</v>
      </c>
      <c r="J76" s="446">
        <f t="shared" si="84"/>
        <v>0</v>
      </c>
      <c r="K76" s="448" t="str">
        <f t="shared" si="75"/>
        <v>No programado</v>
      </c>
      <c r="L76" s="448" t="str">
        <f t="shared" si="98"/>
        <v>No programado</v>
      </c>
      <c r="M76" s="435">
        <f t="shared" si="76"/>
        <v>0</v>
      </c>
      <c r="N76" s="446">
        <f t="shared" si="85"/>
        <v>1</v>
      </c>
      <c r="O76" s="434">
        <f>+'1.Informe Seguimiento POA 2022'!Q32</f>
        <v>0</v>
      </c>
      <c r="P76" s="446">
        <f t="shared" si="86"/>
        <v>0</v>
      </c>
      <c r="Q76" s="434">
        <f>'1.Informe Seguimiento POA 2022'!R32</f>
        <v>0</v>
      </c>
      <c r="R76" s="434">
        <f>+'1.Informe Seguimiento POA 2022'!P32+'1.Informe Seguimiento POA 2022'!R32</f>
        <v>0</v>
      </c>
      <c r="S76" s="446">
        <f t="shared" si="87"/>
        <v>0</v>
      </c>
      <c r="T76" s="448" t="str">
        <f t="shared" si="77"/>
        <v>No programado</v>
      </c>
      <c r="U76" s="448" t="str">
        <f t="shared" si="99"/>
        <v>No programado</v>
      </c>
      <c r="V76" s="435">
        <f t="shared" si="102"/>
        <v>0</v>
      </c>
      <c r="W76" s="446">
        <f t="shared" si="88"/>
        <v>1</v>
      </c>
      <c r="X76" s="434">
        <f>+'1.Informe Seguimiento POA 2022'!S32</f>
        <v>0</v>
      </c>
      <c r="Y76" s="434">
        <f>+'1.Informe Seguimiento POA 2022'!O32+'1.Informe Seguimiento POA 2022'!Q32+'1.Informe Seguimiento POA 2022'!S32</f>
        <v>0</v>
      </c>
      <c r="Z76" s="434">
        <f>+'1.Informe Seguimiento POA 2022'!T32</f>
        <v>0</v>
      </c>
      <c r="AA76" s="434">
        <f>+'1.Informe Seguimiento POA 2022'!R32+'1.Informe Seguimiento POA 2022'!T32+'1.Informe Seguimiento POA 2022'!P32</f>
        <v>0</v>
      </c>
      <c r="AB76" s="878">
        <f t="shared" si="89"/>
        <v>0</v>
      </c>
      <c r="AC76" s="448" t="str">
        <f t="shared" si="79"/>
        <v>No programado</v>
      </c>
      <c r="AD76" s="448" t="str">
        <f t="shared" si="100"/>
        <v>No programado</v>
      </c>
      <c r="AE76" s="435">
        <f t="shared" si="103"/>
        <v>0</v>
      </c>
      <c r="AF76" s="446">
        <f t="shared" si="90"/>
        <v>1</v>
      </c>
      <c r="AG76" s="446">
        <f>+'1.Informe Seguimiento POA 2022'!U32</f>
        <v>1</v>
      </c>
      <c r="AH76" s="446">
        <f>+'1.Informe Seguimiento POA 2022'!O32+'1.Informe Seguimiento POA 2022'!Q32+'1.Informe Seguimiento POA 2022'!S32+'1.Informe Seguimiento POA 2022'!U32</f>
        <v>1</v>
      </c>
      <c r="AI76" s="446">
        <f>+'1.Informe Seguimiento POA 2022'!V32</f>
        <v>1</v>
      </c>
      <c r="AJ76" s="446">
        <f>+'1.Informe Seguimiento POA 2022'!P32+'1.Informe Seguimiento POA 2022'!R32+'1.Informe Seguimiento POA 2022'!T32+'1.Informe Seguimiento POA 2022'!V32</f>
        <v>1</v>
      </c>
      <c r="AK76" s="446">
        <f t="shared" si="91"/>
        <v>1</v>
      </c>
      <c r="AL76" s="448">
        <f t="shared" si="81"/>
        <v>1</v>
      </c>
      <c r="AM76" s="448">
        <f t="shared" si="101"/>
        <v>1</v>
      </c>
      <c r="AN76" s="435">
        <f t="shared" si="104"/>
        <v>1</v>
      </c>
      <c r="AO76" s="439" t="str">
        <f>+'Rango indicadores'!H41</f>
        <v>Mayor A:</v>
      </c>
      <c r="AP76" s="434">
        <f>+'Rango indicadores'!I41</f>
        <v>85</v>
      </c>
      <c r="AQ76" s="434" t="str">
        <f>+'Rango indicadores'!J41</f>
        <v>Desde (&gt;=):</v>
      </c>
      <c r="AR76" s="434">
        <f>+'Rango indicadores'!K41</f>
        <v>80</v>
      </c>
      <c r="AS76" s="434" t="str">
        <f>+'Rango indicadores'!L41</f>
        <v>Hasta (&lt;=):</v>
      </c>
      <c r="AT76" s="434">
        <f>+'Rango indicadores'!M41</f>
        <v>85</v>
      </c>
      <c r="AU76" s="434" t="str">
        <f>+'Rango indicadores'!N41</f>
        <v>Menor A:</v>
      </c>
      <c r="AV76" s="878">
        <f>+'Rango indicadores'!O41</f>
        <v>80</v>
      </c>
      <c r="AW76" s="523" t="s">
        <v>1175</v>
      </c>
      <c r="AX76" s="589"/>
      <c r="AY76" s="589">
        <f t="shared" si="92"/>
        <v>0</v>
      </c>
      <c r="AZ76" s="589">
        <f t="shared" si="92"/>
        <v>0</v>
      </c>
      <c r="BA76" s="447"/>
    </row>
    <row r="77" spans="2:53" ht="15.6">
      <c r="C77" s="1378" t="s">
        <v>866</v>
      </c>
      <c r="D77" s="1379"/>
      <c r="E77" s="1379"/>
      <c r="F77" s="1379"/>
      <c r="G77" s="1379"/>
      <c r="H77" s="1379"/>
      <c r="I77" s="1379"/>
      <c r="J77" s="1379"/>
      <c r="K77" s="437">
        <f>IFERROR(AVERAGE(K57:K76),0)</f>
        <v>1.3512123931140376</v>
      </c>
      <c r="L77" s="437">
        <f>IFERROR(AVERAGE(L57:L76),0)</f>
        <v>1.3512123931140376</v>
      </c>
      <c r="M77" s="437">
        <f>IFERROR(AVERAGE(M57:M76),0)</f>
        <v>0.22556159419572125</v>
      </c>
      <c r="N77" s="880"/>
      <c r="O77" s="880"/>
      <c r="P77" s="880"/>
      <c r="Q77" s="880"/>
      <c r="R77" s="880"/>
      <c r="S77" s="880"/>
      <c r="T77" s="437">
        <f>IFERROR(AVERAGE(T57:T76),0)</f>
        <v>1.1519898802309669</v>
      </c>
      <c r="U77" s="437">
        <f>IFERROR(AVERAGE(U57:U76),0)</f>
        <v>1.2340198308648858</v>
      </c>
      <c r="V77" s="437">
        <f>IFERROR(AVERAGE(V57:V76),0)</f>
        <v>0.53085099681429748</v>
      </c>
      <c r="W77" s="880"/>
      <c r="X77" s="880"/>
      <c r="Y77" s="880"/>
      <c r="Z77" s="880"/>
      <c r="AA77" s="880"/>
      <c r="AB77" s="880"/>
      <c r="AC77" s="437">
        <f>IFERROR(AVERAGE(AC57:AC76),0)</f>
        <v>1.2246645973770194</v>
      </c>
      <c r="AD77" s="437">
        <f>IFERROR(AVERAGE(AD57:AD76),0)</f>
        <v>1.1975440017005092</v>
      </c>
      <c r="AE77" s="437">
        <f>IFERROR(AVERAGE(AE57:AE76),0)</f>
        <v>0.87744668920257796</v>
      </c>
      <c r="AF77" s="880"/>
      <c r="AG77" s="880"/>
      <c r="AH77" s="880"/>
      <c r="AI77" s="880"/>
      <c r="AJ77" s="880"/>
      <c r="AK77" s="881"/>
      <c r="AL77" s="437">
        <f>IFERROR(AVERAGE(AL57:AL76),0)</f>
        <v>1.9841087297753512</v>
      </c>
      <c r="AM77" s="437">
        <f>IFERROR(AVERAGE(AM57:AM76),0)</f>
        <v>1.2962525266350706</v>
      </c>
      <c r="AN77" s="437">
        <f>IFERROR(AVERAGE(AN57:AN76),0)</f>
        <v>1.2962340594143875</v>
      </c>
      <c r="AO77" s="444"/>
      <c r="AP77" s="444"/>
      <c r="AQ77" s="444"/>
      <c r="AR77" s="444"/>
      <c r="AS77" s="444"/>
      <c r="AT77" s="444"/>
      <c r="AU77" s="444"/>
      <c r="AV77" s="444"/>
      <c r="AW77" s="529"/>
    </row>
    <row r="78" spans="2:53" s="427" customFormat="1" ht="24" customHeight="1" thickBot="1">
      <c r="D78" s="429"/>
      <c r="AW78" s="429"/>
      <c r="AY78" s="413"/>
      <c r="AZ78" s="413"/>
    </row>
    <row r="79" spans="2:53" s="427" customFormat="1" ht="16.2" thickBot="1">
      <c r="C79" s="430" t="s">
        <v>872</v>
      </c>
      <c r="D79" s="460"/>
      <c r="E79" s="1380" t="s">
        <v>1128</v>
      </c>
      <c r="F79" s="1381"/>
      <c r="G79" s="1381"/>
      <c r="H79" s="1381"/>
      <c r="I79" s="1381"/>
      <c r="J79" s="1381"/>
      <c r="K79" s="1381"/>
      <c r="L79" s="1381"/>
      <c r="M79" s="1382"/>
      <c r="N79" s="1383" t="s">
        <v>1129</v>
      </c>
      <c r="O79" s="1384"/>
      <c r="P79" s="1384"/>
      <c r="Q79" s="1384"/>
      <c r="R79" s="1384"/>
      <c r="S79" s="1384"/>
      <c r="T79" s="1384"/>
      <c r="U79" s="1384"/>
      <c r="V79" s="1385"/>
      <c r="W79" s="1386" t="s">
        <v>1130</v>
      </c>
      <c r="X79" s="1387"/>
      <c r="Y79" s="1387"/>
      <c r="Z79" s="1387"/>
      <c r="AA79" s="1387"/>
      <c r="AB79" s="1387"/>
      <c r="AC79" s="1387"/>
      <c r="AD79" s="1387"/>
      <c r="AE79" s="1388"/>
      <c r="AF79" s="1383" t="s">
        <v>1046</v>
      </c>
      <c r="AG79" s="1384"/>
      <c r="AH79" s="1384"/>
      <c r="AI79" s="1384"/>
      <c r="AJ79" s="1384"/>
      <c r="AK79" s="1384"/>
      <c r="AL79" s="1384"/>
      <c r="AM79" s="1384"/>
      <c r="AN79" s="1385"/>
      <c r="AW79" s="429"/>
      <c r="AY79" s="413"/>
      <c r="AZ79" s="413"/>
    </row>
    <row r="80" spans="2:53" ht="22.2" customHeight="1">
      <c r="C80" s="1393" t="str">
        <f>+$C$10</f>
        <v>Identificación del Indicador</v>
      </c>
      <c r="D80" s="1396" t="s">
        <v>861</v>
      </c>
      <c r="E80" s="1389" t="s">
        <v>862</v>
      </c>
      <c r="F80" s="1390"/>
      <c r="G80" s="1391"/>
      <c r="H80" s="1392" t="s">
        <v>1132</v>
      </c>
      <c r="I80" s="1394" t="s">
        <v>1136</v>
      </c>
      <c r="J80" s="1392" t="s">
        <v>863</v>
      </c>
      <c r="K80" s="1392" t="s">
        <v>857</v>
      </c>
      <c r="L80" s="1392"/>
      <c r="M80" s="1392"/>
      <c r="N80" s="1389" t="s">
        <v>862</v>
      </c>
      <c r="O80" s="1390"/>
      <c r="P80" s="1391"/>
      <c r="Q80" s="1392" t="s">
        <v>1141</v>
      </c>
      <c r="R80" s="1394" t="s">
        <v>1133</v>
      </c>
      <c r="S80" s="1392" t="s">
        <v>863</v>
      </c>
      <c r="T80" s="1392" t="s">
        <v>857</v>
      </c>
      <c r="U80" s="1392"/>
      <c r="V80" s="1392"/>
      <c r="W80" s="1389" t="s">
        <v>862</v>
      </c>
      <c r="X80" s="1390"/>
      <c r="Y80" s="1391"/>
      <c r="Z80" s="1392" t="s">
        <v>1142</v>
      </c>
      <c r="AA80" s="1394" t="s">
        <v>1138</v>
      </c>
      <c r="AB80" s="1392" t="s">
        <v>863</v>
      </c>
      <c r="AC80" s="1392" t="s">
        <v>857</v>
      </c>
      <c r="AD80" s="1392"/>
      <c r="AE80" s="1392"/>
      <c r="AF80" s="1389" t="s">
        <v>862</v>
      </c>
      <c r="AG80" s="1390"/>
      <c r="AH80" s="1391"/>
      <c r="AI80" s="1392" t="s">
        <v>1172</v>
      </c>
      <c r="AJ80" s="1394" t="s">
        <v>1173</v>
      </c>
      <c r="AK80" s="1392" t="s">
        <v>863</v>
      </c>
      <c r="AL80" s="1392" t="s">
        <v>857</v>
      </c>
      <c r="AM80" s="1392"/>
      <c r="AN80" s="1392"/>
      <c r="AO80" s="1398" t="s">
        <v>709</v>
      </c>
      <c r="AP80" s="1398"/>
      <c r="AQ80" s="1398"/>
      <c r="AR80" s="1398"/>
      <c r="AS80" s="1398"/>
      <c r="AT80" s="1398"/>
      <c r="AU80" s="1398"/>
      <c r="AV80" s="1398"/>
      <c r="AW80" s="1393" t="s">
        <v>882</v>
      </c>
    </row>
    <row r="81" spans="2:53" ht="65.25" customHeight="1">
      <c r="C81" s="1393"/>
      <c r="D81" s="1396"/>
      <c r="E81" s="1024" t="s">
        <v>1143</v>
      </c>
      <c r="F81" s="1024" t="str">
        <f>+E79</f>
        <v>Primer Trimestre</v>
      </c>
      <c r="G81" s="1025" t="s">
        <v>1135</v>
      </c>
      <c r="H81" s="1393"/>
      <c r="I81" s="1395"/>
      <c r="J81" s="1393"/>
      <c r="K81" s="1024" t="str">
        <f>+$D$6</f>
        <v>Cuarto Trimestre</v>
      </c>
      <c r="L81" s="1025" t="str">
        <f>+G81</f>
        <v>Acumulado
Corte 
31/03/2022</v>
      </c>
      <c r="M81" s="1026" t="s">
        <v>754</v>
      </c>
      <c r="N81" s="1024" t="s">
        <v>1143</v>
      </c>
      <c r="O81" s="1024" t="str">
        <f>+N79</f>
        <v>Segundo Trimestre</v>
      </c>
      <c r="P81" s="1025" t="s">
        <v>1134</v>
      </c>
      <c r="Q81" s="1393"/>
      <c r="R81" s="1395"/>
      <c r="S81" s="1393"/>
      <c r="T81" s="1024" t="str">
        <f>+O81</f>
        <v>Segundo Trimestre</v>
      </c>
      <c r="U81" s="1025" t="str">
        <f>+P81</f>
        <v>Acumulado Corte 
30/06/2022</v>
      </c>
      <c r="V81" s="1026" t="s">
        <v>754</v>
      </c>
      <c r="W81" s="1024" t="s">
        <v>1143</v>
      </c>
      <c r="X81" s="1024" t="str">
        <f>+W79</f>
        <v>Tercer Trimestre</v>
      </c>
      <c r="Y81" s="1025" t="s">
        <v>1137</v>
      </c>
      <c r="Z81" s="1393"/>
      <c r="AA81" s="1395"/>
      <c r="AB81" s="1393"/>
      <c r="AC81" s="1024" t="str">
        <f>+X81</f>
        <v>Tercer Trimestre</v>
      </c>
      <c r="AD81" s="1025" t="str">
        <f>+Y81</f>
        <v>Acumulado Corte 
30/09/2022</v>
      </c>
      <c r="AE81" s="1026" t="s">
        <v>754</v>
      </c>
      <c r="AF81" s="1024" t="s">
        <v>1143</v>
      </c>
      <c r="AG81" s="1024" t="s">
        <v>1171</v>
      </c>
      <c r="AH81" s="1025" t="s">
        <v>1139</v>
      </c>
      <c r="AI81" s="1393"/>
      <c r="AJ81" s="1395"/>
      <c r="AK81" s="1393"/>
      <c r="AL81" s="1024" t="str">
        <f>+AG81</f>
        <v>Cuarto Trimestre
31-12-2022</v>
      </c>
      <c r="AM81" s="1025" t="str">
        <f>+AH81</f>
        <v>Acumulado Corte 
31/12/2022</v>
      </c>
      <c r="AN81" s="1026" t="s">
        <v>754</v>
      </c>
      <c r="AO81" s="1097" t="s">
        <v>864</v>
      </c>
      <c r="AP81" s="1098"/>
      <c r="AQ81" s="1099" t="s">
        <v>865</v>
      </c>
      <c r="AR81" s="1100"/>
      <c r="AS81" s="1100"/>
      <c r="AT81" s="1101"/>
      <c r="AU81" s="1102" t="s">
        <v>717</v>
      </c>
      <c r="AV81" s="1103"/>
      <c r="AW81" s="1393"/>
    </row>
    <row r="82" spans="2:53" ht="44.25" customHeight="1">
      <c r="B82" s="431">
        <f>B76+1</f>
        <v>41</v>
      </c>
      <c r="C82" s="432" t="str">
        <f>+'Rango indicadores'!D42</f>
        <v>06-RI-01</v>
      </c>
      <c r="D82" s="432" t="str">
        <f>+'Rango indicadores'!E42</f>
        <v>Informes realizados en temas específicos.</v>
      </c>
      <c r="E82" s="446">
        <f>+'Rango indicadores'!Q42</f>
        <v>7</v>
      </c>
      <c r="F82" s="446">
        <f>'1.Informe Seguimiento POA 2022'!O33</f>
        <v>0</v>
      </c>
      <c r="G82" s="446">
        <f>'1.Informe Seguimiento POA 2022'!O33</f>
        <v>0</v>
      </c>
      <c r="H82" s="446">
        <f>'1.Informe Seguimiento POA 2022'!P33</f>
        <v>0</v>
      </c>
      <c r="I82" s="446">
        <f>'1.Informe Seguimiento POA 2022'!P33</f>
        <v>0</v>
      </c>
      <c r="J82" s="446">
        <f t="shared" ref="J82:J88" si="105">I82</f>
        <v>0</v>
      </c>
      <c r="K82" s="471" t="str">
        <f t="shared" ref="K82:K88" si="106">IF(AND(F82&gt;0),H82/F82,"No programado")</f>
        <v>No programado</v>
      </c>
      <c r="L82" s="471" t="str">
        <f>IF(AND(G82&gt;0),I82/G82,"No programado")</f>
        <v>No programado</v>
      </c>
      <c r="M82" s="435">
        <f t="shared" ref="M82:M88" si="107">IF(AND(E82&gt;0,$J82&gt;0),J82/$E82,0)</f>
        <v>0</v>
      </c>
      <c r="N82" s="446">
        <f>+E82</f>
        <v>7</v>
      </c>
      <c r="O82" s="434">
        <f>+'1.Informe Seguimiento POA 2022'!Q33</f>
        <v>2</v>
      </c>
      <c r="P82" s="446">
        <f>G82+O82</f>
        <v>2</v>
      </c>
      <c r="Q82" s="434">
        <f>'1.Informe Seguimiento POA 2022'!R33</f>
        <v>0</v>
      </c>
      <c r="R82" s="434">
        <f>+'1.Informe Seguimiento POA 2022'!P33+'1.Informe Seguimiento POA 2022'!R33</f>
        <v>0</v>
      </c>
      <c r="S82" s="446">
        <f>H82+Q82</f>
        <v>0</v>
      </c>
      <c r="T82" s="471">
        <f t="shared" ref="T82:T88" si="108">IF(AND(O82&gt;0),Q82/O82,"No programado")</f>
        <v>0</v>
      </c>
      <c r="U82" s="471">
        <f>IF(AND(P82&gt;0),R82/P82,"No programado")</f>
        <v>0</v>
      </c>
      <c r="V82" s="435">
        <f t="shared" ref="V82:V88" si="109">IF(AND(N82&gt;0,$S82&gt;0),S82/$N82,0)</f>
        <v>0</v>
      </c>
      <c r="W82" s="446">
        <f>+N82</f>
        <v>7</v>
      </c>
      <c r="X82" s="434">
        <f>+'1.Informe Seguimiento POA 2022'!S33</f>
        <v>0</v>
      </c>
      <c r="Y82" s="434">
        <f>+'1.Informe Seguimiento POA 2022'!O33+'1.Informe Seguimiento POA 2022'!Q33+'1.Informe Seguimiento POA 2022'!S33</f>
        <v>2</v>
      </c>
      <c r="Z82" s="434">
        <f>+'1.Informe Seguimiento POA 2022'!T33</f>
        <v>2</v>
      </c>
      <c r="AA82" s="434">
        <f>+'1.Informe Seguimiento POA 2022'!R33+'1.Informe Seguimiento POA 2022'!T33+'1.Informe Seguimiento POA 2022'!P33</f>
        <v>2</v>
      </c>
      <c r="AB82" s="878">
        <f t="shared" ref="AB82" si="110">H82+Q82+Z82</f>
        <v>2</v>
      </c>
      <c r="AC82" s="471" t="str">
        <f t="shared" ref="AC82:AC88" si="111">IF(AND(X82&gt;0),Z82/X82,"No programado")</f>
        <v>No programado</v>
      </c>
      <c r="AD82" s="471">
        <f>IF(AND(Y82&gt;0),AA82/Y82,"No programado")</f>
        <v>1</v>
      </c>
      <c r="AE82" s="435">
        <f t="shared" ref="AE82:AE88" si="112">IF(AND(W82&gt;0,$AB82&gt;0),AB82/$W82,0)</f>
        <v>0.2857142857142857</v>
      </c>
      <c r="AF82" s="446">
        <f>+W82</f>
        <v>7</v>
      </c>
      <c r="AG82" s="446">
        <f>+'1.Informe Seguimiento POA 2022'!U33</f>
        <v>5</v>
      </c>
      <c r="AH82" s="446">
        <f>+'1.Informe Seguimiento POA 2022'!O33+'1.Informe Seguimiento POA 2022'!Q33+'1.Informe Seguimiento POA 2022'!S33+'1.Informe Seguimiento POA 2022'!U33</f>
        <v>7</v>
      </c>
      <c r="AI82" s="446">
        <f>+'1.Informe Seguimiento POA 2022'!V33</f>
        <v>5</v>
      </c>
      <c r="AJ82" s="446">
        <f>+'1.Informe Seguimiento POA 2022'!P33+'1.Informe Seguimiento POA 2022'!R33+'1.Informe Seguimiento POA 2022'!T33+'1.Informe Seguimiento POA 2022'!V33</f>
        <v>7</v>
      </c>
      <c r="AK82" s="446">
        <f t="shared" ref="AK82" si="113">H82+Q82+Z82+AI82</f>
        <v>7</v>
      </c>
      <c r="AL82" s="471">
        <f t="shared" ref="AL82:AL88" si="114">IF(AND(AG82&gt;0),AI82/AG82,"No programado")</f>
        <v>1</v>
      </c>
      <c r="AM82" s="471">
        <f>IF(AND(AH82&gt;0),AJ82/AH82,"No programado")</f>
        <v>1</v>
      </c>
      <c r="AN82" s="435">
        <f t="shared" ref="AN82:AN88" si="115">IF(AND(AF82&gt;0,$AK82&gt;0),AK82/$AF82,0)</f>
        <v>1</v>
      </c>
      <c r="AO82" s="439" t="str">
        <f>+'Rango indicadores'!H42</f>
        <v>Mayor A:</v>
      </c>
      <c r="AP82" s="434">
        <f>+'Rango indicadores'!I42</f>
        <v>90</v>
      </c>
      <c r="AQ82" s="434" t="str">
        <f>+'Rango indicadores'!J42</f>
        <v>Desde (&gt;=):</v>
      </c>
      <c r="AR82" s="434">
        <f>+'Rango indicadores'!K42</f>
        <v>66</v>
      </c>
      <c r="AS82" s="434" t="str">
        <f>+'Rango indicadores'!L42</f>
        <v>Hasta (&lt;=):</v>
      </c>
      <c r="AT82" s="434">
        <f>+'Rango indicadores'!M42</f>
        <v>90</v>
      </c>
      <c r="AU82" s="434" t="str">
        <f>+'Rango indicadores'!N42</f>
        <v>Menor A:</v>
      </c>
      <c r="AV82" s="434">
        <f>+'Rango indicadores'!O42</f>
        <v>66</v>
      </c>
      <c r="AW82" s="523" t="s">
        <v>1175</v>
      </c>
      <c r="AY82" s="589"/>
    </row>
    <row r="83" spans="2:53" ht="44.25" customHeight="1">
      <c r="B83" s="431">
        <f>+B82+1</f>
        <v>42</v>
      </c>
      <c r="C83" s="432" t="str">
        <f>+'Rango indicadores'!D43</f>
        <v>06-RI-02</v>
      </c>
      <c r="D83" s="432" t="str">
        <f>+'Rango indicadores'!E43</f>
        <v>Informes de seguimientos realizados en temas específicos.</v>
      </c>
      <c r="E83" s="446">
        <f>+'Rango indicadores'!Q43</f>
        <v>1</v>
      </c>
      <c r="F83" s="446">
        <f>'1.Informe Seguimiento POA 2022'!O34</f>
        <v>0</v>
      </c>
      <c r="G83" s="446">
        <f>'1.Informe Seguimiento POA 2022'!O34</f>
        <v>0</v>
      </c>
      <c r="H83" s="446">
        <f>'1.Informe Seguimiento POA 2022'!P34</f>
        <v>0</v>
      </c>
      <c r="I83" s="446">
        <f>'1.Informe Seguimiento POA 2022'!P34</f>
        <v>0</v>
      </c>
      <c r="J83" s="446">
        <f t="shared" si="105"/>
        <v>0</v>
      </c>
      <c r="K83" s="471" t="str">
        <f t="shared" si="106"/>
        <v>No programado</v>
      </c>
      <c r="L83" s="449" t="str">
        <f t="shared" ref="L83:L88" si="116">IF(AND(G83&gt;0),I83/G83,"No programado")</f>
        <v>No programado</v>
      </c>
      <c r="M83" s="435">
        <f t="shared" si="107"/>
        <v>0</v>
      </c>
      <c r="N83" s="446">
        <f t="shared" ref="N83:N88" si="117">+E83</f>
        <v>1</v>
      </c>
      <c r="O83" s="434">
        <f>+'1.Informe Seguimiento POA 2022'!Q34</f>
        <v>0</v>
      </c>
      <c r="P83" s="446">
        <f t="shared" ref="P83:P88" si="118">G83+O83</f>
        <v>0</v>
      </c>
      <c r="Q83" s="434">
        <f>'1.Informe Seguimiento POA 2022'!R34</f>
        <v>0</v>
      </c>
      <c r="R83" s="434">
        <f>+'1.Informe Seguimiento POA 2022'!P34+'1.Informe Seguimiento POA 2022'!R34</f>
        <v>0</v>
      </c>
      <c r="S83" s="446">
        <f t="shared" ref="S83:S88" si="119">H83+Q83</f>
        <v>0</v>
      </c>
      <c r="T83" s="471" t="str">
        <f t="shared" si="108"/>
        <v>No programado</v>
      </c>
      <c r="U83" s="449" t="str">
        <f t="shared" ref="U83:U88" si="120">IF(AND(P83&gt;0),R83/P83,"No programado")</f>
        <v>No programado</v>
      </c>
      <c r="V83" s="435">
        <f t="shared" si="109"/>
        <v>0</v>
      </c>
      <c r="W83" s="446">
        <f t="shared" ref="W83:W88" si="121">+N83</f>
        <v>1</v>
      </c>
      <c r="X83" s="434">
        <f>+'1.Informe Seguimiento POA 2022'!S34</f>
        <v>0</v>
      </c>
      <c r="Y83" s="434">
        <f>+'1.Informe Seguimiento POA 2022'!O34+'1.Informe Seguimiento POA 2022'!Q34+'1.Informe Seguimiento POA 2022'!S34</f>
        <v>0</v>
      </c>
      <c r="Z83" s="434">
        <f>+'1.Informe Seguimiento POA 2022'!T34</f>
        <v>0</v>
      </c>
      <c r="AA83" s="434">
        <f>+'1.Informe Seguimiento POA 2022'!R34+'1.Informe Seguimiento POA 2022'!T34+'1.Informe Seguimiento POA 2022'!P34</f>
        <v>0</v>
      </c>
      <c r="AB83" s="878">
        <f t="shared" ref="AB83:AB88" si="122">H83+Q83+Z83</f>
        <v>0</v>
      </c>
      <c r="AC83" s="471" t="str">
        <f t="shared" si="111"/>
        <v>No programado</v>
      </c>
      <c r="AD83" s="449" t="str">
        <f t="shared" ref="AD83:AD88" si="123">IF(AND(Y83&gt;0),AA83/Y83,"No programado")</f>
        <v>No programado</v>
      </c>
      <c r="AE83" s="435">
        <f t="shared" si="112"/>
        <v>0</v>
      </c>
      <c r="AF83" s="446">
        <f t="shared" ref="AF83:AF88" si="124">+W83</f>
        <v>1</v>
      </c>
      <c r="AG83" s="446">
        <f>+'1.Informe Seguimiento POA 2022'!U34</f>
        <v>1</v>
      </c>
      <c r="AH83" s="446">
        <f>+'1.Informe Seguimiento POA 2022'!O34+'1.Informe Seguimiento POA 2022'!Q34+'1.Informe Seguimiento POA 2022'!S34+'1.Informe Seguimiento POA 2022'!U34</f>
        <v>1</v>
      </c>
      <c r="AI83" s="446">
        <f>+'1.Informe Seguimiento POA 2022'!V34</f>
        <v>1</v>
      </c>
      <c r="AJ83" s="446">
        <f>+'1.Informe Seguimiento POA 2022'!P34+'1.Informe Seguimiento POA 2022'!R34+'1.Informe Seguimiento POA 2022'!T34+'1.Informe Seguimiento POA 2022'!V34</f>
        <v>1</v>
      </c>
      <c r="AK83" s="446">
        <f t="shared" ref="AK83:AK88" si="125">H83+Q83+Z83+AI83</f>
        <v>1</v>
      </c>
      <c r="AL83" s="471">
        <f t="shared" si="114"/>
        <v>1</v>
      </c>
      <c r="AM83" s="449">
        <f t="shared" ref="AM83:AM88" si="126">IF(AND(AH83&gt;0),AJ83/AH83,"No programado")</f>
        <v>1</v>
      </c>
      <c r="AN83" s="435">
        <f t="shared" si="115"/>
        <v>1</v>
      </c>
      <c r="AO83" s="439" t="str">
        <f>+'Rango indicadores'!H43</f>
        <v>Mayor A:</v>
      </c>
      <c r="AP83" s="434">
        <f>+'Rango indicadores'!I43</f>
        <v>90</v>
      </c>
      <c r="AQ83" s="434" t="str">
        <f>+'Rango indicadores'!J43</f>
        <v>Desde (&gt;=):</v>
      </c>
      <c r="AR83" s="434">
        <f>+'Rango indicadores'!K43</f>
        <v>69</v>
      </c>
      <c r="AS83" s="434" t="str">
        <f>+'Rango indicadores'!L43</f>
        <v>Hasta (&lt;=):</v>
      </c>
      <c r="AT83" s="434">
        <f>+'Rango indicadores'!M43</f>
        <v>90</v>
      </c>
      <c r="AU83" s="434" t="str">
        <f>+'Rango indicadores'!N43</f>
        <v>Menor A:</v>
      </c>
      <c r="AV83" s="878">
        <f>+'Rango indicadores'!O43</f>
        <v>69</v>
      </c>
      <c r="AW83" s="523" t="s">
        <v>1175</v>
      </c>
      <c r="AX83" s="589"/>
      <c r="AY83" s="589"/>
      <c r="AZ83" s="447"/>
      <c r="BA83" s="447"/>
    </row>
    <row r="84" spans="2:53" ht="44.25" customHeight="1">
      <c r="B84" s="431">
        <f>+B83+1</f>
        <v>43</v>
      </c>
      <c r="C84" s="432" t="str">
        <f>+'Rango indicadores'!D44</f>
        <v>06-RI-03</v>
      </c>
      <c r="D84" s="432" t="str">
        <f>+'Rango indicadores'!E44</f>
        <v>Acciones de Prevención y Control a la Función Pública realizadas, con informe.</v>
      </c>
      <c r="E84" s="446">
        <f>+'Rango indicadores'!Q44</f>
        <v>286</v>
      </c>
      <c r="F84" s="446">
        <f>'1.Informe Seguimiento POA 2022'!O35</f>
        <v>41</v>
      </c>
      <c r="G84" s="446">
        <f>'1.Informe Seguimiento POA 2022'!O35</f>
        <v>41</v>
      </c>
      <c r="H84" s="446">
        <f>'1.Informe Seguimiento POA 2022'!P35</f>
        <v>16</v>
      </c>
      <c r="I84" s="446">
        <f>'1.Informe Seguimiento POA 2022'!P35</f>
        <v>16</v>
      </c>
      <c r="J84" s="446">
        <f t="shared" si="105"/>
        <v>16</v>
      </c>
      <c r="K84" s="449">
        <f t="shared" si="106"/>
        <v>0.3902439024390244</v>
      </c>
      <c r="L84" s="449">
        <f t="shared" si="116"/>
        <v>0.3902439024390244</v>
      </c>
      <c r="M84" s="435">
        <f t="shared" si="107"/>
        <v>5.5944055944055944E-2</v>
      </c>
      <c r="N84" s="446">
        <f t="shared" si="117"/>
        <v>286</v>
      </c>
      <c r="O84" s="434">
        <f>+'1.Informe Seguimiento POA 2022'!Q35</f>
        <v>77</v>
      </c>
      <c r="P84" s="446">
        <f t="shared" si="118"/>
        <v>118</v>
      </c>
      <c r="Q84" s="434">
        <f>'1.Informe Seguimiento POA 2022'!R35</f>
        <v>97</v>
      </c>
      <c r="R84" s="434">
        <f>+'1.Informe Seguimiento POA 2022'!P35+'1.Informe Seguimiento POA 2022'!R35</f>
        <v>113</v>
      </c>
      <c r="S84" s="446">
        <f t="shared" si="119"/>
        <v>113</v>
      </c>
      <c r="T84" s="449">
        <f t="shared" si="108"/>
        <v>1.2597402597402598</v>
      </c>
      <c r="U84" s="449">
        <f t="shared" si="120"/>
        <v>0.9576271186440678</v>
      </c>
      <c r="V84" s="435">
        <f t="shared" si="109"/>
        <v>0.3951048951048951</v>
      </c>
      <c r="W84" s="446">
        <f t="shared" si="121"/>
        <v>286</v>
      </c>
      <c r="X84" s="434">
        <f>+'1.Informe Seguimiento POA 2022'!S35</f>
        <v>114</v>
      </c>
      <c r="Y84" s="434">
        <f>+'1.Informe Seguimiento POA 2022'!O35+'1.Informe Seguimiento POA 2022'!Q35+'1.Informe Seguimiento POA 2022'!S35</f>
        <v>232</v>
      </c>
      <c r="Z84" s="434">
        <f>+'1.Informe Seguimiento POA 2022'!T35</f>
        <v>74</v>
      </c>
      <c r="AA84" s="434">
        <f>+'1.Informe Seguimiento POA 2022'!R35+'1.Informe Seguimiento POA 2022'!T35+'1.Informe Seguimiento POA 2022'!P35</f>
        <v>187</v>
      </c>
      <c r="AB84" s="878">
        <f t="shared" si="122"/>
        <v>187</v>
      </c>
      <c r="AC84" s="449">
        <f t="shared" si="111"/>
        <v>0.64912280701754388</v>
      </c>
      <c r="AD84" s="449">
        <f t="shared" si="123"/>
        <v>0.80603448275862066</v>
      </c>
      <c r="AE84" s="435">
        <f t="shared" si="112"/>
        <v>0.65384615384615385</v>
      </c>
      <c r="AF84" s="446">
        <f t="shared" si="124"/>
        <v>286</v>
      </c>
      <c r="AG84" s="446">
        <f>+'1.Informe Seguimiento POA 2022'!U35</f>
        <v>54</v>
      </c>
      <c r="AH84" s="446">
        <f>+'1.Informe Seguimiento POA 2022'!O35+'1.Informe Seguimiento POA 2022'!Q35+'1.Informe Seguimiento POA 2022'!S35+'1.Informe Seguimiento POA 2022'!U35</f>
        <v>286</v>
      </c>
      <c r="AI84" s="446">
        <f>+'1.Informe Seguimiento POA 2022'!V35</f>
        <v>106</v>
      </c>
      <c r="AJ84" s="446">
        <f>+'1.Informe Seguimiento POA 2022'!P35+'1.Informe Seguimiento POA 2022'!R35+'1.Informe Seguimiento POA 2022'!T35+'1.Informe Seguimiento POA 2022'!V35</f>
        <v>293</v>
      </c>
      <c r="AK84" s="446">
        <f t="shared" si="125"/>
        <v>293</v>
      </c>
      <c r="AL84" s="449">
        <f t="shared" si="114"/>
        <v>1.962962962962963</v>
      </c>
      <c r="AM84" s="449">
        <f t="shared" si="126"/>
        <v>1.0244755244755244</v>
      </c>
      <c r="AN84" s="435">
        <f t="shared" si="115"/>
        <v>1.0244755244755244</v>
      </c>
      <c r="AO84" s="439" t="str">
        <f>+'Rango indicadores'!H44</f>
        <v>Mayor A:</v>
      </c>
      <c r="AP84" s="434">
        <f>+'Rango indicadores'!I44</f>
        <v>77</v>
      </c>
      <c r="AQ84" s="434" t="str">
        <f>+'Rango indicadores'!J44</f>
        <v>Desde (&gt;=):</v>
      </c>
      <c r="AR84" s="434">
        <f>+'Rango indicadores'!K44</f>
        <v>53</v>
      </c>
      <c r="AS84" s="434" t="str">
        <f>+'Rango indicadores'!L44</f>
        <v>Hasta (&lt;=):</v>
      </c>
      <c r="AT84" s="434">
        <f>+'Rango indicadores'!M44</f>
        <v>77</v>
      </c>
      <c r="AU84" s="434" t="str">
        <f>+'Rango indicadores'!N44</f>
        <v>Menor A:</v>
      </c>
      <c r="AV84" s="878">
        <f>+'Rango indicadores'!O44</f>
        <v>53</v>
      </c>
      <c r="AW84" s="523" t="s">
        <v>1176</v>
      </c>
      <c r="AX84" s="589"/>
      <c r="AY84" s="589">
        <f>+X84-Z84</f>
        <v>40</v>
      </c>
      <c r="AZ84" s="447"/>
      <c r="BA84" s="447"/>
    </row>
    <row r="85" spans="2:53" ht="44.25" customHeight="1">
      <c r="B85" s="431">
        <f>+B84+1</f>
        <v>44</v>
      </c>
      <c r="C85" s="432" t="str">
        <f>+'Rango indicadores'!D45</f>
        <v>06-RI-04</v>
      </c>
      <c r="D85" s="432" t="str">
        <f>+'Rango indicadores'!E45</f>
        <v>Seguimientos realizados sobre acciones previas, con informe</v>
      </c>
      <c r="E85" s="446">
        <f>+'Rango indicadores'!Q45</f>
        <v>67</v>
      </c>
      <c r="F85" s="446">
        <f>'1.Informe Seguimiento POA 2022'!O36</f>
        <v>1</v>
      </c>
      <c r="G85" s="446">
        <f>'1.Informe Seguimiento POA 2022'!O36</f>
        <v>1</v>
      </c>
      <c r="H85" s="446">
        <f>'1.Informe Seguimiento POA 2022'!P36</f>
        <v>2</v>
      </c>
      <c r="I85" s="446">
        <f>'1.Informe Seguimiento POA 2022'!P36</f>
        <v>2</v>
      </c>
      <c r="J85" s="446">
        <f t="shared" si="105"/>
        <v>2</v>
      </c>
      <c r="K85" s="449">
        <f t="shared" si="106"/>
        <v>2</v>
      </c>
      <c r="L85" s="449">
        <f t="shared" si="116"/>
        <v>2</v>
      </c>
      <c r="M85" s="435">
        <f t="shared" si="107"/>
        <v>2.9850746268656716E-2</v>
      </c>
      <c r="N85" s="446">
        <f t="shared" si="117"/>
        <v>67</v>
      </c>
      <c r="O85" s="434">
        <f>+'1.Informe Seguimiento POA 2022'!Q36</f>
        <v>20</v>
      </c>
      <c r="P85" s="446">
        <f t="shared" si="118"/>
        <v>21</v>
      </c>
      <c r="Q85" s="434">
        <f>'1.Informe Seguimiento POA 2022'!R36</f>
        <v>9</v>
      </c>
      <c r="R85" s="434">
        <f>+'1.Informe Seguimiento POA 2022'!P36+'1.Informe Seguimiento POA 2022'!R36</f>
        <v>11</v>
      </c>
      <c r="S85" s="446">
        <f t="shared" si="119"/>
        <v>11</v>
      </c>
      <c r="T85" s="435">
        <f t="shared" si="108"/>
        <v>0.45</v>
      </c>
      <c r="U85" s="449">
        <f t="shared" si="120"/>
        <v>0.52380952380952384</v>
      </c>
      <c r="V85" s="435">
        <f t="shared" si="109"/>
        <v>0.16417910447761194</v>
      </c>
      <c r="W85" s="446">
        <f t="shared" si="121"/>
        <v>67</v>
      </c>
      <c r="X85" s="434">
        <f>+'1.Informe Seguimiento POA 2022'!S36</f>
        <v>43</v>
      </c>
      <c r="Y85" s="434">
        <f>+'1.Informe Seguimiento POA 2022'!O36+'1.Informe Seguimiento POA 2022'!Q36+'1.Informe Seguimiento POA 2022'!S36</f>
        <v>64</v>
      </c>
      <c r="Z85" s="434">
        <f>+'1.Informe Seguimiento POA 2022'!T36</f>
        <v>18</v>
      </c>
      <c r="AA85" s="434">
        <f>+'1.Informe Seguimiento POA 2022'!R36+'1.Informe Seguimiento POA 2022'!T36+'1.Informe Seguimiento POA 2022'!P36</f>
        <v>29</v>
      </c>
      <c r="AB85" s="878">
        <f t="shared" si="122"/>
        <v>29</v>
      </c>
      <c r="AC85" s="449">
        <f t="shared" si="111"/>
        <v>0.41860465116279072</v>
      </c>
      <c r="AD85" s="449">
        <f t="shared" si="123"/>
        <v>0.453125</v>
      </c>
      <c r="AE85" s="435">
        <f t="shared" si="112"/>
        <v>0.43283582089552236</v>
      </c>
      <c r="AF85" s="446">
        <f t="shared" si="124"/>
        <v>67</v>
      </c>
      <c r="AG85" s="446">
        <f>+'1.Informe Seguimiento POA 2022'!U36</f>
        <v>3</v>
      </c>
      <c r="AH85" s="446">
        <f>+'1.Informe Seguimiento POA 2022'!O36+'1.Informe Seguimiento POA 2022'!Q36+'1.Informe Seguimiento POA 2022'!S36+'1.Informe Seguimiento POA 2022'!U36</f>
        <v>67</v>
      </c>
      <c r="AI85" s="446">
        <f>+'1.Informe Seguimiento POA 2022'!V36</f>
        <v>38</v>
      </c>
      <c r="AJ85" s="446">
        <f>+'1.Informe Seguimiento POA 2022'!P36+'1.Informe Seguimiento POA 2022'!R36+'1.Informe Seguimiento POA 2022'!T36+'1.Informe Seguimiento POA 2022'!V36</f>
        <v>67</v>
      </c>
      <c r="AK85" s="446">
        <f t="shared" si="125"/>
        <v>67</v>
      </c>
      <c r="AL85" s="449">
        <f t="shared" si="114"/>
        <v>12.666666666666666</v>
      </c>
      <c r="AM85" s="449">
        <f t="shared" si="126"/>
        <v>1</v>
      </c>
      <c r="AN85" s="435">
        <f t="shared" si="115"/>
        <v>1</v>
      </c>
      <c r="AO85" s="439" t="str">
        <f>+'Rango indicadores'!H45</f>
        <v>Mayor A:</v>
      </c>
      <c r="AP85" s="434">
        <f>+'Rango indicadores'!I45</f>
        <v>80</v>
      </c>
      <c r="AQ85" s="434" t="str">
        <f>+'Rango indicadores'!J45</f>
        <v>Desde (&gt;=):</v>
      </c>
      <c r="AR85" s="434">
        <f>+'Rango indicadores'!K45</f>
        <v>45</v>
      </c>
      <c r="AS85" s="434" t="str">
        <f>+'Rango indicadores'!L45</f>
        <v>Hasta (&lt;=):</v>
      </c>
      <c r="AT85" s="434">
        <f>+'Rango indicadores'!M45</f>
        <v>80</v>
      </c>
      <c r="AU85" s="434" t="str">
        <f>+'Rango indicadores'!N45</f>
        <v>Menor A:</v>
      </c>
      <c r="AV85" s="878">
        <f>+'Rango indicadores'!O45</f>
        <v>45</v>
      </c>
      <c r="AW85" s="523" t="s">
        <v>1174</v>
      </c>
      <c r="AX85" s="589"/>
      <c r="AY85" s="589">
        <f>+X85-Z85</f>
        <v>25</v>
      </c>
      <c r="AZ85" s="447"/>
      <c r="BA85" s="447"/>
    </row>
    <row r="86" spans="2:53" ht="44.25" customHeight="1">
      <c r="B86" s="431">
        <f>+B85+1</f>
        <v>45</v>
      </c>
      <c r="C86" s="432" t="str">
        <f>+'Rango indicadores'!D46</f>
        <v>06-RI-05</v>
      </c>
      <c r="D86" s="432" t="str">
        <f>+'Rango indicadores'!E46</f>
        <v>Audiencias públicas y/o mesas de trabajo realizadas.</v>
      </c>
      <c r="E86" s="446">
        <f>+'Rango indicadores'!Q46</f>
        <v>21</v>
      </c>
      <c r="F86" s="446">
        <f>'1.Informe Seguimiento POA 2022'!O37</f>
        <v>2</v>
      </c>
      <c r="G86" s="446">
        <f>'1.Informe Seguimiento POA 2022'!O37</f>
        <v>2</v>
      </c>
      <c r="H86" s="446">
        <f>'1.Informe Seguimiento POA 2022'!P37</f>
        <v>0</v>
      </c>
      <c r="I86" s="446">
        <f>'1.Informe Seguimiento POA 2022'!P37</f>
        <v>0</v>
      </c>
      <c r="J86" s="446">
        <f t="shared" si="105"/>
        <v>0</v>
      </c>
      <c r="K86" s="449">
        <f t="shared" si="106"/>
        <v>0</v>
      </c>
      <c r="L86" s="449">
        <f t="shared" si="116"/>
        <v>0</v>
      </c>
      <c r="M86" s="435">
        <f t="shared" si="107"/>
        <v>0</v>
      </c>
      <c r="N86" s="446">
        <f t="shared" si="117"/>
        <v>21</v>
      </c>
      <c r="O86" s="434">
        <f>+'1.Informe Seguimiento POA 2022'!Q37</f>
        <v>6</v>
      </c>
      <c r="P86" s="446">
        <f t="shared" si="118"/>
        <v>8</v>
      </c>
      <c r="Q86" s="434">
        <f>'1.Informe Seguimiento POA 2022'!R37</f>
        <v>3</v>
      </c>
      <c r="R86" s="434">
        <f>+'1.Informe Seguimiento POA 2022'!P37+'1.Informe Seguimiento POA 2022'!R37</f>
        <v>3</v>
      </c>
      <c r="S86" s="446">
        <f t="shared" si="119"/>
        <v>3</v>
      </c>
      <c r="T86" s="449">
        <f t="shared" si="108"/>
        <v>0.5</v>
      </c>
      <c r="U86" s="449">
        <f t="shared" si="120"/>
        <v>0.375</v>
      </c>
      <c r="V86" s="435">
        <f t="shared" si="109"/>
        <v>0.14285714285714285</v>
      </c>
      <c r="W86" s="446">
        <f t="shared" si="121"/>
        <v>21</v>
      </c>
      <c r="X86" s="434">
        <f>+'1.Informe Seguimiento POA 2022'!S37</f>
        <v>5</v>
      </c>
      <c r="Y86" s="434">
        <f>+'1.Informe Seguimiento POA 2022'!O37+'1.Informe Seguimiento POA 2022'!Q37+'1.Informe Seguimiento POA 2022'!S37</f>
        <v>13</v>
      </c>
      <c r="Z86" s="434">
        <f>+'1.Informe Seguimiento POA 2022'!T37</f>
        <v>9</v>
      </c>
      <c r="AA86" s="434">
        <f>+'1.Informe Seguimiento POA 2022'!R37+'1.Informe Seguimiento POA 2022'!T37+'1.Informe Seguimiento POA 2022'!P37</f>
        <v>12</v>
      </c>
      <c r="AB86" s="878">
        <f t="shared" si="122"/>
        <v>12</v>
      </c>
      <c r="AC86" s="449">
        <f t="shared" si="111"/>
        <v>1.8</v>
      </c>
      <c r="AD86" s="449">
        <f t="shared" si="123"/>
        <v>0.92307692307692313</v>
      </c>
      <c r="AE86" s="435">
        <f t="shared" si="112"/>
        <v>0.5714285714285714</v>
      </c>
      <c r="AF86" s="446">
        <f t="shared" si="124"/>
        <v>21</v>
      </c>
      <c r="AG86" s="446">
        <f>+'1.Informe Seguimiento POA 2022'!U37</f>
        <v>8</v>
      </c>
      <c r="AH86" s="446">
        <f>+'1.Informe Seguimiento POA 2022'!O37+'1.Informe Seguimiento POA 2022'!Q37+'1.Informe Seguimiento POA 2022'!S37+'1.Informe Seguimiento POA 2022'!U37</f>
        <v>21</v>
      </c>
      <c r="AI86" s="446">
        <f>+'1.Informe Seguimiento POA 2022'!V37</f>
        <v>11</v>
      </c>
      <c r="AJ86" s="446">
        <f>+'1.Informe Seguimiento POA 2022'!P37+'1.Informe Seguimiento POA 2022'!R37+'1.Informe Seguimiento POA 2022'!T37+'1.Informe Seguimiento POA 2022'!V37</f>
        <v>23</v>
      </c>
      <c r="AK86" s="446">
        <f t="shared" si="125"/>
        <v>23</v>
      </c>
      <c r="AL86" s="449">
        <f t="shared" si="114"/>
        <v>1.375</v>
      </c>
      <c r="AM86" s="449">
        <f t="shared" si="126"/>
        <v>1.0952380952380953</v>
      </c>
      <c r="AN86" s="435">
        <f t="shared" si="115"/>
        <v>1.0952380952380953</v>
      </c>
      <c r="AO86" s="439" t="str">
        <f>+'Rango indicadores'!H46</f>
        <v>Mayor A:</v>
      </c>
      <c r="AP86" s="434">
        <f>+'Rango indicadores'!I46</f>
        <v>85</v>
      </c>
      <c r="AQ86" s="434" t="str">
        <f>+'Rango indicadores'!J46</f>
        <v>Desde (&gt;=):</v>
      </c>
      <c r="AR86" s="434">
        <f>+'Rango indicadores'!K46</f>
        <v>57</v>
      </c>
      <c r="AS86" s="434" t="str">
        <f>+'Rango indicadores'!L46</f>
        <v>Hasta (&lt;=):</v>
      </c>
      <c r="AT86" s="434">
        <f>+'Rango indicadores'!M46</f>
        <v>85</v>
      </c>
      <c r="AU86" s="434" t="str">
        <f>+'Rango indicadores'!N46</f>
        <v>Menor A:</v>
      </c>
      <c r="AV86" s="878">
        <f>+'Rango indicadores'!O46</f>
        <v>57</v>
      </c>
      <c r="AW86" s="523" t="s">
        <v>1176</v>
      </c>
      <c r="AX86" s="765"/>
      <c r="AY86" s="765">
        <f>+X86-Z86</f>
        <v>-4</v>
      </c>
      <c r="AZ86" s="447"/>
    </row>
    <row r="87" spans="2:53" ht="44.25" customHeight="1">
      <c r="B87" s="431">
        <f t="shared" ref="B87:B88" si="127">+B86+1</f>
        <v>46</v>
      </c>
      <c r="C87" s="432" t="str">
        <f>+'Rango indicadores'!D47</f>
        <v>06-RI-06</v>
      </c>
      <c r="D87" s="432" t="str">
        <f>+'Rango indicadores'!E47</f>
        <v>Acompañamientos a los ciudadanos realizados.</v>
      </c>
      <c r="E87" s="446">
        <f>+'Rango indicadores'!Q47</f>
        <v>60</v>
      </c>
      <c r="F87" s="446">
        <f>'1.Informe Seguimiento POA 2022'!O38</f>
        <v>12</v>
      </c>
      <c r="G87" s="446">
        <f>'1.Informe Seguimiento POA 2022'!O38</f>
        <v>12</v>
      </c>
      <c r="H87" s="446">
        <f>'1.Informe Seguimiento POA 2022'!P38</f>
        <v>18</v>
      </c>
      <c r="I87" s="446">
        <f>'1.Informe Seguimiento POA 2022'!P38</f>
        <v>18</v>
      </c>
      <c r="J87" s="446">
        <f t="shared" si="105"/>
        <v>18</v>
      </c>
      <c r="K87" s="449">
        <f t="shared" si="106"/>
        <v>1.5</v>
      </c>
      <c r="L87" s="449">
        <f t="shared" si="116"/>
        <v>1.5</v>
      </c>
      <c r="M87" s="435">
        <f t="shared" si="107"/>
        <v>0.3</v>
      </c>
      <c r="N87" s="446">
        <f t="shared" si="117"/>
        <v>60</v>
      </c>
      <c r="O87" s="434">
        <f>+'1.Informe Seguimiento POA 2022'!Q38</f>
        <v>18</v>
      </c>
      <c r="P87" s="446">
        <f t="shared" si="118"/>
        <v>30</v>
      </c>
      <c r="Q87" s="434">
        <f>'1.Informe Seguimiento POA 2022'!R38</f>
        <v>13</v>
      </c>
      <c r="R87" s="434">
        <f>+'1.Informe Seguimiento POA 2022'!P38+'1.Informe Seguimiento POA 2022'!R38</f>
        <v>31</v>
      </c>
      <c r="S87" s="446">
        <f t="shared" si="119"/>
        <v>31</v>
      </c>
      <c r="T87" s="449">
        <f t="shared" si="108"/>
        <v>0.72222222222222221</v>
      </c>
      <c r="U87" s="449">
        <f t="shared" si="120"/>
        <v>1.0333333333333334</v>
      </c>
      <c r="V87" s="435">
        <f t="shared" si="109"/>
        <v>0.51666666666666672</v>
      </c>
      <c r="W87" s="446">
        <f t="shared" si="121"/>
        <v>60</v>
      </c>
      <c r="X87" s="434">
        <f>+'1.Informe Seguimiento POA 2022'!S38</f>
        <v>18</v>
      </c>
      <c r="Y87" s="434">
        <f>+'1.Informe Seguimiento POA 2022'!O38+'1.Informe Seguimiento POA 2022'!Q38+'1.Informe Seguimiento POA 2022'!S38</f>
        <v>48</v>
      </c>
      <c r="Z87" s="434">
        <f>+'1.Informe Seguimiento POA 2022'!T38</f>
        <v>7</v>
      </c>
      <c r="AA87" s="434">
        <f>+'1.Informe Seguimiento POA 2022'!R38+'1.Informe Seguimiento POA 2022'!T38+'1.Informe Seguimiento POA 2022'!P38</f>
        <v>38</v>
      </c>
      <c r="AB87" s="878">
        <f t="shared" si="122"/>
        <v>38</v>
      </c>
      <c r="AC87" s="449">
        <f t="shared" si="111"/>
        <v>0.3888888888888889</v>
      </c>
      <c r="AD87" s="449">
        <f t="shared" si="123"/>
        <v>0.79166666666666663</v>
      </c>
      <c r="AE87" s="435">
        <f t="shared" si="112"/>
        <v>0.6333333333333333</v>
      </c>
      <c r="AF87" s="446">
        <f t="shared" si="124"/>
        <v>60</v>
      </c>
      <c r="AG87" s="446">
        <f>+'1.Informe Seguimiento POA 2022'!U38</f>
        <v>12</v>
      </c>
      <c r="AH87" s="446">
        <f>+'1.Informe Seguimiento POA 2022'!O38+'1.Informe Seguimiento POA 2022'!Q38+'1.Informe Seguimiento POA 2022'!S38+'1.Informe Seguimiento POA 2022'!U38</f>
        <v>60</v>
      </c>
      <c r="AI87" s="446">
        <f>+'1.Informe Seguimiento POA 2022'!V38</f>
        <v>29</v>
      </c>
      <c r="AJ87" s="446">
        <f>+'1.Informe Seguimiento POA 2022'!P38+'1.Informe Seguimiento POA 2022'!R38+'1.Informe Seguimiento POA 2022'!T38+'1.Informe Seguimiento POA 2022'!V38</f>
        <v>67</v>
      </c>
      <c r="AK87" s="446">
        <f t="shared" si="125"/>
        <v>67</v>
      </c>
      <c r="AL87" s="449">
        <f t="shared" si="114"/>
        <v>2.4166666666666665</v>
      </c>
      <c r="AM87" s="449">
        <f t="shared" si="126"/>
        <v>1.1166666666666667</v>
      </c>
      <c r="AN87" s="435">
        <f t="shared" si="115"/>
        <v>1.1166666666666667</v>
      </c>
      <c r="AO87" s="439" t="str">
        <f>+'Rango indicadores'!H47</f>
        <v>Mayor A:</v>
      </c>
      <c r="AP87" s="434">
        <f>+'Rango indicadores'!I47</f>
        <v>90</v>
      </c>
      <c r="AQ87" s="434" t="str">
        <f>+'Rango indicadores'!J47</f>
        <v>Desde (&gt;=):</v>
      </c>
      <c r="AR87" s="434">
        <f>+'Rango indicadores'!K47</f>
        <v>69</v>
      </c>
      <c r="AS87" s="434" t="str">
        <f>+'Rango indicadores'!L47</f>
        <v>Hasta (&lt;=):</v>
      </c>
      <c r="AT87" s="434">
        <f>+'Rango indicadores'!M47</f>
        <v>90</v>
      </c>
      <c r="AU87" s="434" t="str">
        <f>+'Rango indicadores'!N47</f>
        <v>Menor A:</v>
      </c>
      <c r="AV87" s="878">
        <f>+'Rango indicadores'!O47</f>
        <v>69</v>
      </c>
      <c r="AW87" s="523" t="s">
        <v>1176</v>
      </c>
      <c r="AX87" s="765"/>
      <c r="AY87" s="766">
        <f t="shared" ref="AY87:AZ88" si="128">+X87-Z87</f>
        <v>11</v>
      </c>
      <c r="AZ87" s="766">
        <f t="shared" si="128"/>
        <v>10</v>
      </c>
    </row>
    <row r="88" spans="2:53" ht="44.25" customHeight="1">
      <c r="B88" s="431">
        <f t="shared" si="127"/>
        <v>47</v>
      </c>
      <c r="C88" s="432" t="str">
        <f>+'Rango indicadores'!D48</f>
        <v>06-RI-07</v>
      </c>
      <c r="D88" s="432" t="str">
        <f>+'Rango indicadores'!E48</f>
        <v>Espacios de dialogo realizados.</v>
      </c>
      <c r="E88" s="446">
        <f>+'Rango indicadores'!Q48</f>
        <v>30</v>
      </c>
      <c r="F88" s="446">
        <f>'1.Informe Seguimiento POA 2022'!O39</f>
        <v>6</v>
      </c>
      <c r="G88" s="446">
        <f>'1.Informe Seguimiento POA 2022'!O39</f>
        <v>6</v>
      </c>
      <c r="H88" s="446">
        <f>'1.Informe Seguimiento POA 2022'!P39</f>
        <v>13</v>
      </c>
      <c r="I88" s="446">
        <f>'1.Informe Seguimiento POA 2022'!P39</f>
        <v>13</v>
      </c>
      <c r="J88" s="446">
        <f t="shared" si="105"/>
        <v>13</v>
      </c>
      <c r="K88" s="449">
        <f t="shared" si="106"/>
        <v>2.1666666666666665</v>
      </c>
      <c r="L88" s="449">
        <f t="shared" si="116"/>
        <v>2.1666666666666665</v>
      </c>
      <c r="M88" s="435">
        <f t="shared" si="107"/>
        <v>0.43333333333333335</v>
      </c>
      <c r="N88" s="446">
        <f t="shared" si="117"/>
        <v>30</v>
      </c>
      <c r="O88" s="434">
        <f>+'1.Informe Seguimiento POA 2022'!Q39</f>
        <v>9</v>
      </c>
      <c r="P88" s="446">
        <f t="shared" si="118"/>
        <v>15</v>
      </c>
      <c r="Q88" s="434">
        <f>'1.Informe Seguimiento POA 2022'!R39</f>
        <v>4</v>
      </c>
      <c r="R88" s="434">
        <f>+'1.Informe Seguimiento POA 2022'!P39+'1.Informe Seguimiento POA 2022'!R39</f>
        <v>17</v>
      </c>
      <c r="S88" s="446">
        <f t="shared" si="119"/>
        <v>17</v>
      </c>
      <c r="T88" s="449">
        <f t="shared" si="108"/>
        <v>0.44444444444444442</v>
      </c>
      <c r="U88" s="449">
        <f t="shared" si="120"/>
        <v>1.1333333333333333</v>
      </c>
      <c r="V88" s="435">
        <f t="shared" si="109"/>
        <v>0.56666666666666665</v>
      </c>
      <c r="W88" s="446">
        <f t="shared" si="121"/>
        <v>30</v>
      </c>
      <c r="X88" s="434">
        <f>+'1.Informe Seguimiento POA 2022'!S39</f>
        <v>9</v>
      </c>
      <c r="Y88" s="434">
        <f>+'1.Informe Seguimiento POA 2022'!O39+'1.Informe Seguimiento POA 2022'!Q39+'1.Informe Seguimiento POA 2022'!S39</f>
        <v>24</v>
      </c>
      <c r="Z88" s="434">
        <f>+'1.Informe Seguimiento POA 2022'!T39</f>
        <v>18</v>
      </c>
      <c r="AA88" s="434">
        <f>+'1.Informe Seguimiento POA 2022'!R39+'1.Informe Seguimiento POA 2022'!T39+'1.Informe Seguimiento POA 2022'!P39</f>
        <v>35</v>
      </c>
      <c r="AB88" s="878">
        <f t="shared" si="122"/>
        <v>35</v>
      </c>
      <c r="AC88" s="449">
        <f t="shared" si="111"/>
        <v>2</v>
      </c>
      <c r="AD88" s="449">
        <f t="shared" si="123"/>
        <v>1.4583333333333333</v>
      </c>
      <c r="AE88" s="435">
        <f t="shared" si="112"/>
        <v>1.1666666666666667</v>
      </c>
      <c r="AF88" s="446">
        <f t="shared" si="124"/>
        <v>30</v>
      </c>
      <c r="AG88" s="446">
        <f>+'1.Informe Seguimiento POA 2022'!U39</f>
        <v>6</v>
      </c>
      <c r="AH88" s="446">
        <f>+'1.Informe Seguimiento POA 2022'!O39+'1.Informe Seguimiento POA 2022'!Q39+'1.Informe Seguimiento POA 2022'!S39+'1.Informe Seguimiento POA 2022'!U39</f>
        <v>30</v>
      </c>
      <c r="AI88" s="446">
        <f>+'1.Informe Seguimiento POA 2022'!V39</f>
        <v>22</v>
      </c>
      <c r="AJ88" s="446">
        <f>+'1.Informe Seguimiento POA 2022'!P39+'1.Informe Seguimiento POA 2022'!R39+'1.Informe Seguimiento POA 2022'!T39+'1.Informe Seguimiento POA 2022'!V39</f>
        <v>57</v>
      </c>
      <c r="AK88" s="446">
        <f t="shared" si="125"/>
        <v>57</v>
      </c>
      <c r="AL88" s="449">
        <f t="shared" si="114"/>
        <v>3.6666666666666665</v>
      </c>
      <c r="AM88" s="449">
        <f t="shared" si="126"/>
        <v>1.9</v>
      </c>
      <c r="AN88" s="435">
        <f t="shared" si="115"/>
        <v>1.9</v>
      </c>
      <c r="AO88" s="439" t="str">
        <f>+'Rango indicadores'!H48</f>
        <v>Mayor A:</v>
      </c>
      <c r="AP88" s="434">
        <f>+'Rango indicadores'!I48</f>
        <v>90</v>
      </c>
      <c r="AQ88" s="434" t="str">
        <f>+'Rango indicadores'!J48</f>
        <v>Desde (&gt;=):</v>
      </c>
      <c r="AR88" s="434">
        <f>+'Rango indicadores'!K48</f>
        <v>69</v>
      </c>
      <c r="AS88" s="434" t="str">
        <f>+'Rango indicadores'!L48</f>
        <v>Hasta (&lt;=):</v>
      </c>
      <c r="AT88" s="434">
        <f>+'Rango indicadores'!M48</f>
        <v>90</v>
      </c>
      <c r="AU88" s="434" t="str">
        <f>+'Rango indicadores'!N48</f>
        <v>Menor A:</v>
      </c>
      <c r="AV88" s="878">
        <f>+'Rango indicadores'!O48</f>
        <v>69</v>
      </c>
      <c r="AW88" s="523" t="s">
        <v>1176</v>
      </c>
      <c r="AX88" s="589"/>
      <c r="AY88" s="766">
        <f t="shared" si="128"/>
        <v>-9</v>
      </c>
      <c r="AZ88" s="766">
        <f t="shared" si="128"/>
        <v>-11</v>
      </c>
      <c r="BA88" s="447"/>
    </row>
    <row r="89" spans="2:53" ht="15.6">
      <c r="C89" s="1378" t="s">
        <v>866</v>
      </c>
      <c r="D89" s="1379"/>
      <c r="E89" s="1379"/>
      <c r="F89" s="1379"/>
      <c r="G89" s="1379"/>
      <c r="H89" s="1379"/>
      <c r="I89" s="1379"/>
      <c r="J89" s="1379"/>
      <c r="K89" s="437">
        <f>IFERROR(AVERAGE(K82:K88),0)</f>
        <v>1.2113821138211383</v>
      </c>
      <c r="L89" s="437">
        <f>IFERROR(AVERAGE(L82:L88),0)</f>
        <v>1.2113821138211383</v>
      </c>
      <c r="M89" s="437">
        <f>IFERROR(AVERAGE(M82:M88),0)</f>
        <v>0.11701830507800658</v>
      </c>
      <c r="N89" s="882"/>
      <c r="O89" s="882"/>
      <c r="P89" s="882"/>
      <c r="Q89" s="882"/>
      <c r="R89" s="882"/>
      <c r="S89" s="882"/>
      <c r="T89" s="437">
        <f>IFERROR(AVERAGE(T82:T88),0)</f>
        <v>0.56273448773448775</v>
      </c>
      <c r="U89" s="437">
        <f>IFERROR(AVERAGE(U82:U88),0)</f>
        <v>0.67051721818670984</v>
      </c>
      <c r="V89" s="437">
        <f>IFERROR(AVERAGE(V82:V88),0)</f>
        <v>0.2550677822532833</v>
      </c>
      <c r="W89" s="882"/>
      <c r="X89" s="882"/>
      <c r="Y89" s="882"/>
      <c r="Z89" s="882"/>
      <c r="AA89" s="882"/>
      <c r="AB89" s="882"/>
      <c r="AC89" s="437">
        <f>IFERROR(AVERAGE(AC82:AC88),0)</f>
        <v>1.0513232694138448</v>
      </c>
      <c r="AD89" s="437">
        <f>IFERROR(AVERAGE(AD82:AD88),0)</f>
        <v>0.90537273430592391</v>
      </c>
      <c r="AE89" s="437">
        <f>IFERROR(AVERAGE(AE82:AE88),0)</f>
        <v>0.53483211884064763</v>
      </c>
      <c r="AF89" s="882"/>
      <c r="AG89" s="882"/>
      <c r="AH89" s="882"/>
      <c r="AI89" s="882"/>
      <c r="AJ89" s="515"/>
      <c r="AK89" s="515"/>
      <c r="AL89" s="437">
        <f>IFERROR(AVERAGE(AL82:AL88),0)</f>
        <v>3.4411375661375665</v>
      </c>
      <c r="AM89" s="437">
        <f>IFERROR(AVERAGE(AM82:AM88),0)</f>
        <v>1.1623400409114697</v>
      </c>
      <c r="AN89" s="437">
        <f>IFERROR(AVERAGE(AN82:AN88),0)</f>
        <v>1.1623400409114697</v>
      </c>
      <c r="AO89" s="444"/>
      <c r="AP89" s="444"/>
      <c r="AQ89" s="444"/>
      <c r="AR89" s="444"/>
      <c r="AS89" s="444"/>
      <c r="AT89" s="444"/>
      <c r="AU89" s="444"/>
      <c r="AV89" s="444"/>
      <c r="AW89" s="529"/>
    </row>
    <row r="90" spans="2:53" s="427" customFormat="1" ht="29.4" customHeight="1" thickBot="1">
      <c r="D90" s="429"/>
      <c r="AW90" s="429"/>
      <c r="AY90" s="413"/>
      <c r="AZ90" s="413"/>
    </row>
    <row r="91" spans="2:53" s="427" customFormat="1" ht="16.2" thickBot="1">
      <c r="C91" s="430" t="s">
        <v>873</v>
      </c>
      <c r="D91" s="460"/>
      <c r="E91" s="1380" t="s">
        <v>1128</v>
      </c>
      <c r="F91" s="1381"/>
      <c r="G91" s="1381"/>
      <c r="H91" s="1381"/>
      <c r="I91" s="1381"/>
      <c r="J91" s="1381"/>
      <c r="K91" s="1381"/>
      <c r="L91" s="1381"/>
      <c r="M91" s="1382"/>
      <c r="N91" s="1383" t="s">
        <v>1129</v>
      </c>
      <c r="O91" s="1384"/>
      <c r="P91" s="1384"/>
      <c r="Q91" s="1384"/>
      <c r="R91" s="1384"/>
      <c r="S91" s="1384"/>
      <c r="T91" s="1384"/>
      <c r="U91" s="1384"/>
      <c r="V91" s="1385"/>
      <c r="W91" s="1386" t="s">
        <v>1130</v>
      </c>
      <c r="X91" s="1387"/>
      <c r="Y91" s="1387"/>
      <c r="Z91" s="1387"/>
      <c r="AA91" s="1387"/>
      <c r="AB91" s="1387"/>
      <c r="AC91" s="1387"/>
      <c r="AD91" s="1387"/>
      <c r="AE91" s="1388"/>
      <c r="AF91" s="1383" t="s">
        <v>1046</v>
      </c>
      <c r="AG91" s="1384"/>
      <c r="AH91" s="1384"/>
      <c r="AI91" s="1384"/>
      <c r="AJ91" s="1384"/>
      <c r="AK91" s="1384"/>
      <c r="AL91" s="1384"/>
      <c r="AM91" s="1384"/>
      <c r="AN91" s="1385"/>
      <c r="AW91" s="429"/>
      <c r="AY91" s="413"/>
      <c r="AZ91" s="413"/>
    </row>
    <row r="92" spans="2:53" ht="30" customHeight="1">
      <c r="C92" s="1393" t="str">
        <f>+$C$10</f>
        <v>Identificación del Indicador</v>
      </c>
      <c r="D92" s="1396" t="s">
        <v>861</v>
      </c>
      <c r="E92" s="1389" t="s">
        <v>862</v>
      </c>
      <c r="F92" s="1390"/>
      <c r="G92" s="1391"/>
      <c r="H92" s="1392" t="s">
        <v>1132</v>
      </c>
      <c r="I92" s="1394" t="s">
        <v>1136</v>
      </c>
      <c r="J92" s="1392" t="s">
        <v>863</v>
      </c>
      <c r="K92" s="1392" t="s">
        <v>857</v>
      </c>
      <c r="L92" s="1392"/>
      <c r="M92" s="1392"/>
      <c r="N92" s="1389" t="s">
        <v>862</v>
      </c>
      <c r="O92" s="1390"/>
      <c r="P92" s="1391"/>
      <c r="Q92" s="1392" t="s">
        <v>1141</v>
      </c>
      <c r="R92" s="1394" t="s">
        <v>1133</v>
      </c>
      <c r="S92" s="1392" t="s">
        <v>863</v>
      </c>
      <c r="T92" s="1392" t="s">
        <v>857</v>
      </c>
      <c r="U92" s="1392"/>
      <c r="V92" s="1392"/>
      <c r="W92" s="1389" t="s">
        <v>862</v>
      </c>
      <c r="X92" s="1390"/>
      <c r="Y92" s="1391"/>
      <c r="Z92" s="1392" t="s">
        <v>1142</v>
      </c>
      <c r="AA92" s="1394" t="s">
        <v>1138</v>
      </c>
      <c r="AB92" s="1392" t="s">
        <v>863</v>
      </c>
      <c r="AC92" s="1392" t="s">
        <v>857</v>
      </c>
      <c r="AD92" s="1392"/>
      <c r="AE92" s="1392"/>
      <c r="AF92" s="1389" t="s">
        <v>862</v>
      </c>
      <c r="AG92" s="1390"/>
      <c r="AH92" s="1391"/>
      <c r="AI92" s="1392" t="s">
        <v>1172</v>
      </c>
      <c r="AJ92" s="1394" t="s">
        <v>1173</v>
      </c>
      <c r="AK92" s="1392" t="s">
        <v>863</v>
      </c>
      <c r="AL92" s="1392" t="s">
        <v>857</v>
      </c>
      <c r="AM92" s="1392"/>
      <c r="AN92" s="1392"/>
      <c r="AO92" s="1398" t="s">
        <v>709</v>
      </c>
      <c r="AP92" s="1398"/>
      <c r="AQ92" s="1398"/>
      <c r="AR92" s="1398"/>
      <c r="AS92" s="1398"/>
      <c r="AT92" s="1398"/>
      <c r="AU92" s="1398"/>
      <c r="AV92" s="1398"/>
      <c r="AW92" s="1393" t="s">
        <v>882</v>
      </c>
    </row>
    <row r="93" spans="2:53" ht="51.75" customHeight="1">
      <c r="C93" s="1393"/>
      <c r="D93" s="1396"/>
      <c r="E93" s="1024" t="s">
        <v>1143</v>
      </c>
      <c r="F93" s="1024" t="str">
        <f>+E91</f>
        <v>Primer Trimestre</v>
      </c>
      <c r="G93" s="1025" t="s">
        <v>1135</v>
      </c>
      <c r="H93" s="1393"/>
      <c r="I93" s="1395"/>
      <c r="J93" s="1393"/>
      <c r="K93" s="1024" t="str">
        <f>+$D$6</f>
        <v>Cuarto Trimestre</v>
      </c>
      <c r="L93" s="1025" t="str">
        <f>+G93</f>
        <v>Acumulado
Corte 
31/03/2022</v>
      </c>
      <c r="M93" s="1026" t="s">
        <v>754</v>
      </c>
      <c r="N93" s="1024" t="s">
        <v>1143</v>
      </c>
      <c r="O93" s="1024" t="str">
        <f>+N91</f>
        <v>Segundo Trimestre</v>
      </c>
      <c r="P93" s="1025" t="s">
        <v>1134</v>
      </c>
      <c r="Q93" s="1393"/>
      <c r="R93" s="1395"/>
      <c r="S93" s="1393"/>
      <c r="T93" s="1024" t="str">
        <f>+O93</f>
        <v>Segundo Trimestre</v>
      </c>
      <c r="U93" s="1025" t="str">
        <f>+P93</f>
        <v>Acumulado Corte 
30/06/2022</v>
      </c>
      <c r="V93" s="1026" t="s">
        <v>754</v>
      </c>
      <c r="W93" s="1024" t="s">
        <v>1143</v>
      </c>
      <c r="X93" s="1024" t="str">
        <f>+W91</f>
        <v>Tercer Trimestre</v>
      </c>
      <c r="Y93" s="1025" t="s">
        <v>1137</v>
      </c>
      <c r="Z93" s="1393"/>
      <c r="AA93" s="1395"/>
      <c r="AB93" s="1393"/>
      <c r="AC93" s="1024" t="str">
        <f>+X93</f>
        <v>Tercer Trimestre</v>
      </c>
      <c r="AD93" s="1025" t="str">
        <f>+Y93</f>
        <v>Acumulado Corte 
30/09/2022</v>
      </c>
      <c r="AE93" s="1026" t="s">
        <v>754</v>
      </c>
      <c r="AF93" s="1024" t="s">
        <v>1143</v>
      </c>
      <c r="AG93" s="1024" t="s">
        <v>1171</v>
      </c>
      <c r="AH93" s="1025" t="s">
        <v>1139</v>
      </c>
      <c r="AI93" s="1393"/>
      <c r="AJ93" s="1395"/>
      <c r="AK93" s="1393"/>
      <c r="AL93" s="1024" t="str">
        <f>+AG93</f>
        <v>Cuarto Trimestre
31-12-2022</v>
      </c>
      <c r="AM93" s="1025" t="str">
        <f>+AH93</f>
        <v>Acumulado Corte 
31/12/2022</v>
      </c>
      <c r="AN93" s="1026" t="s">
        <v>754</v>
      </c>
      <c r="AO93" s="1097" t="s">
        <v>864</v>
      </c>
      <c r="AP93" s="1098"/>
      <c r="AQ93" s="1099" t="s">
        <v>865</v>
      </c>
      <c r="AR93" s="1100"/>
      <c r="AS93" s="1100"/>
      <c r="AT93" s="1101"/>
      <c r="AU93" s="1102" t="s">
        <v>717</v>
      </c>
      <c r="AV93" s="1103"/>
      <c r="AW93" s="1393"/>
    </row>
    <row r="94" spans="2:53" ht="44.25" customHeight="1">
      <c r="B94" s="431">
        <f>+B88+1</f>
        <v>48</v>
      </c>
      <c r="C94" s="432" t="str">
        <f>+'Rango indicadores'!D49</f>
        <v>07-RI-01</v>
      </c>
      <c r="D94" s="432" t="str">
        <f>+'Rango indicadores'!E49</f>
        <v>Procesos priorizados identificados y decididos de fondo</v>
      </c>
      <c r="E94" s="446">
        <f>+'Rango indicadores'!Q49</f>
        <v>1800</v>
      </c>
      <c r="F94" s="446">
        <f>'1.Informe Seguimiento POA 2022'!O40</f>
        <v>300</v>
      </c>
      <c r="G94" s="446">
        <f>'1.Informe Seguimiento POA 2022'!O40</f>
        <v>300</v>
      </c>
      <c r="H94" s="446">
        <f>'1.Informe Seguimiento POA 2022'!P40</f>
        <v>318</v>
      </c>
      <c r="I94" s="446">
        <f>'1.Informe Seguimiento POA 2022'!P40</f>
        <v>318</v>
      </c>
      <c r="J94" s="446">
        <f t="shared" ref="J94:J101" si="129">I94</f>
        <v>318</v>
      </c>
      <c r="K94" s="449">
        <f t="shared" ref="K94" si="130">IF(AND(F94&gt;0),H94/F94,"No programado")</f>
        <v>1.06</v>
      </c>
      <c r="L94" s="449">
        <f t="shared" ref="L94" si="131">IF(AND(G94&gt;0),I94/G94,"No programado")</f>
        <v>1.06</v>
      </c>
      <c r="M94" s="435">
        <f t="shared" ref="M94" si="132">IF(AND(E94&gt;0,$J94&gt;0),J94/$E94,0)</f>
        <v>0.17666666666666667</v>
      </c>
      <c r="N94" s="446">
        <f t="shared" ref="N94:N95" si="133">+E94</f>
        <v>1800</v>
      </c>
      <c r="O94" s="434">
        <f>+'1.Informe Seguimiento POA 2022'!Q40</f>
        <v>490</v>
      </c>
      <c r="P94" s="446">
        <f t="shared" ref="P94" si="134">G94+O94</f>
        <v>790</v>
      </c>
      <c r="Q94" s="434">
        <f>'1.Informe Seguimiento POA 2022'!R40</f>
        <v>366</v>
      </c>
      <c r="R94" s="434">
        <f>+'1.Informe Seguimiento POA 2022'!P40+'1.Informe Seguimiento POA 2022'!R40</f>
        <v>684</v>
      </c>
      <c r="S94" s="446">
        <f t="shared" ref="S94" si="135">H94+Q94</f>
        <v>684</v>
      </c>
      <c r="T94" s="449">
        <f t="shared" ref="T94:T101" si="136">IF(AND(O94&gt;0),Q94/O94,"No programado")</f>
        <v>0.74693877551020404</v>
      </c>
      <c r="U94" s="449">
        <f t="shared" ref="U94:U101" si="137">IF(AND(P94&gt;0),R94/P94,"No programado")</f>
        <v>0.86582278481012653</v>
      </c>
      <c r="V94" s="435">
        <f>IF(AND(N94&gt;0,$S94&gt;0),S94/$N94,0)</f>
        <v>0.38</v>
      </c>
      <c r="W94" s="446">
        <f t="shared" ref="W94" si="138">+N94</f>
        <v>1800</v>
      </c>
      <c r="X94" s="434">
        <f>+'1.Informe Seguimiento POA 2022'!S40</f>
        <v>630</v>
      </c>
      <c r="Y94" s="434">
        <f>+'1.Informe Seguimiento POA 2022'!O40+'1.Informe Seguimiento POA 2022'!Q40+'1.Informe Seguimiento POA 2022'!S40</f>
        <v>1420</v>
      </c>
      <c r="Z94" s="434">
        <f>+'1.Informe Seguimiento POA 2022'!T40</f>
        <v>450</v>
      </c>
      <c r="AA94" s="434">
        <f>+'1.Informe Seguimiento POA 2022'!R40+'1.Informe Seguimiento POA 2022'!T40+'1.Informe Seguimiento POA 2022'!P40</f>
        <v>1134</v>
      </c>
      <c r="AB94" s="878">
        <f t="shared" ref="AB94" si="139">H94+Q94+Z94</f>
        <v>1134</v>
      </c>
      <c r="AC94" s="449">
        <f t="shared" ref="AC94:AC101" si="140">IF(AND(X94&gt;0),Z94/X94,"No programado")</f>
        <v>0.7142857142857143</v>
      </c>
      <c r="AD94" s="449">
        <f t="shared" ref="AD94:AD101" si="141">IF(AND(Y94&gt;0),AA94/Y94,"No programado")</f>
        <v>0.79859154929577469</v>
      </c>
      <c r="AE94" s="435">
        <f t="shared" ref="AE94:AE101" si="142">IF(AND(W94&gt;0,$AB94&gt;0),AB94/$W94,0)</f>
        <v>0.63</v>
      </c>
      <c r="AF94" s="446">
        <f>+W94</f>
        <v>1800</v>
      </c>
      <c r="AG94" s="446">
        <f>+'1.Informe Seguimiento POA 2022'!U40</f>
        <v>380</v>
      </c>
      <c r="AH94" s="446">
        <f>+'1.Informe Seguimiento POA 2022'!O40+'1.Informe Seguimiento POA 2022'!Q40+'1.Informe Seguimiento POA 2022'!S40+'1.Informe Seguimiento POA 2022'!U40</f>
        <v>1800</v>
      </c>
      <c r="AI94" s="446">
        <f>+'1.Informe Seguimiento POA 2022'!V40</f>
        <v>605</v>
      </c>
      <c r="AJ94" s="446">
        <f>+'1.Informe Seguimiento POA 2022'!P40+'1.Informe Seguimiento POA 2022'!R40+'1.Informe Seguimiento POA 2022'!T40+'1.Informe Seguimiento POA 2022'!V40</f>
        <v>1739</v>
      </c>
      <c r="AK94" s="446">
        <f t="shared" ref="AK94" si="143">H94+Q94+Z94+AI94</f>
        <v>1739</v>
      </c>
      <c r="AL94" s="449">
        <f t="shared" ref="AL94:AL101" si="144">IF(AND(AG94&gt;0),AI94/AG94,"No programado")</f>
        <v>1.5921052631578947</v>
      </c>
      <c r="AM94" s="435">
        <f t="shared" ref="AM94:AM101" si="145">IF(AND(AH94&gt;0),AJ94/AH94,"No programado")</f>
        <v>0.96611111111111114</v>
      </c>
      <c r="AN94" s="435">
        <f t="shared" ref="AN94:AN101" si="146">IF(AND(AF94&gt;0,$AK94&gt;0),AK94/$AF94,0)</f>
        <v>0.96611111111111114</v>
      </c>
      <c r="AO94" s="439" t="str">
        <f>+'Rango indicadores'!H49</f>
        <v>Mayor A:</v>
      </c>
      <c r="AP94" s="434">
        <f>+'Rango indicadores'!I49</f>
        <v>90</v>
      </c>
      <c r="AQ94" s="434" t="str">
        <f>+'Rango indicadores'!J49</f>
        <v>Desde (&gt;=):</v>
      </c>
      <c r="AR94" s="434">
        <f>+'Rango indicadores'!K49</f>
        <v>60</v>
      </c>
      <c r="AS94" s="434" t="str">
        <f>+'Rango indicadores'!L49</f>
        <v>Hasta (&lt;=):</v>
      </c>
      <c r="AT94" s="434">
        <f>+'Rango indicadores'!M49</f>
        <v>90</v>
      </c>
      <c r="AU94" s="434" t="str">
        <f>+'Rango indicadores'!N49</f>
        <v>Menor A:</v>
      </c>
      <c r="AV94" s="434">
        <f>+'Rango indicadores'!O49</f>
        <v>60</v>
      </c>
      <c r="AW94" s="898" t="s">
        <v>1178</v>
      </c>
      <c r="AX94" s="589"/>
      <c r="AY94" s="766">
        <f t="shared" ref="AY94:AZ101" si="147">+X94-Z94</f>
        <v>180</v>
      </c>
      <c r="AZ94" s="447"/>
    </row>
    <row r="95" spans="2:53" ht="44.25" customHeight="1">
      <c r="B95" s="431">
        <f t="shared" ref="B95:B101" si="148">+B94+1</f>
        <v>49</v>
      </c>
      <c r="C95" s="432" t="str">
        <f>+'Rango indicadores'!D50</f>
        <v>07-RI-02</v>
      </c>
      <c r="D95" s="432" t="str">
        <f>+'Rango indicadores'!E50</f>
        <v>Noticias disciplinarias  evaluadas y con impulso procesal</v>
      </c>
      <c r="E95" s="470">
        <f>+'Rango indicadores'!Q50</f>
        <v>1</v>
      </c>
      <c r="F95" s="464">
        <f>'1.Informe Seguimiento POA 2022'!O41</f>
        <v>1</v>
      </c>
      <c r="G95" s="464">
        <f>'1.Informe Seguimiento POA 2022'!O41</f>
        <v>1</v>
      </c>
      <c r="H95" s="790">
        <f>'1.Informe Seguimiento POA 2022'!P41</f>
        <v>0.79066666666666663</v>
      </c>
      <c r="I95" s="790">
        <f>'1.Informe Seguimiento POA 2022'!P41</f>
        <v>0.79066666666666663</v>
      </c>
      <c r="J95" s="790">
        <f t="shared" si="129"/>
        <v>0.79066666666666663</v>
      </c>
      <c r="K95" s="449">
        <f t="shared" ref="K95:K101" si="149">IF(AND(F95&gt;0),H95/F95,"No programado")</f>
        <v>0.79066666666666663</v>
      </c>
      <c r="L95" s="449">
        <f t="shared" ref="L95:L101" si="150">IF(AND(G95&gt;0),I95/G95,"No programado")</f>
        <v>0.79066666666666663</v>
      </c>
      <c r="M95" s="435">
        <f>IF(AND(E95&gt;0,$J95&gt;0),J95/$E95,0)*0.25</f>
        <v>0.19766666666666666</v>
      </c>
      <c r="N95" s="470">
        <f t="shared" si="133"/>
        <v>1</v>
      </c>
      <c r="O95" s="790">
        <f>+'1.Informe Seguimiento POA 2022'!Q41</f>
        <v>1</v>
      </c>
      <c r="P95" s="879">
        <f>IFERROR(AVERAGE(F95,O95),0)</f>
        <v>1</v>
      </c>
      <c r="Q95" s="790">
        <f>'1.Informe Seguimiento POA 2022'!R41</f>
        <v>0.91633333333333322</v>
      </c>
      <c r="R95" s="436">
        <f>IFERROR(AVERAGE('1.Informe Seguimiento POA 2022'!P41,'1.Informe Seguimiento POA 2022'!R41),0)</f>
        <v>0.85349999999999993</v>
      </c>
      <c r="S95" s="436">
        <f>IFERROR(IF(OR($N95="",$N95=0),0,ROUNDDOWN(AVERAGE($H95,Q95),3)),0)</f>
        <v>0.85299999999999998</v>
      </c>
      <c r="T95" s="449">
        <f t="shared" si="136"/>
        <v>0.91633333333333322</v>
      </c>
      <c r="U95" s="449">
        <f t="shared" si="137"/>
        <v>0.85349999999999993</v>
      </c>
      <c r="V95" s="435">
        <f>IF(AND(N95&gt;0,$S95&gt;0),S95/$N95,0)*0.5</f>
        <v>0.42649999999999999</v>
      </c>
      <c r="W95" s="470">
        <f>N95</f>
        <v>1</v>
      </c>
      <c r="X95" s="464">
        <f>+'1.Informe Seguimiento POA 2022'!S41</f>
        <v>1</v>
      </c>
      <c r="Y95" s="436">
        <f>IFERROR(AVERAGE('1.Informe Seguimiento POA 2022'!O41,'1.Informe Seguimiento POA 2022'!Q41,,'1.Informe Seguimiento POA 2022'!S41),0)</f>
        <v>0.75</v>
      </c>
      <c r="Z95" s="436">
        <f>+'1.Informe Seguimiento POA 2022'!T41</f>
        <v>0.91733333333333322</v>
      </c>
      <c r="AA95" s="436">
        <f>IFERROR(AVERAGE('1.Informe Seguimiento POA 2022'!R41,'1.Informe Seguimiento POA 2022'!P41,'1.Informe Seguimiento POA 2022'!T41),0)</f>
        <v>0.87477777777777765</v>
      </c>
      <c r="AB95" s="436">
        <f>IFERROR(IF(OR($W95="",$W95=0),0,ROUNDDOWN(AVERAGE($H95,Q95,Z95),3)),0)</f>
        <v>0.874</v>
      </c>
      <c r="AC95" s="449">
        <f t="shared" si="140"/>
        <v>0.91733333333333322</v>
      </c>
      <c r="AD95" s="449">
        <f t="shared" si="141"/>
        <v>1.1663703703703703</v>
      </c>
      <c r="AE95" s="435">
        <f>IF(AND(W95&gt;0,$AB95&gt;0),AB95/$W95,0)*0.75</f>
        <v>0.65549999999999997</v>
      </c>
      <c r="AF95" s="470">
        <f t="shared" ref="AF95:AF101" si="151">+W95</f>
        <v>1</v>
      </c>
      <c r="AG95" s="524">
        <f>'1.Informe Seguimiento POA 2022'!U41</f>
        <v>1</v>
      </c>
      <c r="AH95" s="524">
        <f>IFERROR(AVERAGE('1.Informe Seguimiento POA 2022'!O41,'1.Informe Seguimiento POA 2022'!Q41,'1.Informe Seguimiento POA 2022'!S41,'1.Informe Seguimiento POA 2022'!U41),0)</f>
        <v>1</v>
      </c>
      <c r="AI95" s="524">
        <f>+'1.Informe Seguimiento POA 2022'!V41</f>
        <v>1.2533333333333332</v>
      </c>
      <c r="AJ95" s="524">
        <f>IFERROR(AVERAGE('1.Informe Seguimiento POA 2022'!P41,'1.Informe Seguimiento POA 2022'!R41,'1.Informe Seguimiento POA 2022'!T41,'1.Informe Seguimiento POA 2022'!V41),0)</f>
        <v>0.96941666666666659</v>
      </c>
      <c r="AK95" s="524">
        <f>IFERROR(IF(OR($AF97="",$AF97=0),0,ROUNDDOWN(AVERAGE($H95,Q95,Z95,AI95),3)),0)</f>
        <v>0.96899999999999997</v>
      </c>
      <c r="AL95" s="449">
        <f t="shared" si="144"/>
        <v>1.2533333333333332</v>
      </c>
      <c r="AM95" s="435">
        <f t="shared" si="145"/>
        <v>0.96941666666666659</v>
      </c>
      <c r="AN95" s="435">
        <f t="shared" si="146"/>
        <v>0.96899999999999997</v>
      </c>
      <c r="AO95" s="439" t="str">
        <f>+'Rango indicadores'!H50</f>
        <v>Mayor A:</v>
      </c>
      <c r="AP95" s="434">
        <f>+'Rango indicadores'!I50</f>
        <v>90</v>
      </c>
      <c r="AQ95" s="434" t="str">
        <f>+'Rango indicadores'!J50</f>
        <v>Desde (&gt;=):</v>
      </c>
      <c r="AR95" s="434">
        <f>+'Rango indicadores'!K50</f>
        <v>60</v>
      </c>
      <c r="AS95" s="434" t="str">
        <f>+'Rango indicadores'!L50</f>
        <v>Hasta (&lt;=):</v>
      </c>
      <c r="AT95" s="434">
        <f>+'Rango indicadores'!M50</f>
        <v>90</v>
      </c>
      <c r="AU95" s="434" t="str">
        <f>+'Rango indicadores'!N50</f>
        <v>Menor A:</v>
      </c>
      <c r="AV95" s="434">
        <f>+'Rango indicadores'!O50</f>
        <v>60</v>
      </c>
      <c r="AW95" s="898" t="s">
        <v>1179</v>
      </c>
      <c r="AX95" s="589"/>
      <c r="AY95" s="766">
        <f t="shared" si="147"/>
        <v>8.2666666666666777E-2</v>
      </c>
      <c r="AZ95" s="525"/>
    </row>
    <row r="96" spans="2:53" ht="44.25" customHeight="1">
      <c r="B96" s="431">
        <f t="shared" si="148"/>
        <v>50</v>
      </c>
      <c r="C96" s="432" t="str">
        <f>+'Rango indicadores'!D51</f>
        <v>07-RI-03</v>
      </c>
      <c r="D96" s="432" t="str">
        <f>+'Rango indicadores'!E51</f>
        <v>Visitas de seguimiento a Oficinas de Control Interno Disciplinario realizadas</v>
      </c>
      <c r="E96" s="446">
        <f>+'Rango indicadores'!Q51</f>
        <v>51</v>
      </c>
      <c r="F96" s="446">
        <f>'1.Informe Seguimiento POA 2022'!O42</f>
        <v>0</v>
      </c>
      <c r="G96" s="446">
        <f>'1.Informe Seguimiento POA 2022'!O42</f>
        <v>0</v>
      </c>
      <c r="H96" s="446">
        <f>'1.Informe Seguimiento POA 2022'!P42</f>
        <v>0</v>
      </c>
      <c r="I96" s="446">
        <f>'1.Informe Seguimiento POA 2022'!P42</f>
        <v>0</v>
      </c>
      <c r="J96" s="446">
        <f t="shared" si="129"/>
        <v>0</v>
      </c>
      <c r="K96" s="449" t="str">
        <f t="shared" si="149"/>
        <v>No programado</v>
      </c>
      <c r="L96" s="449" t="str">
        <f t="shared" si="150"/>
        <v>No programado</v>
      </c>
      <c r="M96" s="435">
        <f t="shared" ref="M96:M101" si="152">IF(AND(E96&gt;0,$J96&gt;0),J96/$E96,0)</f>
        <v>0</v>
      </c>
      <c r="N96" s="446">
        <f t="shared" ref="N96:N97" si="153">+E96</f>
        <v>51</v>
      </c>
      <c r="O96" s="434">
        <f>+'1.Informe Seguimiento POA 2022'!Q42</f>
        <v>30</v>
      </c>
      <c r="P96" s="446">
        <f t="shared" ref="P96" si="154">G96+O96</f>
        <v>30</v>
      </c>
      <c r="Q96" s="434">
        <f>'1.Informe Seguimiento POA 2022'!R42</f>
        <v>0</v>
      </c>
      <c r="R96" s="434">
        <f>+'1.Informe Seguimiento POA 2022'!P42+'1.Informe Seguimiento POA 2022'!R42</f>
        <v>0</v>
      </c>
      <c r="S96" s="446">
        <f t="shared" ref="S96" si="155">H96+Q96</f>
        <v>0</v>
      </c>
      <c r="T96" s="449">
        <f t="shared" si="136"/>
        <v>0</v>
      </c>
      <c r="U96" s="449">
        <f t="shared" si="137"/>
        <v>0</v>
      </c>
      <c r="V96" s="435">
        <f>IF(AND(N96&gt;0,$S96&gt;0),S96/$N96,0)</f>
        <v>0</v>
      </c>
      <c r="W96" s="446">
        <f t="shared" ref="W96:W101" si="156">+N96</f>
        <v>51</v>
      </c>
      <c r="X96" s="434">
        <f>+'1.Informe Seguimiento POA 2022'!S42</f>
        <v>21</v>
      </c>
      <c r="Y96" s="434">
        <f>+'1.Informe Seguimiento POA 2022'!O42+'1.Informe Seguimiento POA 2022'!Q42+'1.Informe Seguimiento POA 2022'!S42</f>
        <v>51</v>
      </c>
      <c r="Z96" s="434">
        <f>+'1.Informe Seguimiento POA 2022'!T42</f>
        <v>9</v>
      </c>
      <c r="AA96" s="434">
        <f>+'1.Informe Seguimiento POA 2022'!R42+'1.Informe Seguimiento POA 2022'!T42+'1.Informe Seguimiento POA 2022'!P42</f>
        <v>9</v>
      </c>
      <c r="AB96" s="878">
        <f t="shared" ref="AB96:AB101" si="157">H96+Q96+Z96</f>
        <v>9</v>
      </c>
      <c r="AC96" s="449">
        <f t="shared" si="140"/>
        <v>0.42857142857142855</v>
      </c>
      <c r="AD96" s="449">
        <f t="shared" si="141"/>
        <v>0.17647058823529413</v>
      </c>
      <c r="AE96" s="435">
        <f t="shared" si="142"/>
        <v>0.17647058823529413</v>
      </c>
      <c r="AF96" s="446">
        <f t="shared" si="151"/>
        <v>51</v>
      </c>
      <c r="AG96" s="446">
        <f>+'1.Informe Seguimiento POA 2022'!U42</f>
        <v>0</v>
      </c>
      <c r="AH96" s="446">
        <f>+'1.Informe Seguimiento POA 2022'!O42+'1.Informe Seguimiento POA 2022'!Q42+'1.Informe Seguimiento POA 2022'!S42+'1.Informe Seguimiento POA 2022'!U42</f>
        <v>51</v>
      </c>
      <c r="AI96" s="446">
        <f>+'1.Informe Seguimiento POA 2022'!V42</f>
        <v>42</v>
      </c>
      <c r="AJ96" s="446">
        <f>+'1.Informe Seguimiento POA 2022'!P42+'1.Informe Seguimiento POA 2022'!R42+'1.Informe Seguimiento POA 2022'!T42+'1.Informe Seguimiento POA 2022'!V42</f>
        <v>51</v>
      </c>
      <c r="AK96" s="446">
        <f t="shared" ref="AK96" si="158">H96+Q96+Z96+AI96</f>
        <v>51</v>
      </c>
      <c r="AL96" s="449" t="str">
        <f t="shared" si="144"/>
        <v>No programado</v>
      </c>
      <c r="AM96" s="449">
        <f t="shared" si="145"/>
        <v>1</v>
      </c>
      <c r="AN96" s="435">
        <f t="shared" si="146"/>
        <v>1</v>
      </c>
      <c r="AO96" s="439" t="str">
        <f>+'Rango indicadores'!H51</f>
        <v>Mayor A:</v>
      </c>
      <c r="AP96" s="434">
        <f>+'Rango indicadores'!I51</f>
        <v>90</v>
      </c>
      <c r="AQ96" s="434" t="str">
        <f>+'Rango indicadores'!J51</f>
        <v>Desde (&gt;=):</v>
      </c>
      <c r="AR96" s="434">
        <f>+'Rango indicadores'!K51</f>
        <v>65</v>
      </c>
      <c r="AS96" s="434" t="str">
        <f>+'Rango indicadores'!L51</f>
        <v>Hasta (&lt;=):</v>
      </c>
      <c r="AT96" s="434">
        <f>+'Rango indicadores'!M51</f>
        <v>90</v>
      </c>
      <c r="AU96" s="434" t="str">
        <f>+'Rango indicadores'!N51</f>
        <v>Menor A:</v>
      </c>
      <c r="AV96" s="878">
        <f>+'Rango indicadores'!O51</f>
        <v>65</v>
      </c>
      <c r="AW96" s="523" t="s">
        <v>1175</v>
      </c>
      <c r="AX96" s="589"/>
      <c r="AY96" s="766">
        <f t="shared" si="147"/>
        <v>12</v>
      </c>
      <c r="AZ96" s="766">
        <f t="shared" si="147"/>
        <v>42</v>
      </c>
    </row>
    <row r="97" spans="2:53" ht="44.25" customHeight="1">
      <c r="B97" s="431">
        <f t="shared" si="148"/>
        <v>51</v>
      </c>
      <c r="C97" s="432" t="str">
        <f>+'Rango indicadores'!D52</f>
        <v>07-RI-04</v>
      </c>
      <c r="D97" s="432" t="str">
        <f>+'Rango indicadores'!E52</f>
        <v>Procesos de interés e impacto asumidos por competencia</v>
      </c>
      <c r="E97" s="470">
        <f>+'Rango indicadores'!Q52</f>
        <v>1</v>
      </c>
      <c r="F97" s="464">
        <f>'1.Informe Seguimiento POA 2022'!O43</f>
        <v>1</v>
      </c>
      <c r="G97" s="464">
        <f>'1.Informe Seguimiento POA 2022'!O43</f>
        <v>1</v>
      </c>
      <c r="H97" s="790">
        <f>'1.Informe Seguimiento POA 2022'!P43</f>
        <v>1</v>
      </c>
      <c r="I97" s="790">
        <f>'1.Informe Seguimiento POA 2022'!P43</f>
        <v>1</v>
      </c>
      <c r="J97" s="790">
        <f t="shared" si="129"/>
        <v>1</v>
      </c>
      <c r="K97" s="449">
        <f t="shared" si="149"/>
        <v>1</v>
      </c>
      <c r="L97" s="449">
        <f t="shared" si="150"/>
        <v>1</v>
      </c>
      <c r="M97" s="435">
        <f>IF(AND(E97&gt;0,$J97&gt;0),J97/$E97,0)*0.25</f>
        <v>0.25</v>
      </c>
      <c r="N97" s="470">
        <f t="shared" si="153"/>
        <v>1</v>
      </c>
      <c r="O97" s="790">
        <f>+'1.Informe Seguimiento POA 2022'!Q43</f>
        <v>1</v>
      </c>
      <c r="P97" s="879">
        <f>IFERROR(AVERAGE(F97,O97),0)</f>
        <v>1</v>
      </c>
      <c r="Q97" s="790">
        <f>'1.Informe Seguimiento POA 2022'!R43</f>
        <v>1</v>
      </c>
      <c r="R97" s="436">
        <f>IFERROR(AVERAGE('1.Informe Seguimiento POA 2022'!P43,'1.Informe Seguimiento POA 2022'!R43),0)</f>
        <v>1</v>
      </c>
      <c r="S97" s="436">
        <f>IFERROR(IF(OR($N97="",$N97=0),0,ROUNDDOWN(AVERAGE($H97,Q97),3)),0)</f>
        <v>1</v>
      </c>
      <c r="T97" s="449">
        <f t="shared" si="136"/>
        <v>1</v>
      </c>
      <c r="U97" s="449">
        <f t="shared" si="137"/>
        <v>1</v>
      </c>
      <c r="V97" s="435">
        <f>IF(AND(N97&gt;0,$S97&gt;0),S97/$N97,0)*0.5</f>
        <v>0.5</v>
      </c>
      <c r="W97" s="470">
        <f>N97</f>
        <v>1</v>
      </c>
      <c r="X97" s="464">
        <f>+'1.Informe Seguimiento POA 2022'!S43</f>
        <v>1</v>
      </c>
      <c r="Y97" s="436">
        <f>IFERROR(AVERAGE('1.Informe Seguimiento POA 2022'!O43,'1.Informe Seguimiento POA 2022'!Q43,'1.Informe Seguimiento POA 2022'!S43),0)</f>
        <v>1</v>
      </c>
      <c r="Z97" s="436">
        <f>+'1.Informe Seguimiento POA 2022'!T43</f>
        <v>0.92966666666666675</v>
      </c>
      <c r="AA97" s="436">
        <f>IFERROR(AVERAGE('1.Informe Seguimiento POA 2022'!R43,'1.Informe Seguimiento POA 2022'!P43,'1.Informe Seguimiento POA 2022'!T43),0)</f>
        <v>0.97655555555555562</v>
      </c>
      <c r="AB97" s="436">
        <f>IFERROR(IF(OR($W97="",$W97=0),0,ROUNDDOWN(AVERAGE($H97,Q97,Z97),3)),0)</f>
        <v>0.97599999999999998</v>
      </c>
      <c r="AC97" s="449">
        <f t="shared" si="140"/>
        <v>0.92966666666666675</v>
      </c>
      <c r="AD97" s="449">
        <f t="shared" si="141"/>
        <v>0.97655555555555562</v>
      </c>
      <c r="AE97" s="435">
        <f>IF(AND(W97&gt;0,$AB97&gt;0),AB97/$W97,0)*0.75</f>
        <v>0.73199999999999998</v>
      </c>
      <c r="AF97" s="470">
        <f t="shared" si="151"/>
        <v>1</v>
      </c>
      <c r="AG97" s="524">
        <f>'1.Informe Seguimiento POA 2022'!U43</f>
        <v>1</v>
      </c>
      <c r="AH97" s="524">
        <f>IFERROR(AVERAGE('1.Informe Seguimiento POA 2022'!O43,'1.Informe Seguimiento POA 2022'!Q43,'1.Informe Seguimiento POA 2022'!S43,'1.Informe Seguimiento POA 2022'!U43),0)</f>
        <v>1</v>
      </c>
      <c r="AI97" s="524">
        <f>+'1.Informe Seguimiento POA 2022'!V43</f>
        <v>1.0276666666666667</v>
      </c>
      <c r="AJ97" s="524">
        <f>IFERROR(AVERAGE('1.Informe Seguimiento POA 2022'!P43,'1.Informe Seguimiento POA 2022'!R43,'1.Informe Seguimiento POA 2022'!T43,'1.Informe Seguimiento POA 2022'!V43),0)</f>
        <v>0.9893333333333334</v>
      </c>
      <c r="AK97" s="524">
        <f>IFERROR(IF(OR($AF99="",$AF99=0),0,ROUNDDOWN(AVERAGE($H97,Q97,Z97,AI97),3)),0)</f>
        <v>0.98899999999999999</v>
      </c>
      <c r="AL97" s="449">
        <f t="shared" si="144"/>
        <v>1.0276666666666667</v>
      </c>
      <c r="AM97" s="435">
        <f t="shared" si="145"/>
        <v>0.9893333333333334</v>
      </c>
      <c r="AN97" s="435">
        <f t="shared" si="146"/>
        <v>0.98899999999999999</v>
      </c>
      <c r="AO97" s="439" t="str">
        <f>+'Rango indicadores'!H52</f>
        <v>Mayor A:</v>
      </c>
      <c r="AP97" s="434">
        <f>+'Rango indicadores'!I52</f>
        <v>90</v>
      </c>
      <c r="AQ97" s="434" t="str">
        <f>+'Rango indicadores'!J52</f>
        <v>Desde (&gt;=):</v>
      </c>
      <c r="AR97" s="434">
        <f>+'Rango indicadores'!K52</f>
        <v>65</v>
      </c>
      <c r="AS97" s="434" t="str">
        <f>+'Rango indicadores'!L52</f>
        <v>Hasta (&lt;=):</v>
      </c>
      <c r="AT97" s="434">
        <f>+'Rango indicadores'!M52</f>
        <v>90</v>
      </c>
      <c r="AU97" s="434" t="str">
        <f>+'Rango indicadores'!N52</f>
        <v>Menor A:</v>
      </c>
      <c r="AV97" s="878">
        <f>+'Rango indicadores'!O52</f>
        <v>65</v>
      </c>
      <c r="AW97" s="898" t="s">
        <v>1180</v>
      </c>
      <c r="AX97" s="589"/>
      <c r="AY97" s="766">
        <f t="shared" si="147"/>
        <v>7.0333333333333248E-2</v>
      </c>
      <c r="AZ97" s="447"/>
    </row>
    <row r="98" spans="2:53" ht="44.25" customHeight="1">
      <c r="B98" s="431">
        <f t="shared" si="148"/>
        <v>52</v>
      </c>
      <c r="C98" s="432" t="str">
        <f>+'Rango indicadores'!D53</f>
        <v>07-RI-05</v>
      </c>
      <c r="D98" s="432" t="str">
        <f>+'Rango indicadores'!E53</f>
        <v>Escenarios de intercambio de conocimiento generados</v>
      </c>
      <c r="E98" s="446">
        <f>+'Rango indicadores'!Q53</f>
        <v>2</v>
      </c>
      <c r="F98" s="446">
        <f>'1.Informe Seguimiento POA 2022'!O44</f>
        <v>0</v>
      </c>
      <c r="G98" s="446">
        <f>'1.Informe Seguimiento POA 2022'!O44</f>
        <v>0</v>
      </c>
      <c r="H98" s="446">
        <f>'1.Informe Seguimiento POA 2022'!P44</f>
        <v>0</v>
      </c>
      <c r="I98" s="446">
        <f>'1.Informe Seguimiento POA 2022'!P44</f>
        <v>0</v>
      </c>
      <c r="J98" s="446">
        <f t="shared" si="129"/>
        <v>0</v>
      </c>
      <c r="K98" s="449" t="str">
        <f t="shared" si="149"/>
        <v>No programado</v>
      </c>
      <c r="L98" s="449" t="str">
        <f t="shared" si="150"/>
        <v>No programado</v>
      </c>
      <c r="M98" s="435">
        <f t="shared" si="152"/>
        <v>0</v>
      </c>
      <c r="N98" s="446">
        <f t="shared" ref="N98:N101" si="159">+E98</f>
        <v>2</v>
      </c>
      <c r="O98" s="434">
        <f>+'1.Informe Seguimiento POA 2022'!Q44</f>
        <v>0</v>
      </c>
      <c r="P98" s="446">
        <f t="shared" ref="P98:P101" si="160">G98+O98</f>
        <v>0</v>
      </c>
      <c r="Q98" s="434">
        <f>'1.Informe Seguimiento POA 2022'!R44</f>
        <v>1</v>
      </c>
      <c r="R98" s="434">
        <f>+'1.Informe Seguimiento POA 2022'!P44+'1.Informe Seguimiento POA 2022'!R44</f>
        <v>1</v>
      </c>
      <c r="S98" s="446">
        <f t="shared" ref="S98:S101" si="161">H98+Q98</f>
        <v>1</v>
      </c>
      <c r="T98" s="449" t="str">
        <f t="shared" si="136"/>
        <v>No programado</v>
      </c>
      <c r="U98" s="449" t="str">
        <f t="shared" si="137"/>
        <v>No programado</v>
      </c>
      <c r="V98" s="435">
        <f>IF(AND(N98&gt;0,$S98&gt;0),S98/$N98,0)</f>
        <v>0.5</v>
      </c>
      <c r="W98" s="446">
        <f t="shared" si="156"/>
        <v>2</v>
      </c>
      <c r="X98" s="434">
        <f>+'1.Informe Seguimiento POA 2022'!S44</f>
        <v>1</v>
      </c>
      <c r="Y98" s="434">
        <f>+'1.Informe Seguimiento POA 2022'!O44+'1.Informe Seguimiento POA 2022'!Q44+'1.Informe Seguimiento POA 2022'!S44</f>
        <v>1</v>
      </c>
      <c r="Z98" s="434">
        <f>+'1.Informe Seguimiento POA 2022'!T44</f>
        <v>0</v>
      </c>
      <c r="AA98" s="434">
        <f>+'1.Informe Seguimiento POA 2022'!R44+'1.Informe Seguimiento POA 2022'!T44+'1.Informe Seguimiento POA 2022'!P44</f>
        <v>1</v>
      </c>
      <c r="AB98" s="878">
        <f t="shared" si="157"/>
        <v>1</v>
      </c>
      <c r="AC98" s="449">
        <f t="shared" si="140"/>
        <v>0</v>
      </c>
      <c r="AD98" s="449">
        <f t="shared" si="141"/>
        <v>1</v>
      </c>
      <c r="AE98" s="435">
        <f t="shared" si="142"/>
        <v>0.5</v>
      </c>
      <c r="AF98" s="446">
        <f t="shared" si="151"/>
        <v>2</v>
      </c>
      <c r="AG98" s="446">
        <f>+'1.Informe Seguimiento POA 2022'!U44</f>
        <v>1</v>
      </c>
      <c r="AH98" s="446">
        <f>+'1.Informe Seguimiento POA 2022'!O44+'1.Informe Seguimiento POA 2022'!Q44+'1.Informe Seguimiento POA 2022'!S44+'1.Informe Seguimiento POA 2022'!U44</f>
        <v>2</v>
      </c>
      <c r="AI98" s="446">
        <f>+'1.Informe Seguimiento POA 2022'!V44</f>
        <v>1</v>
      </c>
      <c r="AJ98" s="446">
        <f>+'1.Informe Seguimiento POA 2022'!P44+'1.Informe Seguimiento POA 2022'!R44+'1.Informe Seguimiento POA 2022'!T44+'1.Informe Seguimiento POA 2022'!V44</f>
        <v>2</v>
      </c>
      <c r="AK98" s="446">
        <f t="shared" ref="AK98" si="162">H98+Q98+Z98+AI98</f>
        <v>2</v>
      </c>
      <c r="AL98" s="449">
        <f t="shared" si="144"/>
        <v>1</v>
      </c>
      <c r="AM98" s="449">
        <f t="shared" si="145"/>
        <v>1</v>
      </c>
      <c r="AN98" s="435">
        <f t="shared" si="146"/>
        <v>1</v>
      </c>
      <c r="AO98" s="439" t="str">
        <f>+'Rango indicadores'!H53</f>
        <v>Mayor A:</v>
      </c>
      <c r="AP98" s="434">
        <f>+'Rango indicadores'!I53</f>
        <v>90</v>
      </c>
      <c r="AQ98" s="434" t="str">
        <f>+'Rango indicadores'!J53</f>
        <v>Desde (&gt;=):</v>
      </c>
      <c r="AR98" s="434">
        <f>+'Rango indicadores'!K53</f>
        <v>65</v>
      </c>
      <c r="AS98" s="434" t="str">
        <f>+'Rango indicadores'!L53</f>
        <v>Hasta (&lt;=):</v>
      </c>
      <c r="AT98" s="434">
        <f>+'Rango indicadores'!M53</f>
        <v>90</v>
      </c>
      <c r="AU98" s="434" t="str">
        <f>+'Rango indicadores'!N53</f>
        <v>Menor A:</v>
      </c>
      <c r="AV98" s="878">
        <f>+'Rango indicadores'!O53</f>
        <v>65</v>
      </c>
      <c r="AW98" s="523" t="s">
        <v>1175</v>
      </c>
      <c r="AX98" s="589"/>
      <c r="AY98" s="766">
        <f t="shared" si="147"/>
        <v>1</v>
      </c>
      <c r="AZ98" s="447"/>
    </row>
    <row r="99" spans="2:53" ht="44.25" customHeight="1">
      <c r="B99" s="431">
        <f t="shared" si="148"/>
        <v>53</v>
      </c>
      <c r="C99" s="432" t="str">
        <f>+'Rango indicadores'!D54</f>
        <v>07-RI-06</v>
      </c>
      <c r="D99" s="432" t="str">
        <f>+'Rango indicadores'!E54</f>
        <v xml:space="preserve">Sistema de Comunicación con las Oficinas de Control Interno Disciplinario implementado </v>
      </c>
      <c r="E99" s="446">
        <f>+'Rango indicadores'!Q54</f>
        <v>0.5</v>
      </c>
      <c r="F99" s="446">
        <f>'1.Informe Seguimiento POA 2022'!O45</f>
        <v>0.15000000000000002</v>
      </c>
      <c r="G99" s="446">
        <f>'1.Informe Seguimiento POA 2022'!O45</f>
        <v>0.15000000000000002</v>
      </c>
      <c r="H99" s="446">
        <f>'1.Informe Seguimiento POA 2022'!P45</f>
        <v>0.15000000000000002</v>
      </c>
      <c r="I99" s="446">
        <f>'1.Informe Seguimiento POA 2022'!P45</f>
        <v>0.15000000000000002</v>
      </c>
      <c r="J99" s="446">
        <f t="shared" si="129"/>
        <v>0.15000000000000002</v>
      </c>
      <c r="K99" s="449">
        <f t="shared" si="149"/>
        <v>1</v>
      </c>
      <c r="L99" s="449">
        <f t="shared" si="150"/>
        <v>1</v>
      </c>
      <c r="M99" s="435">
        <f t="shared" si="152"/>
        <v>0.30000000000000004</v>
      </c>
      <c r="N99" s="446">
        <f t="shared" si="159"/>
        <v>0.5</v>
      </c>
      <c r="O99" s="434">
        <f>+'1.Informe Seguimiento POA 2022'!Q45</f>
        <v>0.15000000000000002</v>
      </c>
      <c r="P99" s="446">
        <f t="shared" si="160"/>
        <v>0.30000000000000004</v>
      </c>
      <c r="Q99" s="434">
        <f>'1.Informe Seguimiento POA 2022'!R45</f>
        <v>0.15000000000000002</v>
      </c>
      <c r="R99" s="434">
        <f>+'1.Informe Seguimiento POA 2022'!P45+'1.Informe Seguimiento POA 2022'!R45</f>
        <v>0.30000000000000004</v>
      </c>
      <c r="S99" s="446">
        <f t="shared" si="161"/>
        <v>0.30000000000000004</v>
      </c>
      <c r="T99" s="449">
        <f t="shared" si="136"/>
        <v>1</v>
      </c>
      <c r="U99" s="449">
        <f t="shared" si="137"/>
        <v>1</v>
      </c>
      <c r="V99" s="435">
        <f>IF(AND(N99&gt;0,$S99&gt;0),S99/$N99,0)</f>
        <v>0.60000000000000009</v>
      </c>
      <c r="W99" s="446">
        <f t="shared" si="156"/>
        <v>0.5</v>
      </c>
      <c r="X99" s="434">
        <f>+'1.Informe Seguimiento POA 2022'!S45</f>
        <v>0.15000000000000002</v>
      </c>
      <c r="Y99" s="434">
        <f>+'1.Informe Seguimiento POA 2022'!O45+'1.Informe Seguimiento POA 2022'!Q45+'1.Informe Seguimiento POA 2022'!S45</f>
        <v>0.45000000000000007</v>
      </c>
      <c r="Z99" s="434">
        <f>+'1.Informe Seguimiento POA 2022'!T45</f>
        <v>0.15000000000000002</v>
      </c>
      <c r="AA99" s="434">
        <f>+'1.Informe Seguimiento POA 2022'!R45+'1.Informe Seguimiento POA 2022'!T45+'1.Informe Seguimiento POA 2022'!P45</f>
        <v>0.45000000000000007</v>
      </c>
      <c r="AB99" s="878">
        <f t="shared" si="157"/>
        <v>0.45000000000000007</v>
      </c>
      <c r="AC99" s="449">
        <f t="shared" si="140"/>
        <v>1</v>
      </c>
      <c r="AD99" s="449">
        <f t="shared" si="141"/>
        <v>1</v>
      </c>
      <c r="AE99" s="435">
        <f t="shared" si="142"/>
        <v>0.90000000000000013</v>
      </c>
      <c r="AF99" s="446">
        <f t="shared" si="151"/>
        <v>0.5</v>
      </c>
      <c r="AG99" s="446">
        <f>+'1.Informe Seguimiento POA 2022'!U45</f>
        <v>0.05</v>
      </c>
      <c r="AH99" s="446">
        <f>+'1.Informe Seguimiento POA 2022'!O45+'1.Informe Seguimiento POA 2022'!Q45+'1.Informe Seguimiento POA 2022'!S45+'1.Informe Seguimiento POA 2022'!U45</f>
        <v>0.50000000000000011</v>
      </c>
      <c r="AI99" s="446">
        <f>+'1.Informe Seguimiento POA 2022'!V45</f>
        <v>0.05</v>
      </c>
      <c r="AJ99" s="446">
        <f>+'1.Informe Seguimiento POA 2022'!P45+'1.Informe Seguimiento POA 2022'!R45+'1.Informe Seguimiento POA 2022'!T45+'1.Informe Seguimiento POA 2022'!V45</f>
        <v>0.50000000000000011</v>
      </c>
      <c r="AK99" s="446">
        <f t="shared" ref="AK99:AK101" si="163">H99+Q99+Z99+AI99</f>
        <v>0.50000000000000011</v>
      </c>
      <c r="AL99" s="449">
        <f t="shared" si="144"/>
        <v>1</v>
      </c>
      <c r="AM99" s="449">
        <f t="shared" si="145"/>
        <v>1</v>
      </c>
      <c r="AN99" s="435">
        <f t="shared" si="146"/>
        <v>1.0000000000000002</v>
      </c>
      <c r="AO99" s="439" t="str">
        <f>+'Rango indicadores'!H54</f>
        <v>Mayor A:</v>
      </c>
      <c r="AP99" s="434">
        <f>+'Rango indicadores'!I54</f>
        <v>90</v>
      </c>
      <c r="AQ99" s="434" t="str">
        <f>+'Rango indicadores'!J54</f>
        <v>Desde (&gt;=):</v>
      </c>
      <c r="AR99" s="434">
        <f>+'Rango indicadores'!K54</f>
        <v>65</v>
      </c>
      <c r="AS99" s="434" t="str">
        <f>+'Rango indicadores'!L54</f>
        <v>Hasta (&lt;=):</v>
      </c>
      <c r="AT99" s="434">
        <f>+'Rango indicadores'!M54</f>
        <v>90</v>
      </c>
      <c r="AU99" s="434" t="str">
        <f>+'Rango indicadores'!N54</f>
        <v>Menor A:</v>
      </c>
      <c r="AV99" s="878">
        <f>+'Rango indicadores'!O54</f>
        <v>65</v>
      </c>
      <c r="AW99" s="523" t="s">
        <v>1175</v>
      </c>
      <c r="AX99" s="589"/>
      <c r="AY99" s="766">
        <f t="shared" si="147"/>
        <v>0</v>
      </c>
      <c r="AZ99" s="447"/>
      <c r="BA99" s="447"/>
    </row>
    <row r="100" spans="2:53" ht="44.25" customHeight="1">
      <c r="B100" s="431">
        <f t="shared" si="148"/>
        <v>54</v>
      </c>
      <c r="C100" s="432" t="str">
        <f>+'Rango indicadores'!D55</f>
        <v>07-RI-07</v>
      </c>
      <c r="D100" s="432" t="str">
        <f>+'Rango indicadores'!E55</f>
        <v xml:space="preserve">Sistema de información misional implementado </v>
      </c>
      <c r="E100" s="446">
        <f>+'Rango indicadores'!Q55</f>
        <v>0.4</v>
      </c>
      <c r="F100" s="446">
        <f>'1.Informe Seguimiento POA 2022'!O46</f>
        <v>0.05</v>
      </c>
      <c r="G100" s="446">
        <f>'1.Informe Seguimiento POA 2022'!O46</f>
        <v>0.05</v>
      </c>
      <c r="H100" s="446">
        <f>'1.Informe Seguimiento POA 2022'!P46</f>
        <v>0</v>
      </c>
      <c r="I100" s="446">
        <f>'1.Informe Seguimiento POA 2022'!P46</f>
        <v>0</v>
      </c>
      <c r="J100" s="446">
        <f t="shared" si="129"/>
        <v>0</v>
      </c>
      <c r="K100" s="449">
        <f t="shared" si="149"/>
        <v>0</v>
      </c>
      <c r="L100" s="449">
        <f t="shared" si="150"/>
        <v>0</v>
      </c>
      <c r="M100" s="435">
        <f t="shared" si="152"/>
        <v>0</v>
      </c>
      <c r="N100" s="446">
        <f t="shared" si="159"/>
        <v>0.4</v>
      </c>
      <c r="O100" s="936">
        <f>+'1.Informe Seguimiento POA 2022'!Q46</f>
        <v>0.11</v>
      </c>
      <c r="P100" s="472">
        <f t="shared" si="160"/>
        <v>0.16</v>
      </c>
      <c r="Q100" s="936">
        <f>'1.Informe Seguimiento POA 2022'!R46</f>
        <v>0.11</v>
      </c>
      <c r="R100" s="936">
        <f>+'1.Informe Seguimiento POA 2022'!P46+'1.Informe Seguimiento POA 2022'!R46</f>
        <v>0.11</v>
      </c>
      <c r="S100" s="472">
        <f t="shared" si="161"/>
        <v>0.11</v>
      </c>
      <c r="T100" s="449">
        <f t="shared" si="136"/>
        <v>1</v>
      </c>
      <c r="U100" s="449">
        <f t="shared" si="137"/>
        <v>0.6875</v>
      </c>
      <c r="V100" s="435">
        <f>IF(AND(N100&gt;0,$S100&gt;0),S100/$N100,0)</f>
        <v>0.27499999999999997</v>
      </c>
      <c r="W100" s="446">
        <f t="shared" si="156"/>
        <v>0.4</v>
      </c>
      <c r="X100" s="434">
        <f>+'1.Informe Seguimiento POA 2022'!S46</f>
        <v>0.15000000000000002</v>
      </c>
      <c r="Y100" s="434">
        <f>+'1.Informe Seguimiento POA 2022'!O46+'1.Informe Seguimiento POA 2022'!Q46+'1.Informe Seguimiento POA 2022'!S46</f>
        <v>0.31000000000000005</v>
      </c>
      <c r="Z100" s="434">
        <f>+'1.Informe Seguimiento POA 2022'!T46</f>
        <v>0.2</v>
      </c>
      <c r="AA100" s="434">
        <f>+'1.Informe Seguimiento POA 2022'!R46+'1.Informe Seguimiento POA 2022'!T46+'1.Informe Seguimiento POA 2022'!P46</f>
        <v>0.31</v>
      </c>
      <c r="AB100" s="878">
        <f t="shared" si="157"/>
        <v>0.31</v>
      </c>
      <c r="AC100" s="449">
        <f t="shared" si="140"/>
        <v>1.3333333333333333</v>
      </c>
      <c r="AD100" s="449">
        <f t="shared" si="141"/>
        <v>0.99999999999999978</v>
      </c>
      <c r="AE100" s="435">
        <f t="shared" si="142"/>
        <v>0.77499999999999991</v>
      </c>
      <c r="AF100" s="446">
        <f t="shared" si="151"/>
        <v>0.4</v>
      </c>
      <c r="AG100" s="446">
        <f>+'1.Informe Seguimiento POA 2022'!U46</f>
        <v>0.09</v>
      </c>
      <c r="AH100" s="446">
        <f>+'1.Informe Seguimiento POA 2022'!O46+'1.Informe Seguimiento POA 2022'!Q46+'1.Informe Seguimiento POA 2022'!S46+'1.Informe Seguimiento POA 2022'!U46</f>
        <v>0.4</v>
      </c>
      <c r="AI100" s="446">
        <f>+'1.Informe Seguimiento POA 2022'!V46</f>
        <v>0.09</v>
      </c>
      <c r="AJ100" s="446">
        <f>+'1.Informe Seguimiento POA 2022'!P46+'1.Informe Seguimiento POA 2022'!R46+'1.Informe Seguimiento POA 2022'!T46+'1.Informe Seguimiento POA 2022'!V46</f>
        <v>0.4</v>
      </c>
      <c r="AK100" s="446">
        <f t="shared" si="163"/>
        <v>0.4</v>
      </c>
      <c r="AL100" s="449">
        <f t="shared" si="144"/>
        <v>1</v>
      </c>
      <c r="AM100" s="449">
        <f t="shared" si="145"/>
        <v>1</v>
      </c>
      <c r="AN100" s="435">
        <f t="shared" si="146"/>
        <v>1</v>
      </c>
      <c r="AO100" s="439" t="str">
        <f>+'Rango indicadores'!H55</f>
        <v>Mayor A:</v>
      </c>
      <c r="AP100" s="434">
        <f>+'Rango indicadores'!I55</f>
        <v>90</v>
      </c>
      <c r="AQ100" s="434" t="str">
        <f>+'Rango indicadores'!J55</f>
        <v>Desde (&gt;=):</v>
      </c>
      <c r="AR100" s="434">
        <f>+'Rango indicadores'!K55</f>
        <v>65</v>
      </c>
      <c r="AS100" s="434" t="str">
        <f>+'Rango indicadores'!L55</f>
        <v>Hasta (&lt;=):</v>
      </c>
      <c r="AT100" s="434">
        <f>+'Rango indicadores'!M55</f>
        <v>90</v>
      </c>
      <c r="AU100" s="434" t="str">
        <f>+'Rango indicadores'!N55</f>
        <v>Menor A:</v>
      </c>
      <c r="AV100" s="878">
        <f>+'Rango indicadores'!O55</f>
        <v>65</v>
      </c>
      <c r="AW100" s="523" t="s">
        <v>1175</v>
      </c>
      <c r="AX100" s="589"/>
      <c r="AY100" s="766">
        <f t="shared" si="147"/>
        <v>-4.9999999999999989E-2</v>
      </c>
      <c r="AZ100" s="447"/>
      <c r="BA100" s="447"/>
    </row>
    <row r="101" spans="2:53" ht="44.25" customHeight="1">
      <c r="B101" s="431">
        <f t="shared" si="148"/>
        <v>55</v>
      </c>
      <c r="C101" s="432" t="str">
        <f>+'Rango indicadores'!D56</f>
        <v>07-RI-08</v>
      </c>
      <c r="D101" s="432" t="str">
        <f>+'Rango indicadores'!E56</f>
        <v>Relatoría diseñada e implementada</v>
      </c>
      <c r="E101" s="446">
        <f>+'Rango indicadores'!Q56</f>
        <v>0.3</v>
      </c>
      <c r="F101" s="446">
        <f>'1.Informe Seguimiento POA 2022'!O47</f>
        <v>0.06</v>
      </c>
      <c r="G101" s="446">
        <f>'1.Informe Seguimiento POA 2022'!O47</f>
        <v>0.06</v>
      </c>
      <c r="H101" s="446">
        <f>'1.Informe Seguimiento POA 2022'!P47</f>
        <v>0.06</v>
      </c>
      <c r="I101" s="446">
        <f>'1.Informe Seguimiento POA 2022'!P47</f>
        <v>0.06</v>
      </c>
      <c r="J101" s="446">
        <f t="shared" si="129"/>
        <v>0.06</v>
      </c>
      <c r="K101" s="449">
        <f t="shared" si="149"/>
        <v>1</v>
      </c>
      <c r="L101" s="449">
        <f t="shared" si="150"/>
        <v>1</v>
      </c>
      <c r="M101" s="435">
        <f t="shared" si="152"/>
        <v>0.2</v>
      </c>
      <c r="N101" s="446">
        <f t="shared" si="159"/>
        <v>0.3</v>
      </c>
      <c r="O101" s="936">
        <f>+'1.Informe Seguimiento POA 2022'!Q47</f>
        <v>0.09</v>
      </c>
      <c r="P101" s="472">
        <f t="shared" si="160"/>
        <v>0.15</v>
      </c>
      <c r="Q101" s="936">
        <f>'1.Informe Seguimiento POA 2022'!R47</f>
        <v>0.09</v>
      </c>
      <c r="R101" s="936">
        <f>+'1.Informe Seguimiento POA 2022'!P47+'1.Informe Seguimiento POA 2022'!R47</f>
        <v>0.15</v>
      </c>
      <c r="S101" s="472">
        <f t="shared" si="161"/>
        <v>0.15</v>
      </c>
      <c r="T101" s="449">
        <f t="shared" si="136"/>
        <v>1</v>
      </c>
      <c r="U101" s="449">
        <f t="shared" si="137"/>
        <v>1</v>
      </c>
      <c r="V101" s="435">
        <f>IF(AND(N101&gt;0,$S101&gt;0),S101/$N101,0)</f>
        <v>0.5</v>
      </c>
      <c r="W101" s="446">
        <f t="shared" si="156"/>
        <v>0.3</v>
      </c>
      <c r="X101" s="434">
        <f>+'1.Informe Seguimiento POA 2022'!S47</f>
        <v>0.09</v>
      </c>
      <c r="Y101" s="434">
        <f>+'1.Informe Seguimiento POA 2022'!O47+'1.Informe Seguimiento POA 2022'!Q47+'1.Informe Seguimiento POA 2022'!S47</f>
        <v>0.24</v>
      </c>
      <c r="Z101" s="434">
        <f>+'1.Informe Seguimiento POA 2022'!T47</f>
        <v>0.09</v>
      </c>
      <c r="AA101" s="434">
        <f>+'1.Informe Seguimiento POA 2022'!R47+'1.Informe Seguimiento POA 2022'!T47+'1.Informe Seguimiento POA 2022'!P47</f>
        <v>0.24</v>
      </c>
      <c r="AB101" s="878">
        <f t="shared" si="157"/>
        <v>0.24</v>
      </c>
      <c r="AC101" s="449">
        <f t="shared" si="140"/>
        <v>1</v>
      </c>
      <c r="AD101" s="449">
        <f t="shared" si="141"/>
        <v>1</v>
      </c>
      <c r="AE101" s="435">
        <f t="shared" si="142"/>
        <v>0.8</v>
      </c>
      <c r="AF101" s="446">
        <f t="shared" si="151"/>
        <v>0.3</v>
      </c>
      <c r="AG101" s="446">
        <f>+'1.Informe Seguimiento POA 2022'!U47</f>
        <v>0.06</v>
      </c>
      <c r="AH101" s="446">
        <f>+'1.Informe Seguimiento POA 2022'!O47+'1.Informe Seguimiento POA 2022'!Q47+'1.Informe Seguimiento POA 2022'!S47+'1.Informe Seguimiento POA 2022'!U47</f>
        <v>0.3</v>
      </c>
      <c r="AI101" s="446">
        <f>+'1.Informe Seguimiento POA 2022'!V47</f>
        <v>6.0000000000000005E-2</v>
      </c>
      <c r="AJ101" s="446">
        <f>+'1.Informe Seguimiento POA 2022'!P47+'1.Informe Seguimiento POA 2022'!R47+'1.Informe Seguimiento POA 2022'!T47+'1.Informe Seguimiento POA 2022'!V47</f>
        <v>0.3</v>
      </c>
      <c r="AK101" s="446">
        <f t="shared" si="163"/>
        <v>0.3</v>
      </c>
      <c r="AL101" s="449">
        <f t="shared" si="144"/>
        <v>1.0000000000000002</v>
      </c>
      <c r="AM101" s="449">
        <f t="shared" si="145"/>
        <v>1</v>
      </c>
      <c r="AN101" s="435">
        <f t="shared" si="146"/>
        <v>1</v>
      </c>
      <c r="AO101" s="439" t="str">
        <f>+'Rango indicadores'!H56</f>
        <v>Mayor A:</v>
      </c>
      <c r="AP101" s="434">
        <f>+'Rango indicadores'!I56</f>
        <v>90</v>
      </c>
      <c r="AQ101" s="434" t="str">
        <f>+'Rango indicadores'!J56</f>
        <v>Desde (&gt;=):</v>
      </c>
      <c r="AR101" s="434">
        <f>+'Rango indicadores'!K56</f>
        <v>65</v>
      </c>
      <c r="AS101" s="434" t="str">
        <f>+'Rango indicadores'!L56</f>
        <v>Hasta (&lt;=):</v>
      </c>
      <c r="AT101" s="434">
        <f>+'Rango indicadores'!M56</f>
        <v>90</v>
      </c>
      <c r="AU101" s="434" t="str">
        <f>+'Rango indicadores'!N56</f>
        <v>Menor A:</v>
      </c>
      <c r="AV101" s="878">
        <f>+'Rango indicadores'!O56</f>
        <v>65</v>
      </c>
      <c r="AW101" s="523" t="s">
        <v>1175</v>
      </c>
      <c r="AX101" s="589"/>
      <c r="AY101" s="766">
        <f t="shared" si="147"/>
        <v>0</v>
      </c>
      <c r="AZ101" s="447"/>
      <c r="BA101" s="447"/>
    </row>
    <row r="102" spans="2:53" ht="15.6">
      <c r="C102" s="1378" t="s">
        <v>866</v>
      </c>
      <c r="D102" s="1379"/>
      <c r="E102" s="1379"/>
      <c r="F102" s="1379"/>
      <c r="G102" s="1379"/>
      <c r="H102" s="1379"/>
      <c r="I102" s="1379"/>
      <c r="J102" s="1379"/>
      <c r="K102" s="437">
        <f>IFERROR(AVERAGE(K94:K101),0)</f>
        <v>0.80844444444444452</v>
      </c>
      <c r="L102" s="437">
        <f t="shared" ref="L102:M102" si="164">IFERROR(AVERAGE(L94:L101),0)</f>
        <v>0.80844444444444452</v>
      </c>
      <c r="M102" s="437">
        <f t="shared" si="164"/>
        <v>0.14054166666666668</v>
      </c>
      <c r="N102" s="880"/>
      <c r="O102" s="880"/>
      <c r="P102" s="880"/>
      <c r="Q102" s="880"/>
      <c r="R102" s="880"/>
      <c r="S102" s="880"/>
      <c r="T102" s="437">
        <f>IFERROR(AVERAGE(T94:T101),0)</f>
        <v>0.80903887269193397</v>
      </c>
      <c r="U102" s="437">
        <f t="shared" ref="U102" si="165">IFERROR(AVERAGE(U94:U101),0)</f>
        <v>0.77240325497287521</v>
      </c>
      <c r="V102" s="437">
        <f>IFERROR(AVERAGE(V94:V101),0)</f>
        <v>0.39768750000000003</v>
      </c>
      <c r="W102" s="880"/>
      <c r="X102" s="880"/>
      <c r="Y102" s="880"/>
      <c r="Z102" s="880"/>
      <c r="AA102" s="880"/>
      <c r="AB102" s="880"/>
      <c r="AC102" s="437">
        <f>IFERROR(AVERAGE(AC94:AC101),0)</f>
        <v>0.79039880952380948</v>
      </c>
      <c r="AD102" s="437">
        <f t="shared" ref="AD102:AE102" si="166">IFERROR(AVERAGE(AD94:AD101),0)</f>
        <v>0.88974850793212434</v>
      </c>
      <c r="AE102" s="437">
        <f t="shared" si="166"/>
        <v>0.64612132352941176</v>
      </c>
      <c r="AF102" s="880"/>
      <c r="AG102" s="880"/>
      <c r="AH102" s="880"/>
      <c r="AI102" s="880"/>
      <c r="AJ102" s="880"/>
      <c r="AK102" s="881"/>
      <c r="AL102" s="437">
        <f>IFERROR(AVERAGE(AL94:AL101),0)</f>
        <v>1.1247293233082707</v>
      </c>
      <c r="AM102" s="437">
        <f t="shared" ref="AM102:AN102" si="167">IFERROR(AVERAGE(AM94:AM101),0)</f>
        <v>0.99060763888888892</v>
      </c>
      <c r="AN102" s="437">
        <f t="shared" si="167"/>
        <v>0.99051388888888892</v>
      </c>
      <c r="AO102" s="444"/>
      <c r="AP102" s="444"/>
      <c r="AQ102" s="444"/>
      <c r="AR102" s="444"/>
      <c r="AS102" s="444"/>
      <c r="AT102" s="444"/>
      <c r="AU102" s="444"/>
      <c r="AV102" s="444"/>
      <c r="AW102" s="530"/>
    </row>
    <row r="103" spans="2:53" s="427" customFormat="1" ht="25.2" customHeight="1" thickBot="1">
      <c r="D103" s="429"/>
      <c r="AN103" s="469"/>
      <c r="AO103" s="469"/>
      <c r="AP103" s="469"/>
      <c r="AQ103" s="469"/>
      <c r="AR103" s="469"/>
      <c r="AS103" s="469"/>
      <c r="AT103" s="469"/>
      <c r="AU103" s="469"/>
      <c r="AV103" s="469"/>
      <c r="AW103" s="530"/>
      <c r="AY103" s="413"/>
      <c r="AZ103" s="413"/>
    </row>
    <row r="104" spans="2:53" s="427" customFormat="1" ht="16.2" thickBot="1">
      <c r="C104" s="430" t="s">
        <v>874</v>
      </c>
      <c r="D104" s="460"/>
      <c r="E104" s="1380" t="s">
        <v>1128</v>
      </c>
      <c r="F104" s="1381"/>
      <c r="G104" s="1381"/>
      <c r="H104" s="1381"/>
      <c r="I104" s="1381"/>
      <c r="J104" s="1381"/>
      <c r="K104" s="1381"/>
      <c r="L104" s="1381"/>
      <c r="M104" s="1382"/>
      <c r="N104" s="1383" t="s">
        <v>1129</v>
      </c>
      <c r="O104" s="1384"/>
      <c r="P104" s="1384"/>
      <c r="Q104" s="1384"/>
      <c r="R104" s="1384"/>
      <c r="S104" s="1384"/>
      <c r="T104" s="1384"/>
      <c r="U104" s="1384"/>
      <c r="V104" s="1385"/>
      <c r="W104" s="1386" t="s">
        <v>1130</v>
      </c>
      <c r="X104" s="1387"/>
      <c r="Y104" s="1387"/>
      <c r="Z104" s="1387"/>
      <c r="AA104" s="1387"/>
      <c r="AB104" s="1387"/>
      <c r="AC104" s="1387"/>
      <c r="AD104" s="1387"/>
      <c r="AE104" s="1388"/>
      <c r="AF104" s="1383" t="s">
        <v>1046</v>
      </c>
      <c r="AG104" s="1384"/>
      <c r="AH104" s="1384"/>
      <c r="AI104" s="1384"/>
      <c r="AJ104" s="1384"/>
      <c r="AK104" s="1384"/>
      <c r="AL104" s="1384"/>
      <c r="AM104" s="1384"/>
      <c r="AN104" s="1385"/>
      <c r="AW104" s="530"/>
      <c r="AY104" s="413"/>
      <c r="AZ104" s="413"/>
    </row>
    <row r="105" spans="2:53" ht="33" customHeight="1">
      <c r="C105" s="1393" t="str">
        <f>+$C$10</f>
        <v>Identificación del Indicador</v>
      </c>
      <c r="D105" s="1396" t="s">
        <v>861</v>
      </c>
      <c r="E105" s="1389" t="s">
        <v>862</v>
      </c>
      <c r="F105" s="1390"/>
      <c r="G105" s="1391"/>
      <c r="H105" s="1392" t="s">
        <v>1132</v>
      </c>
      <c r="I105" s="1394" t="s">
        <v>1136</v>
      </c>
      <c r="J105" s="1392" t="s">
        <v>863</v>
      </c>
      <c r="K105" s="1392" t="s">
        <v>857</v>
      </c>
      <c r="L105" s="1392"/>
      <c r="M105" s="1392"/>
      <c r="N105" s="1389" t="s">
        <v>862</v>
      </c>
      <c r="O105" s="1390"/>
      <c r="P105" s="1391"/>
      <c r="Q105" s="1392" t="s">
        <v>1141</v>
      </c>
      <c r="R105" s="1394" t="s">
        <v>1133</v>
      </c>
      <c r="S105" s="1392" t="s">
        <v>863</v>
      </c>
      <c r="T105" s="1392" t="s">
        <v>857</v>
      </c>
      <c r="U105" s="1392"/>
      <c r="V105" s="1392"/>
      <c r="W105" s="1389" t="s">
        <v>862</v>
      </c>
      <c r="X105" s="1390"/>
      <c r="Y105" s="1391"/>
      <c r="Z105" s="1392" t="s">
        <v>1142</v>
      </c>
      <c r="AA105" s="1394" t="s">
        <v>1138</v>
      </c>
      <c r="AB105" s="1392" t="s">
        <v>863</v>
      </c>
      <c r="AC105" s="1392" t="s">
        <v>857</v>
      </c>
      <c r="AD105" s="1392"/>
      <c r="AE105" s="1392"/>
      <c r="AF105" s="1389" t="s">
        <v>862</v>
      </c>
      <c r="AG105" s="1390"/>
      <c r="AH105" s="1391"/>
      <c r="AI105" s="1392" t="s">
        <v>1166</v>
      </c>
      <c r="AJ105" s="1394" t="s">
        <v>1164</v>
      </c>
      <c r="AK105" s="1392" t="s">
        <v>863</v>
      </c>
      <c r="AL105" s="1392" t="s">
        <v>857</v>
      </c>
      <c r="AM105" s="1392"/>
      <c r="AN105" s="1392"/>
      <c r="AO105" s="1398" t="s">
        <v>709</v>
      </c>
      <c r="AP105" s="1398"/>
      <c r="AQ105" s="1398"/>
      <c r="AR105" s="1398"/>
      <c r="AS105" s="1398"/>
      <c r="AT105" s="1398"/>
      <c r="AU105" s="1398"/>
      <c r="AV105" s="1398"/>
      <c r="AW105" s="1393" t="s">
        <v>882</v>
      </c>
    </row>
    <row r="106" spans="2:53" ht="56.25" customHeight="1">
      <c r="C106" s="1393"/>
      <c r="D106" s="1396"/>
      <c r="E106" s="1024" t="s">
        <v>1143</v>
      </c>
      <c r="F106" s="1024" t="str">
        <f>+E104</f>
        <v>Primer Trimestre</v>
      </c>
      <c r="G106" s="1025" t="s">
        <v>1135</v>
      </c>
      <c r="H106" s="1393"/>
      <c r="I106" s="1395"/>
      <c r="J106" s="1393"/>
      <c r="K106" s="1024" t="str">
        <f>+$D$6</f>
        <v>Cuarto Trimestre</v>
      </c>
      <c r="L106" s="1025" t="str">
        <f>+G106</f>
        <v>Acumulado
Corte 
31/03/2022</v>
      </c>
      <c r="M106" s="1026" t="s">
        <v>754</v>
      </c>
      <c r="N106" s="1024" t="s">
        <v>1143</v>
      </c>
      <c r="O106" s="1024" t="str">
        <f>+N104</f>
        <v>Segundo Trimestre</v>
      </c>
      <c r="P106" s="1025" t="s">
        <v>1134</v>
      </c>
      <c r="Q106" s="1393"/>
      <c r="R106" s="1395"/>
      <c r="S106" s="1393"/>
      <c r="T106" s="1024" t="str">
        <f>+O106</f>
        <v>Segundo Trimestre</v>
      </c>
      <c r="U106" s="1025" t="str">
        <f>+P106</f>
        <v>Acumulado Corte 
30/06/2022</v>
      </c>
      <c r="V106" s="1026" t="s">
        <v>754</v>
      </c>
      <c r="W106" s="1024" t="s">
        <v>1143</v>
      </c>
      <c r="X106" s="1024" t="str">
        <f>+W104</f>
        <v>Tercer Trimestre</v>
      </c>
      <c r="Y106" s="1025" t="s">
        <v>1137</v>
      </c>
      <c r="Z106" s="1393"/>
      <c r="AA106" s="1395"/>
      <c r="AB106" s="1393"/>
      <c r="AC106" s="1024" t="str">
        <f>+X106</f>
        <v>Tercer Trimestre</v>
      </c>
      <c r="AD106" s="1025" t="str">
        <f>+Y106</f>
        <v>Acumulado Corte 
30/09/2022</v>
      </c>
      <c r="AE106" s="1026" t="s">
        <v>754</v>
      </c>
      <c r="AF106" s="1024" t="s">
        <v>1143</v>
      </c>
      <c r="AG106" s="1024" t="s">
        <v>1165</v>
      </c>
      <c r="AH106" s="1025" t="s">
        <v>1163</v>
      </c>
      <c r="AI106" s="1393"/>
      <c r="AJ106" s="1395"/>
      <c r="AK106" s="1393"/>
      <c r="AL106" s="1024" t="str">
        <f>+AG106</f>
        <v>Cuarto Trimestre
30-11-2022</v>
      </c>
      <c r="AM106" s="1025" t="str">
        <f>+AH106</f>
        <v>Acumulado Corte 
30/11/2022</v>
      </c>
      <c r="AN106" s="1026" t="s">
        <v>754</v>
      </c>
      <c r="AO106" s="1097" t="s">
        <v>864</v>
      </c>
      <c r="AP106" s="1098"/>
      <c r="AQ106" s="1099" t="s">
        <v>865</v>
      </c>
      <c r="AR106" s="1100"/>
      <c r="AS106" s="1100"/>
      <c r="AT106" s="1101"/>
      <c r="AU106" s="1102" t="s">
        <v>717</v>
      </c>
      <c r="AV106" s="1103"/>
      <c r="AW106" s="1393"/>
    </row>
    <row r="107" spans="2:53" ht="49.5" customHeight="1">
      <c r="B107" s="431">
        <f>+B101+1</f>
        <v>56</v>
      </c>
      <c r="C107" s="432" t="str">
        <f>+'Rango indicadores'!D57</f>
        <v>08-RI-01</v>
      </c>
      <c r="D107" s="432" t="str">
        <f>+'Rango indicadores'!E57</f>
        <v>Porcentaje de novedades y situaciones administrativas gestionadas</v>
      </c>
      <c r="E107" s="436">
        <f>+'Rango indicadores'!Q57</f>
        <v>1</v>
      </c>
      <c r="F107" s="464">
        <f>'1.Informe Seguimiento POA 2022'!O61</f>
        <v>1</v>
      </c>
      <c r="G107" s="464">
        <f>'1.Informe Seguimiento POA 2022'!O61</f>
        <v>1</v>
      </c>
      <c r="H107" s="790">
        <f>'1.Informe Seguimiento POA 2022'!P61</f>
        <v>1</v>
      </c>
      <c r="I107" s="790">
        <f>'1.Informe Seguimiento POA 2022'!P61</f>
        <v>1</v>
      </c>
      <c r="J107" s="790">
        <f t="shared" ref="J107:J114" si="168">I107</f>
        <v>1</v>
      </c>
      <c r="K107" s="449">
        <f t="shared" ref="K107" si="169">IF(AND(F107&gt;0),H107/F107,"No programado")</f>
        <v>1</v>
      </c>
      <c r="L107" s="449">
        <f t="shared" ref="L107" si="170">IF(AND(G107&gt;0),I107/G107,"No programado")</f>
        <v>1</v>
      </c>
      <c r="M107" s="435">
        <f>IF(AND(E107&gt;0,$J107&gt;0),J107/$E107,0)*0.25</f>
        <v>0.25</v>
      </c>
      <c r="N107" s="436">
        <f>+E107</f>
        <v>1</v>
      </c>
      <c r="O107" s="790">
        <f>+'1.Informe Seguimiento POA 2022'!Q61</f>
        <v>1</v>
      </c>
      <c r="P107" s="879">
        <f>IFERROR(AVERAGE(F107,O107),0)</f>
        <v>1</v>
      </c>
      <c r="Q107" s="790">
        <f>'1.Informe Seguimiento POA 2022'!R61</f>
        <v>1</v>
      </c>
      <c r="R107" s="436">
        <f>IFERROR(AVERAGE('1.Informe Seguimiento POA 2022'!P61,'1.Informe Seguimiento POA 2022'!R61),0)</f>
        <v>1</v>
      </c>
      <c r="S107" s="436">
        <f>IFERROR(IF(OR($N107="",$N107=0),0,ROUNDDOWN(AVERAGE($H107,Q107),3)),0)</f>
        <v>1</v>
      </c>
      <c r="T107" s="449">
        <f t="shared" ref="T107:T114" si="171">IF(AND(O107&gt;0),Q107/O107,"No programado")</f>
        <v>1</v>
      </c>
      <c r="U107" s="449">
        <f t="shared" ref="U107:U114" si="172">IF(AND(P107&gt;0),R107/P107,"No programado")</f>
        <v>1</v>
      </c>
      <c r="V107" s="435">
        <f>IF(AND(N107&gt;0,$S107&gt;0),S107/$N107,0)*0.5</f>
        <v>0.5</v>
      </c>
      <c r="W107" s="436">
        <f>+N107</f>
        <v>1</v>
      </c>
      <c r="X107" s="464">
        <f>+'1.Informe Seguimiento POA 2022'!S61</f>
        <v>1</v>
      </c>
      <c r="Y107" s="436">
        <f>IFERROR(AVERAGE('1.Informe Seguimiento POA 2022'!O61,'1.Informe Seguimiento POA 2022'!Q61,'1.Informe Seguimiento POA 2022'!S61),0)</f>
        <v>1</v>
      </c>
      <c r="Z107" s="436">
        <f>+'1.Informe Seguimiento POA 2022'!T61</f>
        <v>1</v>
      </c>
      <c r="AA107" s="436">
        <f>IFERROR(AVERAGE('1.Informe Seguimiento POA 2022'!R61,'1.Informe Seguimiento POA 2022'!P61,'1.Informe Seguimiento POA 2022'!T61),0)</f>
        <v>1</v>
      </c>
      <c r="AB107" s="436">
        <f>IFERROR(IF(OR($W107="",$W107=0),0,ROUNDDOWN(AVERAGE($H107,Q107,Z107),3)),0)</f>
        <v>1</v>
      </c>
      <c r="AC107" s="449">
        <f t="shared" ref="AC107:AC114" si="173">IF(AND(X107&gt;0),Z107/X107,"No programado")</f>
        <v>1</v>
      </c>
      <c r="AD107" s="449">
        <f t="shared" ref="AD107:AD114" si="174">IF(AND(Y107&gt;0),AA107/Y107,"No programado")</f>
        <v>1</v>
      </c>
      <c r="AE107" s="435">
        <f>IF(AND(W107&gt;0,$AB107&gt;0),AB107/$W107,0)*0.75</f>
        <v>0.75</v>
      </c>
      <c r="AF107" s="436">
        <f>+W107</f>
        <v>1</v>
      </c>
      <c r="AG107" s="436">
        <f>+'1.Informe Seguimiento POA 2022'!U61</f>
        <v>1</v>
      </c>
      <c r="AH107" s="436">
        <f>IFERROR(AVERAGE('1.Informe Seguimiento POA 2022'!O61,'1.Informe Seguimiento POA 2022'!Q61,'1.Informe Seguimiento POA 2022'!S61,'1.Informe Seguimiento POA 2022'!U61),0)</f>
        <v>1</v>
      </c>
      <c r="AI107" s="436">
        <f>+'1.Informe Seguimiento POA 2022'!V61</f>
        <v>1</v>
      </c>
      <c r="AJ107" s="436">
        <f>IFERROR(AVERAGE('1.Informe Seguimiento POA 2022'!P61,'1.Informe Seguimiento POA 2022'!R61,'1.Informe Seguimiento POA 2022'!T61,'1.Informe Seguimiento POA 2022'!V61),0)</f>
        <v>1</v>
      </c>
      <c r="AK107" s="436">
        <f>IFERROR(IF(OR($W107="",$W107=0),0,ROUNDDOWN(AVERAGE($H107,Q107,Z107,AI107),3)),0)</f>
        <v>1</v>
      </c>
      <c r="AL107" s="449">
        <f t="shared" ref="AL107:AL114" si="175">IF(AND(AG107&gt;0),AI107/AG107,"No programado")</f>
        <v>1</v>
      </c>
      <c r="AM107" s="449">
        <f t="shared" ref="AM107:AM114" si="176">IF(AND(AH107&gt;0),AJ107/AH107,"No programado")</f>
        <v>1</v>
      </c>
      <c r="AN107" s="435">
        <f t="shared" ref="AN107:AN114" si="177">IF(AND(AF107&gt;0,$AK107&gt;0),AK107/$AF107,0)</f>
        <v>1</v>
      </c>
      <c r="AO107" s="439" t="str">
        <f>+'Rango indicadores'!H57</f>
        <v>Mayor o igual A:</v>
      </c>
      <c r="AP107" s="434">
        <f>+'Rango indicadores'!I57</f>
        <v>90</v>
      </c>
      <c r="AQ107" s="434" t="str">
        <f>+'Rango indicadores'!J57</f>
        <v>Desde (&gt;):</v>
      </c>
      <c r="AR107" s="434">
        <f>+'Rango indicadores'!K57</f>
        <v>69</v>
      </c>
      <c r="AS107" s="434" t="str">
        <f>+'Rango indicadores'!L57</f>
        <v>Hasta (&lt;):</v>
      </c>
      <c r="AT107" s="434">
        <f>+'Rango indicadores'!M57</f>
        <v>90</v>
      </c>
      <c r="AU107" s="434" t="str">
        <f>+'Rango indicadores'!N57</f>
        <v>Menor o Igual A:</v>
      </c>
      <c r="AV107" s="878">
        <f>+'Rango indicadores'!O57</f>
        <v>69</v>
      </c>
      <c r="AW107" s="523" t="s">
        <v>1175</v>
      </c>
      <c r="AX107" s="525"/>
      <c r="AY107" s="766">
        <f t="shared" ref="AY107:AY114" si="178">+X107-Z107</f>
        <v>0</v>
      </c>
      <c r="AZ107" s="589">
        <f t="shared" ref="AZ107:AZ108" si="179">+P107-R107</f>
        <v>0</v>
      </c>
    </row>
    <row r="108" spans="2:53" ht="49.5" customHeight="1">
      <c r="B108" s="431">
        <f t="shared" ref="B108:B114" si="180">+B107+1</f>
        <v>57</v>
      </c>
      <c r="C108" s="432" t="str">
        <f>+'Rango indicadores'!D58</f>
        <v>08-RI-02</v>
      </c>
      <c r="D108" s="432" t="str">
        <f>+'Rango indicadores'!E58</f>
        <v xml:space="preserve">Novedades incluidas en la nómina  oportunamente  </v>
      </c>
      <c r="E108" s="436">
        <f>+'Rango indicadores'!Q58</f>
        <v>0.98</v>
      </c>
      <c r="F108" s="464">
        <f>'1.Informe Seguimiento POA 2022'!O62</f>
        <v>0.98</v>
      </c>
      <c r="G108" s="464">
        <f>'1.Informe Seguimiento POA 2022'!O62</f>
        <v>0.98</v>
      </c>
      <c r="H108" s="790">
        <f>'1.Informe Seguimiento POA 2022'!P62</f>
        <v>0.98766666666666669</v>
      </c>
      <c r="I108" s="790">
        <f>'1.Informe Seguimiento POA 2022'!P62</f>
        <v>0.98766666666666669</v>
      </c>
      <c r="J108" s="790">
        <f t="shared" si="168"/>
        <v>0.98766666666666669</v>
      </c>
      <c r="K108" s="449">
        <f t="shared" ref="K108:K114" si="181">IF(AND(F108&gt;0),H108/F108,"No programado")</f>
        <v>1.0078231292517008</v>
      </c>
      <c r="L108" s="449">
        <f t="shared" ref="L108:L114" si="182">IF(AND(G108&gt;0),I108/G108,"No programado")</f>
        <v>1.0078231292517008</v>
      </c>
      <c r="M108" s="435">
        <f>IF(AND(E108&gt;0,$J108&gt;0),J108/$E108,0)*0.25</f>
        <v>0.2519557823129252</v>
      </c>
      <c r="N108" s="436">
        <f t="shared" ref="N108:N114" si="183">+E108</f>
        <v>0.98</v>
      </c>
      <c r="O108" s="790">
        <f>+'1.Informe Seguimiento POA 2022'!Q62</f>
        <v>0.98</v>
      </c>
      <c r="P108" s="879">
        <f t="shared" ref="P108:P109" si="184">IFERROR(AVERAGE(F108,O108),0)</f>
        <v>0.98</v>
      </c>
      <c r="Q108" s="790">
        <f>'1.Informe Seguimiento POA 2022'!R62</f>
        <v>0.95699999999999996</v>
      </c>
      <c r="R108" s="436">
        <f>IFERROR(AVERAGE('1.Informe Seguimiento POA 2022'!P62,'1.Informe Seguimiento POA 2022'!R62),0)</f>
        <v>0.97233333333333327</v>
      </c>
      <c r="S108" s="436">
        <f t="shared" ref="S108:S109" si="185">IFERROR(IF(OR($N108="",$N108=0),0,ROUNDDOWN(AVERAGE($H108,Q108),3)),0)</f>
        <v>0.97199999999999998</v>
      </c>
      <c r="T108" s="449">
        <f t="shared" si="171"/>
        <v>0.9765306122448979</v>
      </c>
      <c r="U108" s="449">
        <f t="shared" si="172"/>
        <v>0.9921768707482993</v>
      </c>
      <c r="V108" s="435">
        <f>IF(AND(N108&gt;0,$S108&gt;0),S108/$N108,0)*0.5</f>
        <v>0.49591836734693878</v>
      </c>
      <c r="W108" s="436">
        <f t="shared" ref="W108:W113" si="186">+N108</f>
        <v>0.98</v>
      </c>
      <c r="X108" s="464">
        <f>+'1.Informe Seguimiento POA 2022'!S62</f>
        <v>0.98</v>
      </c>
      <c r="Y108" s="436">
        <f>IFERROR(AVERAGE('1.Informe Seguimiento POA 2022'!O62,'1.Informe Seguimiento POA 2022'!Q62,'1.Informe Seguimiento POA 2022'!S62),0)</f>
        <v>0.98</v>
      </c>
      <c r="Z108" s="436">
        <f>+'1.Informe Seguimiento POA 2022'!T62</f>
        <v>0.9903333333333334</v>
      </c>
      <c r="AA108" s="436">
        <f>IFERROR(AVERAGE('1.Informe Seguimiento POA 2022'!R62,'1.Informe Seguimiento POA 2022'!P62,'1.Informe Seguimiento POA 2022'!T62),0)</f>
        <v>0.97833333333333339</v>
      </c>
      <c r="AB108" s="436">
        <f t="shared" ref="AB108:AB109" si="187">IFERROR(IF(OR($W108="",$W108=0),0,ROUNDDOWN(AVERAGE($H108,Q108,Z108),3)),0)</f>
        <v>0.97799999999999998</v>
      </c>
      <c r="AC108" s="449">
        <f t="shared" si="173"/>
        <v>1.0105442176870749</v>
      </c>
      <c r="AD108" s="449">
        <f t="shared" si="174"/>
        <v>0.99829931972789121</v>
      </c>
      <c r="AE108" s="435">
        <f>IF(AND(W108&gt;0,$AB108&gt;0),AB108/$W108,0)*0.75</f>
        <v>0.74846938775510208</v>
      </c>
      <c r="AF108" s="436">
        <f t="shared" ref="AF108:AF109" si="188">+W108</f>
        <v>0.98</v>
      </c>
      <c r="AG108" s="436">
        <f>+'1.Informe Seguimiento POA 2022'!U62</f>
        <v>0.98</v>
      </c>
      <c r="AH108" s="436">
        <f>IFERROR(AVERAGE('1.Informe Seguimiento POA 2022'!O62,'1.Informe Seguimiento POA 2022'!Q62,'1.Informe Seguimiento POA 2022'!S62,'1.Informe Seguimiento POA 2022'!U62),0)</f>
        <v>0.98</v>
      </c>
      <c r="AI108" s="436">
        <f>+'1.Informe Seguimiento POA 2022'!V62</f>
        <v>0.996</v>
      </c>
      <c r="AJ108" s="436">
        <f>IFERROR(AVERAGE('1.Informe Seguimiento POA 2022'!P62,'1.Informe Seguimiento POA 2022'!R62,'1.Informe Seguimiento POA 2022'!T62,'1.Informe Seguimiento POA 2022'!V62),0)</f>
        <v>0.98275000000000001</v>
      </c>
      <c r="AK108" s="436">
        <f t="shared" ref="AK108:AK109" si="189">IFERROR(IF(OR($W108="",$W108=0),0,ROUNDDOWN(AVERAGE($H108,Q108,Z108,AI108),3)),0)</f>
        <v>0.98199999999999998</v>
      </c>
      <c r="AL108" s="449">
        <f t="shared" si="175"/>
        <v>1.0163265306122449</v>
      </c>
      <c r="AM108" s="449">
        <f t="shared" si="176"/>
        <v>1.0028061224489797</v>
      </c>
      <c r="AN108" s="435">
        <f t="shared" si="177"/>
        <v>1.0020408163265306</v>
      </c>
      <c r="AO108" s="439" t="str">
        <f>+'Rango indicadores'!H58</f>
        <v>Mayor o igual A:</v>
      </c>
      <c r="AP108" s="434">
        <f>+'Rango indicadores'!I58</f>
        <v>97</v>
      </c>
      <c r="AQ108" s="434" t="str">
        <f>+'Rango indicadores'!J58</f>
        <v>Desde (&gt;):</v>
      </c>
      <c r="AR108" s="434">
        <f>+'Rango indicadores'!K58</f>
        <v>84</v>
      </c>
      <c r="AS108" s="434" t="str">
        <f>+'Rango indicadores'!L58</f>
        <v>Hasta (&lt;):</v>
      </c>
      <c r="AT108" s="434">
        <f>+'Rango indicadores'!M58</f>
        <v>97</v>
      </c>
      <c r="AU108" s="434" t="str">
        <f>+'Rango indicadores'!N58</f>
        <v>Menor o Igual A:</v>
      </c>
      <c r="AV108" s="878">
        <f>+'Rango indicadores'!O58</f>
        <v>84</v>
      </c>
      <c r="AW108" s="523" t="s">
        <v>1175</v>
      </c>
      <c r="AX108" s="525"/>
      <c r="AY108" s="766">
        <f t="shared" si="178"/>
        <v>-1.0333333333333417E-2</v>
      </c>
      <c r="AZ108" s="589">
        <f t="shared" si="179"/>
        <v>7.6666666666667105E-3</v>
      </c>
      <c r="BA108" s="451"/>
    </row>
    <row r="109" spans="2:53" ht="70.5" customHeight="1">
      <c r="B109" s="431">
        <f t="shared" si="180"/>
        <v>58</v>
      </c>
      <c r="C109" s="432" t="str">
        <f>+'Rango indicadores'!D59</f>
        <v>08-RI-03</v>
      </c>
      <c r="D109" s="432" t="str">
        <f>+'Rango indicadores'!E59</f>
        <v>Porcentaje de Usuarios internos satisfechos con las solicitudes de los servicios atendidas de la SGTH (Certificaciones laborales, bonos pensionales y autorizaciones de retiro de cesantías)</v>
      </c>
      <c r="E109" s="436">
        <f>+'Rango indicadores'!Q59</f>
        <v>0.96</v>
      </c>
      <c r="F109" s="464">
        <f>'1.Informe Seguimiento POA 2022'!O63</f>
        <v>0.96</v>
      </c>
      <c r="G109" s="464">
        <f>'1.Informe Seguimiento POA 2022'!O63</f>
        <v>0.96</v>
      </c>
      <c r="H109" s="790">
        <f>'1.Informe Seguimiento POA 2022'!P63</f>
        <v>0.92900000000000005</v>
      </c>
      <c r="I109" s="790">
        <f>'1.Informe Seguimiento POA 2022'!P63</f>
        <v>0.92900000000000005</v>
      </c>
      <c r="J109" s="790">
        <f t="shared" si="168"/>
        <v>0.92900000000000005</v>
      </c>
      <c r="K109" s="449">
        <f t="shared" si="181"/>
        <v>0.96770833333333339</v>
      </c>
      <c r="L109" s="449">
        <f t="shared" si="182"/>
        <v>0.96770833333333339</v>
      </c>
      <c r="M109" s="435">
        <f>IF(AND(E109&gt;0,$J109&gt;0),J109/$E109,0)*0.25</f>
        <v>0.24192708333333335</v>
      </c>
      <c r="N109" s="436">
        <f t="shared" si="183"/>
        <v>0.96</v>
      </c>
      <c r="O109" s="790">
        <f>+'1.Informe Seguimiento POA 2022'!Q63</f>
        <v>0.96</v>
      </c>
      <c r="P109" s="879">
        <f t="shared" si="184"/>
        <v>0.96</v>
      </c>
      <c r="Q109" s="790">
        <f>'1.Informe Seguimiento POA 2022'!R63</f>
        <v>0.99199999999999999</v>
      </c>
      <c r="R109" s="436">
        <f>IFERROR(AVERAGE('1.Informe Seguimiento POA 2022'!P63,'1.Informe Seguimiento POA 2022'!R63),0)</f>
        <v>0.96050000000000002</v>
      </c>
      <c r="S109" s="436">
        <f t="shared" si="185"/>
        <v>0.96</v>
      </c>
      <c r="T109" s="449">
        <f t="shared" si="171"/>
        <v>1.0333333333333334</v>
      </c>
      <c r="U109" s="449">
        <f t="shared" si="172"/>
        <v>1.0005208333333333</v>
      </c>
      <c r="V109" s="435">
        <f>IF(AND(N109&gt;0,$S109&gt;0),S109/$N109,0)*0.5</f>
        <v>0.5</v>
      </c>
      <c r="W109" s="436">
        <f t="shared" si="186"/>
        <v>0.96</v>
      </c>
      <c r="X109" s="464">
        <f>+'1.Informe Seguimiento POA 2022'!S63</f>
        <v>0.96</v>
      </c>
      <c r="Y109" s="436">
        <f>IFERROR(AVERAGE('1.Informe Seguimiento POA 2022'!O63,'1.Informe Seguimiento POA 2022'!Q63,'1.Informe Seguimiento POA 2022'!S63),0)</f>
        <v>0.96</v>
      </c>
      <c r="Z109" s="436">
        <f>+'1.Informe Seguimiento POA 2022'!T63</f>
        <v>0.97</v>
      </c>
      <c r="AA109" s="436">
        <f>IFERROR(AVERAGE('1.Informe Seguimiento POA 2022'!R63,'1.Informe Seguimiento POA 2022'!P63,'1.Informe Seguimiento POA 2022'!T63),0)</f>
        <v>0.96366666666666667</v>
      </c>
      <c r="AB109" s="436">
        <f t="shared" si="187"/>
        <v>0.96299999999999997</v>
      </c>
      <c r="AC109" s="449">
        <f t="shared" si="173"/>
        <v>1.0104166666666667</v>
      </c>
      <c r="AD109" s="449">
        <f t="shared" si="174"/>
        <v>1.0038194444444446</v>
      </c>
      <c r="AE109" s="435">
        <f>IF(AND(W109&gt;0,$AB109&gt;0),AB109/$W109,0)*0.75</f>
        <v>0.75234375000000009</v>
      </c>
      <c r="AF109" s="436">
        <f t="shared" si="188"/>
        <v>0.96</v>
      </c>
      <c r="AG109" s="436">
        <f>+'1.Informe Seguimiento POA 2022'!U63</f>
        <v>0.96</v>
      </c>
      <c r="AH109" s="436">
        <f>IFERROR(AVERAGE('1.Informe Seguimiento POA 2022'!O63,'1.Informe Seguimiento POA 2022'!Q63,'1.Informe Seguimiento POA 2022'!S63,'1.Informe Seguimiento POA 2022'!U63),0)</f>
        <v>0.96</v>
      </c>
      <c r="AI109" s="436">
        <f>+'1.Informe Seguimiento POA 2022'!V63</f>
        <v>0.97599999999999998</v>
      </c>
      <c r="AJ109" s="436">
        <f>IFERROR(AVERAGE('1.Informe Seguimiento POA 2022'!P63,'1.Informe Seguimiento POA 2022'!R63,'1.Informe Seguimiento POA 2022'!T63,'1.Informe Seguimiento POA 2022'!V63),0)</f>
        <v>0.96675</v>
      </c>
      <c r="AK109" s="436">
        <f t="shared" si="189"/>
        <v>0.96599999999999997</v>
      </c>
      <c r="AL109" s="449">
        <f t="shared" si="175"/>
        <v>1.0166666666666666</v>
      </c>
      <c r="AM109" s="449">
        <f t="shared" si="176"/>
        <v>1.00703125</v>
      </c>
      <c r="AN109" s="435">
        <f t="shared" si="177"/>
        <v>1.0062500000000001</v>
      </c>
      <c r="AO109" s="439" t="str">
        <f>+'Rango indicadores'!H59</f>
        <v>Mayor o igual A:</v>
      </c>
      <c r="AP109" s="434">
        <f>+'Rango indicadores'!I59</f>
        <v>90</v>
      </c>
      <c r="AQ109" s="434" t="str">
        <f>+'Rango indicadores'!J59</f>
        <v>Desde (&gt;):</v>
      </c>
      <c r="AR109" s="434">
        <f>+'Rango indicadores'!K59</f>
        <v>79</v>
      </c>
      <c r="AS109" s="434" t="str">
        <f>+'Rango indicadores'!L59</f>
        <v>Hasta (&lt;):</v>
      </c>
      <c r="AT109" s="434">
        <f>+'Rango indicadores'!M59</f>
        <v>90</v>
      </c>
      <c r="AU109" s="434" t="str">
        <f>+'Rango indicadores'!N59</f>
        <v>Menor o Igual A:</v>
      </c>
      <c r="AV109" s="878">
        <f>+'Rango indicadores'!O59</f>
        <v>79</v>
      </c>
      <c r="AW109" s="523" t="s">
        <v>1175</v>
      </c>
      <c r="AX109" s="525"/>
      <c r="AY109" s="766">
        <f t="shared" si="178"/>
        <v>-1.0000000000000009E-2</v>
      </c>
      <c r="AZ109" s="525"/>
      <c r="BA109" s="452"/>
    </row>
    <row r="110" spans="2:53" ht="49.5" customHeight="1">
      <c r="B110" s="431">
        <f t="shared" si="180"/>
        <v>59</v>
      </c>
      <c r="C110" s="432" t="str">
        <f>+'Rango indicadores'!D60</f>
        <v>08-RI-04</v>
      </c>
      <c r="D110" s="432" t="str">
        <f>+'Rango indicadores'!E60</f>
        <v>Plan Institucional de Capacitación formulado y ejecutado</v>
      </c>
      <c r="E110" s="436">
        <f>+'Rango indicadores'!Q60</f>
        <v>1</v>
      </c>
      <c r="F110" s="464">
        <f>'1.Informe Seguimiento POA 2022'!O64</f>
        <v>0.3</v>
      </c>
      <c r="G110" s="464">
        <f>'1.Informe Seguimiento POA 2022'!O64</f>
        <v>0.3</v>
      </c>
      <c r="H110" s="790">
        <f>'1.Informe Seguimiento POA 2022'!P64</f>
        <v>0.3</v>
      </c>
      <c r="I110" s="790">
        <f>'1.Informe Seguimiento POA 2022'!P64</f>
        <v>0.3</v>
      </c>
      <c r="J110" s="790">
        <f t="shared" si="168"/>
        <v>0.3</v>
      </c>
      <c r="K110" s="449">
        <f t="shared" si="181"/>
        <v>1</v>
      </c>
      <c r="L110" s="449">
        <f t="shared" si="182"/>
        <v>1</v>
      </c>
      <c r="M110" s="435">
        <f t="shared" ref="M110:M114" si="190">IF(AND(E110&gt;0,$J110&gt;0),J110/$E110,0)</f>
        <v>0.3</v>
      </c>
      <c r="N110" s="436">
        <f t="shared" si="183"/>
        <v>1</v>
      </c>
      <c r="O110" s="464">
        <f>+'1.Informe Seguimiento POA 2022'!Q64</f>
        <v>0.15000000000000002</v>
      </c>
      <c r="P110" s="464">
        <f>+'1.Informe Seguimiento POA 2022'!O64+'1.Informe Seguimiento POA 2022'!Q64</f>
        <v>0.45</v>
      </c>
      <c r="Q110" s="464">
        <f>+'1.Informe Seguimiento POA 2022'!R64</f>
        <v>0.15000000000000002</v>
      </c>
      <c r="R110" s="464">
        <f>+'1.Informe Seguimiento POA 2022'!P64+'1.Informe Seguimiento POA 2022'!R64</f>
        <v>0.45</v>
      </c>
      <c r="S110" s="464">
        <f t="shared" ref="S110" si="191">H110+Q110</f>
        <v>0.45</v>
      </c>
      <c r="T110" s="449">
        <f t="shared" si="171"/>
        <v>1</v>
      </c>
      <c r="U110" s="449">
        <f t="shared" si="172"/>
        <v>1</v>
      </c>
      <c r="V110" s="435">
        <f t="shared" ref="V110:V114" si="192">IF(AND(N110&gt;0,$S110&gt;0),S110/$N110,0)</f>
        <v>0.45</v>
      </c>
      <c r="W110" s="436">
        <f t="shared" si="186"/>
        <v>1</v>
      </c>
      <c r="X110" s="464">
        <f>+'1.Informe Seguimiento POA 2022'!S64</f>
        <v>0.2</v>
      </c>
      <c r="Y110" s="464">
        <f>+'1.Informe Seguimiento POA 2022'!O64+'1.Informe Seguimiento POA 2022'!Q64+'1.Informe Seguimiento POA 2022'!S64</f>
        <v>0.65</v>
      </c>
      <c r="Z110" s="464">
        <f>+'1.Informe Seguimiento POA 2022'!T64</f>
        <v>0.1</v>
      </c>
      <c r="AA110" s="464">
        <f>+'1.Informe Seguimiento POA 2022'!R64+'1.Informe Seguimiento POA 2022'!T64+'1.Informe Seguimiento POA 2022'!P64</f>
        <v>0.55000000000000004</v>
      </c>
      <c r="AB110" s="464">
        <f t="shared" ref="AB110" si="193">H110+Q110+Z110</f>
        <v>0.55000000000000004</v>
      </c>
      <c r="AC110" s="449">
        <f t="shared" si="173"/>
        <v>0.5</v>
      </c>
      <c r="AD110" s="449">
        <f t="shared" si="174"/>
        <v>0.84615384615384615</v>
      </c>
      <c r="AE110" s="435">
        <f t="shared" ref="AE110:AE114" si="194">IF(AND(W110&gt;0,$AB110&gt;0),AB110/$W110,0)</f>
        <v>0.55000000000000004</v>
      </c>
      <c r="AF110" s="436">
        <f t="shared" ref="AF110:AF113" si="195">+W110</f>
        <v>1</v>
      </c>
      <c r="AG110" s="436">
        <f>+'1.Informe Seguimiento POA 2022'!U64</f>
        <v>0.35000000000000003</v>
      </c>
      <c r="AH110" s="436">
        <f>+'1.Informe Seguimiento POA 2022'!O64+'1.Informe Seguimiento POA 2022'!Q64+'1.Informe Seguimiento POA 2022'!S64+'1.Informe Seguimiento POA 2022'!U64</f>
        <v>1</v>
      </c>
      <c r="AI110" s="767">
        <f>+'1.Informe Seguimiento POA 2022'!V64</f>
        <v>0.44999999999999996</v>
      </c>
      <c r="AJ110" s="436">
        <f>+'1.Informe Seguimiento POA 2022'!P64+'1.Informe Seguimiento POA 2022'!R64+'1.Informe Seguimiento POA 2022'!T64+'1.Informe Seguimiento POA 2022'!V64</f>
        <v>1</v>
      </c>
      <c r="AK110" s="470">
        <f t="shared" ref="AK110:AK114" si="196">H110+Q110+Z110+AI110</f>
        <v>1</v>
      </c>
      <c r="AL110" s="449">
        <f t="shared" si="175"/>
        <v>1.2857142857142854</v>
      </c>
      <c r="AM110" s="449">
        <f t="shared" si="176"/>
        <v>1</v>
      </c>
      <c r="AN110" s="435">
        <f t="shared" si="177"/>
        <v>1</v>
      </c>
      <c r="AO110" s="439" t="str">
        <f>+'Rango indicadores'!H60</f>
        <v>Mayor o igual A:</v>
      </c>
      <c r="AP110" s="434">
        <f>+'Rango indicadores'!I60</f>
        <v>90</v>
      </c>
      <c r="AQ110" s="434" t="str">
        <f>+'Rango indicadores'!J60</f>
        <v>Desde (&gt;):</v>
      </c>
      <c r="AR110" s="434">
        <f>+'Rango indicadores'!K60</f>
        <v>69</v>
      </c>
      <c r="AS110" s="434" t="str">
        <f>+'Rango indicadores'!L60</f>
        <v>Hasta (&lt;):</v>
      </c>
      <c r="AT110" s="434">
        <f>+'Rango indicadores'!M60</f>
        <v>90</v>
      </c>
      <c r="AU110" s="434" t="str">
        <f>+'Rango indicadores'!N60</f>
        <v>Menor o Igual A:</v>
      </c>
      <c r="AV110" s="878">
        <f>+'Rango indicadores'!O60</f>
        <v>69</v>
      </c>
      <c r="AW110" s="523" t="s">
        <v>1175</v>
      </c>
      <c r="AX110" s="589"/>
      <c r="AY110" s="766">
        <f t="shared" si="178"/>
        <v>0.1</v>
      </c>
      <c r="AZ110" s="525"/>
    </row>
    <row r="111" spans="2:53" ht="49.5" customHeight="1">
      <c r="B111" s="431">
        <f t="shared" si="180"/>
        <v>60</v>
      </c>
      <c r="C111" s="432" t="str">
        <f>+'Rango indicadores'!D61</f>
        <v>08-RI-05</v>
      </c>
      <c r="D111" s="432" t="str">
        <f>+'Rango indicadores'!E61</f>
        <v>Plan Institucional de Bienestar formulado y ejecutado</v>
      </c>
      <c r="E111" s="436">
        <f>+'Rango indicadores'!Q61</f>
        <v>1</v>
      </c>
      <c r="F111" s="464">
        <f>'1.Informe Seguimiento POA 2022'!O65</f>
        <v>0.25830000000000003</v>
      </c>
      <c r="G111" s="464">
        <f>'1.Informe Seguimiento POA 2022'!O65</f>
        <v>0.25830000000000003</v>
      </c>
      <c r="H111" s="790">
        <f>'1.Informe Seguimiento POA 2022'!P65</f>
        <v>0.25830000000000003</v>
      </c>
      <c r="I111" s="790">
        <f>'1.Informe Seguimiento POA 2022'!P65</f>
        <v>0.25830000000000003</v>
      </c>
      <c r="J111" s="790">
        <f t="shared" si="168"/>
        <v>0.25830000000000003</v>
      </c>
      <c r="K111" s="449">
        <f t="shared" si="181"/>
        <v>1</v>
      </c>
      <c r="L111" s="449">
        <f t="shared" si="182"/>
        <v>1</v>
      </c>
      <c r="M111" s="435">
        <f t="shared" si="190"/>
        <v>0.25830000000000003</v>
      </c>
      <c r="N111" s="436">
        <f t="shared" si="183"/>
        <v>1</v>
      </c>
      <c r="O111" s="790">
        <f>+'1.Informe Seguimiento POA 2022'!Q65</f>
        <v>0.17499999999999999</v>
      </c>
      <c r="P111" s="790">
        <f>+'1.Informe Seguimiento POA 2022'!O65+'1.Informe Seguimiento POA 2022'!Q65</f>
        <v>0.43330000000000002</v>
      </c>
      <c r="Q111" s="790">
        <f>+'1.Informe Seguimiento POA 2022'!R65</f>
        <v>0.1361</v>
      </c>
      <c r="R111" s="790">
        <f>+'1.Informe Seguimiento POA 2022'!P65+'1.Informe Seguimiento POA 2022'!R65</f>
        <v>0.39440000000000003</v>
      </c>
      <c r="S111" s="790">
        <f t="shared" ref="S111:S114" si="197">H111+Q111</f>
        <v>0.39440000000000003</v>
      </c>
      <c r="T111" s="449">
        <f t="shared" si="171"/>
        <v>0.7777142857142858</v>
      </c>
      <c r="U111" s="449">
        <f t="shared" si="172"/>
        <v>0.91022386337410577</v>
      </c>
      <c r="V111" s="435">
        <f t="shared" si="192"/>
        <v>0.39440000000000003</v>
      </c>
      <c r="W111" s="436">
        <f t="shared" si="186"/>
        <v>1</v>
      </c>
      <c r="X111" s="464">
        <f>+'1.Informe Seguimiento POA 2022'!S65</f>
        <v>0.22369999999999995</v>
      </c>
      <c r="Y111" s="464">
        <f>+'1.Informe Seguimiento POA 2022'!O65+'1.Informe Seguimiento POA 2022'!Q65+'1.Informe Seguimiento POA 2022'!S65</f>
        <v>0.65700000000000003</v>
      </c>
      <c r="Z111" s="464">
        <f>+'1.Informe Seguimiento POA 2022'!T65</f>
        <v>0.24309999999999998</v>
      </c>
      <c r="AA111" s="464">
        <f>+'1.Informe Seguimiento POA 2022'!R65+'1.Informe Seguimiento POA 2022'!T65+'1.Informe Seguimiento POA 2022'!P65</f>
        <v>0.63749999999999996</v>
      </c>
      <c r="AB111" s="464">
        <f t="shared" ref="AB111:AB114" si="198">H111+Q111+Z111</f>
        <v>0.63749999999999996</v>
      </c>
      <c r="AC111" s="449">
        <f t="shared" si="173"/>
        <v>1.0867232901206976</v>
      </c>
      <c r="AD111" s="449">
        <f t="shared" si="174"/>
        <v>0.97031963470319627</v>
      </c>
      <c r="AE111" s="435">
        <f t="shared" si="194"/>
        <v>0.63749999999999996</v>
      </c>
      <c r="AF111" s="436">
        <f t="shared" si="195"/>
        <v>1</v>
      </c>
      <c r="AG111" s="436">
        <f>+'1.Informe Seguimiento POA 2022'!U65</f>
        <v>0.34299999999999997</v>
      </c>
      <c r="AH111" s="436">
        <f>+'1.Informe Seguimiento POA 2022'!O65+'1.Informe Seguimiento POA 2022'!Q65+'1.Informe Seguimiento POA 2022'!S65+'1.Informe Seguimiento POA 2022'!U65</f>
        <v>1</v>
      </c>
      <c r="AI111" s="767">
        <f>+'1.Informe Seguimiento POA 2022'!V65</f>
        <v>0.34289999999999998</v>
      </c>
      <c r="AJ111" s="436">
        <f>+'1.Informe Seguimiento POA 2022'!P65+'1.Informe Seguimiento POA 2022'!R65+'1.Informe Seguimiento POA 2022'!T65+'1.Informe Seguimiento POA 2022'!V65</f>
        <v>0.98039999999999994</v>
      </c>
      <c r="AK111" s="470">
        <f t="shared" si="196"/>
        <v>0.98039999999999994</v>
      </c>
      <c r="AL111" s="449">
        <f t="shared" si="175"/>
        <v>0.99970845481049564</v>
      </c>
      <c r="AM111" s="449">
        <f t="shared" si="176"/>
        <v>0.98039999999999994</v>
      </c>
      <c r="AN111" s="435">
        <f t="shared" si="177"/>
        <v>0.98039999999999994</v>
      </c>
      <c r="AO111" s="439" t="str">
        <f>+'Rango indicadores'!H61</f>
        <v>Mayor o igual A:</v>
      </c>
      <c r="AP111" s="434">
        <f>+'Rango indicadores'!I61</f>
        <v>90</v>
      </c>
      <c r="AQ111" s="434" t="str">
        <f>+'Rango indicadores'!J61</f>
        <v>Desde (&gt;):</v>
      </c>
      <c r="AR111" s="434">
        <f>+'Rango indicadores'!K61</f>
        <v>69</v>
      </c>
      <c r="AS111" s="434" t="str">
        <f>+'Rango indicadores'!L61</f>
        <v>Hasta (&lt;):</v>
      </c>
      <c r="AT111" s="434">
        <f>+'Rango indicadores'!M61</f>
        <v>90</v>
      </c>
      <c r="AU111" s="434" t="str">
        <f>+'Rango indicadores'!N61</f>
        <v>Menor o Igual A:</v>
      </c>
      <c r="AV111" s="878">
        <f>+'Rango indicadores'!O61</f>
        <v>69</v>
      </c>
      <c r="AW111" s="898" t="s">
        <v>1181</v>
      </c>
      <c r="AX111" s="525"/>
      <c r="AY111" s="766">
        <f t="shared" si="178"/>
        <v>-1.9400000000000028E-2</v>
      </c>
      <c r="AZ111" s="525"/>
      <c r="BA111" s="451"/>
    </row>
    <row r="112" spans="2:53" ht="49.5" customHeight="1">
      <c r="B112" s="431">
        <f t="shared" si="180"/>
        <v>61</v>
      </c>
      <c r="C112" s="432" t="str">
        <f>+'Rango indicadores'!D62</f>
        <v>08-RI-06</v>
      </c>
      <c r="D112" s="432" t="str">
        <f>+'Rango indicadores'!E62</f>
        <v>Plan Institucional de Incentivos formulado y ejecutado</v>
      </c>
      <c r="E112" s="436">
        <f>+'Rango indicadores'!Q62</f>
        <v>1</v>
      </c>
      <c r="F112" s="464">
        <f>'1.Informe Seguimiento POA 2022'!O66</f>
        <v>0.25</v>
      </c>
      <c r="G112" s="464">
        <f>'1.Informe Seguimiento POA 2022'!O66</f>
        <v>0.25</v>
      </c>
      <c r="H112" s="790">
        <f>'1.Informe Seguimiento POA 2022'!P66</f>
        <v>0.25</v>
      </c>
      <c r="I112" s="790">
        <f>'1.Informe Seguimiento POA 2022'!P66</f>
        <v>0.25</v>
      </c>
      <c r="J112" s="790">
        <f t="shared" si="168"/>
        <v>0.25</v>
      </c>
      <c r="K112" s="449">
        <f t="shared" si="181"/>
        <v>1</v>
      </c>
      <c r="L112" s="449">
        <f t="shared" si="182"/>
        <v>1</v>
      </c>
      <c r="M112" s="435">
        <f t="shared" si="190"/>
        <v>0.25</v>
      </c>
      <c r="N112" s="436">
        <f t="shared" si="183"/>
        <v>1</v>
      </c>
      <c r="O112" s="464">
        <f>+'1.Informe Seguimiento POA 2022'!Q66</f>
        <v>0.1</v>
      </c>
      <c r="P112" s="464">
        <f>+'1.Informe Seguimiento POA 2022'!O66+'1.Informe Seguimiento POA 2022'!Q66</f>
        <v>0.35</v>
      </c>
      <c r="Q112" s="464">
        <f>+'1.Informe Seguimiento POA 2022'!R66</f>
        <v>0.1</v>
      </c>
      <c r="R112" s="464">
        <f>+'1.Informe Seguimiento POA 2022'!P66+'1.Informe Seguimiento POA 2022'!R66</f>
        <v>0.35</v>
      </c>
      <c r="S112" s="464">
        <f t="shared" si="197"/>
        <v>0.35</v>
      </c>
      <c r="T112" s="449">
        <f t="shared" si="171"/>
        <v>1</v>
      </c>
      <c r="U112" s="449">
        <f t="shared" si="172"/>
        <v>1</v>
      </c>
      <c r="V112" s="435">
        <f t="shared" si="192"/>
        <v>0.35</v>
      </c>
      <c r="W112" s="436">
        <f t="shared" si="186"/>
        <v>1</v>
      </c>
      <c r="X112" s="464">
        <f>+'1.Informe Seguimiento POA 2022'!S66</f>
        <v>0.1</v>
      </c>
      <c r="Y112" s="464">
        <f>+'1.Informe Seguimiento POA 2022'!O66+'1.Informe Seguimiento POA 2022'!Q66+'1.Informe Seguimiento POA 2022'!S66</f>
        <v>0.44999999999999996</v>
      </c>
      <c r="Z112" s="464">
        <f>+'1.Informe Seguimiento POA 2022'!T66</f>
        <v>0.1</v>
      </c>
      <c r="AA112" s="464">
        <f>+'1.Informe Seguimiento POA 2022'!R66+'1.Informe Seguimiento POA 2022'!T66+'1.Informe Seguimiento POA 2022'!P66</f>
        <v>0.45</v>
      </c>
      <c r="AB112" s="464">
        <f t="shared" si="198"/>
        <v>0.44999999999999996</v>
      </c>
      <c r="AC112" s="449">
        <f t="shared" si="173"/>
        <v>1</v>
      </c>
      <c r="AD112" s="449">
        <f t="shared" si="174"/>
        <v>1.0000000000000002</v>
      </c>
      <c r="AE112" s="435">
        <f t="shared" si="194"/>
        <v>0.44999999999999996</v>
      </c>
      <c r="AF112" s="436">
        <f t="shared" si="195"/>
        <v>1</v>
      </c>
      <c r="AG112" s="436">
        <f>+'1.Informe Seguimiento POA 2022'!U66</f>
        <v>0.54999999999999993</v>
      </c>
      <c r="AH112" s="436">
        <f>+'1.Informe Seguimiento POA 2022'!O66+'1.Informe Seguimiento POA 2022'!Q66+'1.Informe Seguimiento POA 2022'!S66+'1.Informe Seguimiento POA 2022'!U66</f>
        <v>0.99999999999999989</v>
      </c>
      <c r="AI112" s="767">
        <f>+'1.Informe Seguimiento POA 2022'!V66</f>
        <v>0.5</v>
      </c>
      <c r="AJ112" s="436">
        <f>+'1.Informe Seguimiento POA 2022'!P66+'1.Informe Seguimiento POA 2022'!R66+'1.Informe Seguimiento POA 2022'!T66+'1.Informe Seguimiento POA 2022'!V66</f>
        <v>0.95</v>
      </c>
      <c r="AK112" s="470">
        <f t="shared" si="196"/>
        <v>0.95</v>
      </c>
      <c r="AL112" s="449">
        <f t="shared" si="175"/>
        <v>0.90909090909090917</v>
      </c>
      <c r="AM112" s="449">
        <f t="shared" si="176"/>
        <v>0.95000000000000007</v>
      </c>
      <c r="AN112" s="435">
        <f t="shared" si="177"/>
        <v>0.95</v>
      </c>
      <c r="AO112" s="439" t="str">
        <f>+'Rango indicadores'!H62</f>
        <v>Mayor o igual A:</v>
      </c>
      <c r="AP112" s="434">
        <f>+'Rango indicadores'!I62</f>
        <v>90</v>
      </c>
      <c r="AQ112" s="434" t="str">
        <f>+'Rango indicadores'!J62</f>
        <v>Desde (&gt;):</v>
      </c>
      <c r="AR112" s="434">
        <f>+'Rango indicadores'!K62</f>
        <v>69</v>
      </c>
      <c r="AS112" s="434" t="str">
        <f>+'Rango indicadores'!L62</f>
        <v>Hasta (&lt;):</v>
      </c>
      <c r="AT112" s="434">
        <f>+'Rango indicadores'!M62</f>
        <v>90</v>
      </c>
      <c r="AU112" s="434" t="str">
        <f>+'Rango indicadores'!N62</f>
        <v>Menor o Igual A:</v>
      </c>
      <c r="AV112" s="878">
        <f>+'Rango indicadores'!O62</f>
        <v>69</v>
      </c>
      <c r="AW112" s="898" t="s">
        <v>1182</v>
      </c>
      <c r="AX112" s="615"/>
      <c r="AY112" s="766">
        <f t="shared" si="178"/>
        <v>0</v>
      </c>
      <c r="AZ112" s="525"/>
      <c r="BA112" s="452"/>
    </row>
    <row r="113" spans="2:53" ht="51" customHeight="1">
      <c r="B113" s="431">
        <f t="shared" si="180"/>
        <v>62</v>
      </c>
      <c r="C113" s="432" t="str">
        <f>+'Rango indicadores'!D63</f>
        <v>08-RI-07</v>
      </c>
      <c r="D113" s="432" t="str">
        <f>+'Rango indicadores'!E63</f>
        <v>Plan Anual de Trabajo del Sistema de Gestión de Seguridad y Salud en el Trabajo SG-SST diseñado y ejecutado</v>
      </c>
      <c r="E113" s="436">
        <f>+'Rango indicadores'!Q63</f>
        <v>1</v>
      </c>
      <c r="F113" s="464">
        <f>'1.Informe Seguimiento POA 2022'!O67</f>
        <v>0.40160000000000001</v>
      </c>
      <c r="G113" s="464">
        <f>'1.Informe Seguimiento POA 2022'!O67</f>
        <v>0.40160000000000001</v>
      </c>
      <c r="H113" s="790">
        <f>'1.Informe Seguimiento POA 2022'!P67</f>
        <v>0.40160000000000001</v>
      </c>
      <c r="I113" s="790">
        <f>'1.Informe Seguimiento POA 2022'!P67</f>
        <v>0.40160000000000001</v>
      </c>
      <c r="J113" s="790">
        <f t="shared" si="168"/>
        <v>0.40160000000000001</v>
      </c>
      <c r="K113" s="449">
        <f t="shared" si="181"/>
        <v>1</v>
      </c>
      <c r="L113" s="449">
        <f t="shared" si="182"/>
        <v>1</v>
      </c>
      <c r="M113" s="435">
        <f t="shared" si="190"/>
        <v>0.40160000000000001</v>
      </c>
      <c r="N113" s="436">
        <f t="shared" si="183"/>
        <v>1</v>
      </c>
      <c r="O113" s="464">
        <f>+'1.Informe Seguimiento POA 2022'!Q67</f>
        <v>0.19600000000000001</v>
      </c>
      <c r="P113" s="464">
        <f>+'1.Informe Seguimiento POA 2022'!O67+'1.Informe Seguimiento POA 2022'!Q67</f>
        <v>0.59760000000000002</v>
      </c>
      <c r="Q113" s="464">
        <f>+'1.Informe Seguimiento POA 2022'!R67</f>
        <v>0.19600000000000001</v>
      </c>
      <c r="R113" s="464">
        <f>+'1.Informe Seguimiento POA 2022'!P67+'1.Informe Seguimiento POA 2022'!R67</f>
        <v>0.59760000000000002</v>
      </c>
      <c r="S113" s="464">
        <f t="shared" si="197"/>
        <v>0.59760000000000002</v>
      </c>
      <c r="T113" s="449">
        <f t="shared" si="171"/>
        <v>1</v>
      </c>
      <c r="U113" s="449">
        <f t="shared" si="172"/>
        <v>1</v>
      </c>
      <c r="V113" s="435">
        <f t="shared" si="192"/>
        <v>0.59760000000000002</v>
      </c>
      <c r="W113" s="436">
        <f t="shared" si="186"/>
        <v>1</v>
      </c>
      <c r="X113" s="464">
        <f>+'1.Informe Seguimiento POA 2022'!S67</f>
        <v>0.1232</v>
      </c>
      <c r="Y113" s="464">
        <f>+'1.Informe Seguimiento POA 2022'!O67+'1.Informe Seguimiento POA 2022'!Q67+'1.Informe Seguimiento POA 2022'!S67</f>
        <v>0.7208</v>
      </c>
      <c r="Z113" s="464">
        <f>+'1.Informe Seguimiento POA 2022'!T67</f>
        <v>0.12319999999999999</v>
      </c>
      <c r="AA113" s="464">
        <f>+'1.Informe Seguimiento POA 2022'!R67+'1.Informe Seguimiento POA 2022'!T67+'1.Informe Seguimiento POA 2022'!P67</f>
        <v>0.7208</v>
      </c>
      <c r="AB113" s="464">
        <f t="shared" si="198"/>
        <v>0.7208</v>
      </c>
      <c r="AC113" s="449">
        <f t="shared" si="173"/>
        <v>0.99999999999999989</v>
      </c>
      <c r="AD113" s="449">
        <f t="shared" si="174"/>
        <v>1</v>
      </c>
      <c r="AE113" s="435">
        <f t="shared" si="194"/>
        <v>0.7208</v>
      </c>
      <c r="AF113" s="436">
        <f t="shared" si="195"/>
        <v>1</v>
      </c>
      <c r="AG113" s="436">
        <f>+'1.Informe Seguimiento POA 2022'!U67</f>
        <v>0.2792</v>
      </c>
      <c r="AH113" s="436">
        <f>+'1.Informe Seguimiento POA 2022'!O67+'1.Informe Seguimiento POA 2022'!Q67+'1.Informe Seguimiento POA 2022'!S67+'1.Informe Seguimiento POA 2022'!U67</f>
        <v>1</v>
      </c>
      <c r="AI113" s="767">
        <f>+'1.Informe Seguimiento POA 2022'!V67</f>
        <v>0.2792</v>
      </c>
      <c r="AJ113" s="436">
        <f>+'1.Informe Seguimiento POA 2022'!P67+'1.Informe Seguimiento POA 2022'!R67+'1.Informe Seguimiento POA 2022'!T67+'1.Informe Seguimiento POA 2022'!V67</f>
        <v>1</v>
      </c>
      <c r="AK113" s="470">
        <f t="shared" si="196"/>
        <v>1</v>
      </c>
      <c r="AL113" s="449">
        <f t="shared" si="175"/>
        <v>1</v>
      </c>
      <c r="AM113" s="449">
        <f t="shared" si="176"/>
        <v>1</v>
      </c>
      <c r="AN113" s="435">
        <f t="shared" si="177"/>
        <v>1</v>
      </c>
      <c r="AO113" s="439" t="str">
        <f>+'Rango indicadores'!H63</f>
        <v>Mayor o igual A:</v>
      </c>
      <c r="AP113" s="434">
        <f>+'Rango indicadores'!I63</f>
        <v>90</v>
      </c>
      <c r="AQ113" s="434" t="str">
        <f>+'Rango indicadores'!J63</f>
        <v>Desde (&gt;):</v>
      </c>
      <c r="AR113" s="434">
        <f>+'Rango indicadores'!K63</f>
        <v>69</v>
      </c>
      <c r="AS113" s="434" t="str">
        <f>+'Rango indicadores'!L63</f>
        <v>Hasta (&lt;):</v>
      </c>
      <c r="AT113" s="434">
        <f>+'Rango indicadores'!M63</f>
        <v>90</v>
      </c>
      <c r="AU113" s="434" t="str">
        <f>+'Rango indicadores'!N63</f>
        <v>Menor o Igual A:</v>
      </c>
      <c r="AV113" s="878">
        <f>+'Rango indicadores'!O63</f>
        <v>69</v>
      </c>
      <c r="AW113" s="523" t="s">
        <v>1175</v>
      </c>
      <c r="AX113" s="526"/>
      <c r="AY113" s="766">
        <f t="shared" si="178"/>
        <v>0</v>
      </c>
      <c r="AZ113" s="526"/>
      <c r="BA113" s="452"/>
    </row>
    <row r="114" spans="2:53" ht="62.25" customHeight="1">
      <c r="B114" s="431">
        <f t="shared" si="180"/>
        <v>63</v>
      </c>
      <c r="C114" s="432" t="str">
        <f>+'Rango indicadores'!D64</f>
        <v>08-RI-08</v>
      </c>
      <c r="D114" s="432" t="str">
        <f>+'Rango indicadores'!E64</f>
        <v>Capacitaciones realizadas sobre los Sistemas de Gestión y Evaluación del Desempeño Laboral de la Personería de Bogotá, D.C.</v>
      </c>
      <c r="E114" s="446">
        <f>+'Rango indicadores'!Q64</f>
        <v>4</v>
      </c>
      <c r="F114" s="446">
        <f>'1.Informe Seguimiento POA 2022'!O68</f>
        <v>2</v>
      </c>
      <c r="G114" s="446">
        <f>'1.Informe Seguimiento POA 2022'!O68</f>
        <v>2</v>
      </c>
      <c r="H114" s="446">
        <f>'1.Informe Seguimiento POA 2022'!P68</f>
        <v>2</v>
      </c>
      <c r="I114" s="446">
        <f>'1.Informe Seguimiento POA 2022'!P68</f>
        <v>2</v>
      </c>
      <c r="J114" s="446">
        <f t="shared" si="168"/>
        <v>2</v>
      </c>
      <c r="K114" s="449">
        <f t="shared" si="181"/>
        <v>1</v>
      </c>
      <c r="L114" s="449">
        <f t="shared" si="182"/>
        <v>1</v>
      </c>
      <c r="M114" s="435">
        <f t="shared" si="190"/>
        <v>0.5</v>
      </c>
      <c r="N114" s="446">
        <f t="shared" si="183"/>
        <v>4</v>
      </c>
      <c r="O114" s="446">
        <f>+'1.Informe Seguimiento POA 2022'!Q68</f>
        <v>1</v>
      </c>
      <c r="P114" s="446">
        <f>+'1.Informe Seguimiento POA 2022'!O68+'1.Informe Seguimiento POA 2022'!Q68</f>
        <v>3</v>
      </c>
      <c r="Q114" s="446">
        <f>+'1.Informe Seguimiento POA 2022'!R68</f>
        <v>1</v>
      </c>
      <c r="R114" s="446">
        <f>+'1.Informe Seguimiento POA 2022'!P68+'1.Informe Seguimiento POA 2022'!R68</f>
        <v>3</v>
      </c>
      <c r="S114" s="446">
        <f t="shared" si="197"/>
        <v>3</v>
      </c>
      <c r="T114" s="449">
        <f t="shared" si="171"/>
        <v>1</v>
      </c>
      <c r="U114" s="449">
        <f t="shared" si="172"/>
        <v>1</v>
      </c>
      <c r="V114" s="435">
        <f t="shared" si="192"/>
        <v>0.75</v>
      </c>
      <c r="W114" s="446">
        <f>+N114</f>
        <v>4</v>
      </c>
      <c r="X114" s="446">
        <f>+'1.Informe Seguimiento POA 2022'!S68</f>
        <v>1</v>
      </c>
      <c r="Y114" s="446">
        <f>+'1.Informe Seguimiento POA 2022'!O68+'1.Informe Seguimiento POA 2022'!Q68+'1.Informe Seguimiento POA 2022'!S68</f>
        <v>4</v>
      </c>
      <c r="Z114" s="446">
        <f>+'1.Informe Seguimiento POA 2022'!T68</f>
        <v>1</v>
      </c>
      <c r="AA114" s="446">
        <f>+'1.Informe Seguimiento POA 2022'!R68+'1.Informe Seguimiento POA 2022'!T68+'1.Informe Seguimiento POA 2022'!P68</f>
        <v>4</v>
      </c>
      <c r="AB114" s="446">
        <f t="shared" si="198"/>
        <v>4</v>
      </c>
      <c r="AC114" s="449">
        <f t="shared" si="173"/>
        <v>1</v>
      </c>
      <c r="AD114" s="449">
        <f t="shared" si="174"/>
        <v>1</v>
      </c>
      <c r="AE114" s="435">
        <f t="shared" si="194"/>
        <v>1</v>
      </c>
      <c r="AF114" s="446">
        <f>+W114</f>
        <v>4</v>
      </c>
      <c r="AG114" s="446">
        <f>+'1.Informe Seguimiento POA 2022'!U68</f>
        <v>0</v>
      </c>
      <c r="AH114" s="446">
        <f>+'1.Informe Seguimiento POA 2022'!O68+'1.Informe Seguimiento POA 2022'!Q68+'1.Informe Seguimiento POA 2022'!S68+'1.Informe Seguimiento POA 2022'!U68</f>
        <v>4</v>
      </c>
      <c r="AI114" s="446">
        <f>+'1.Informe Seguimiento POA 2022'!V68</f>
        <v>0</v>
      </c>
      <c r="AJ114" s="446">
        <f>+'1.Informe Seguimiento POA 2022'!P68+'1.Informe Seguimiento POA 2022'!R68+'1.Informe Seguimiento POA 2022'!T68+'1.Informe Seguimiento POA 2022'!V68</f>
        <v>4</v>
      </c>
      <c r="AK114" s="446">
        <f t="shared" si="196"/>
        <v>4</v>
      </c>
      <c r="AL114" s="449" t="str">
        <f t="shared" si="175"/>
        <v>No programado</v>
      </c>
      <c r="AM114" s="449">
        <f t="shared" si="176"/>
        <v>1</v>
      </c>
      <c r="AN114" s="435">
        <f t="shared" si="177"/>
        <v>1</v>
      </c>
      <c r="AO114" s="439" t="str">
        <f>+'Rango indicadores'!H64</f>
        <v>Mayor A:</v>
      </c>
      <c r="AP114" s="434">
        <f>+'Rango indicadores'!I64</f>
        <v>100</v>
      </c>
      <c r="AQ114" s="434" t="str">
        <f>+'Rango indicadores'!J64</f>
        <v>Desde (&gt;=):</v>
      </c>
      <c r="AR114" s="434">
        <f>+'Rango indicadores'!K64</f>
        <v>90</v>
      </c>
      <c r="AS114" s="434" t="str">
        <f>+'Rango indicadores'!L64</f>
        <v>Hasta (&lt;=):</v>
      </c>
      <c r="AT114" s="434">
        <f>+'Rango indicadores'!M64</f>
        <v>100</v>
      </c>
      <c r="AU114" s="434" t="str">
        <f>+'Rango indicadores'!N64</f>
        <v>Menor A:</v>
      </c>
      <c r="AV114" s="434">
        <f>+'Rango indicadores'!O64</f>
        <v>90</v>
      </c>
      <c r="AW114" s="523" t="s">
        <v>1175</v>
      </c>
      <c r="AX114" s="525"/>
      <c r="AY114" s="766">
        <f t="shared" si="178"/>
        <v>0</v>
      </c>
      <c r="AZ114" s="525"/>
      <c r="BA114" s="452"/>
    </row>
    <row r="115" spans="2:53" ht="15.6">
      <c r="C115" s="1378" t="s">
        <v>866</v>
      </c>
      <c r="D115" s="1379"/>
      <c r="E115" s="1379"/>
      <c r="F115" s="1379"/>
      <c r="G115" s="1379"/>
      <c r="H115" s="1379"/>
      <c r="I115" s="1379"/>
      <c r="J115" s="1379"/>
      <c r="K115" s="437">
        <f>IFERROR(AVERAGE(K107:K114),0)</f>
        <v>0.9969414328231293</v>
      </c>
      <c r="L115" s="437">
        <f>IFERROR(AVERAGE(L107:L114),0)</f>
        <v>0.9969414328231293</v>
      </c>
      <c r="M115" s="437">
        <f>IFERROR(AVERAGE(M107:M114),0)</f>
        <v>0.30672285820578232</v>
      </c>
      <c r="N115" s="880"/>
      <c r="O115" s="880"/>
      <c r="P115" s="880"/>
      <c r="Q115" s="880"/>
      <c r="R115" s="880"/>
      <c r="S115" s="880"/>
      <c r="T115" s="437">
        <f>IFERROR(AVERAGE(T107:T114),0)</f>
        <v>0.97344727891156457</v>
      </c>
      <c r="U115" s="437">
        <f>IFERROR(AVERAGE(U107:U114),0)</f>
        <v>0.98786519593196731</v>
      </c>
      <c r="V115" s="437">
        <f>IFERROR(AVERAGE(V107:V114),0)</f>
        <v>0.50473979591836726</v>
      </c>
      <c r="W115" s="880"/>
      <c r="X115" s="880"/>
      <c r="Y115" s="880"/>
      <c r="Z115" s="880"/>
      <c r="AA115" s="880"/>
      <c r="AB115" s="880"/>
      <c r="AC115" s="437">
        <f>IFERROR(AVERAGE(AC107:AC114),0)</f>
        <v>0.9509605218093049</v>
      </c>
      <c r="AD115" s="437">
        <f>IFERROR(AVERAGE(AD107:AD114),0)</f>
        <v>0.97732403062867224</v>
      </c>
      <c r="AE115" s="437">
        <f>IFERROR(AVERAGE(AE107:AE114),0)</f>
        <v>0.70113914221938778</v>
      </c>
      <c r="AF115" s="880"/>
      <c r="AG115" s="880"/>
      <c r="AH115" s="880"/>
      <c r="AI115" s="880"/>
      <c r="AJ115" s="880"/>
      <c r="AK115" s="881"/>
      <c r="AL115" s="437">
        <f>IFERROR(AVERAGE(AL107:AL114),0)</f>
        <v>1.0325009781278003</v>
      </c>
      <c r="AM115" s="437">
        <f>IFERROR(AVERAGE(AM107:AM114),0)</f>
        <v>0.99252967155612237</v>
      </c>
      <c r="AN115" s="437">
        <f>IFERROR(AVERAGE(AN107:AN114),0)</f>
        <v>0.99233635204081627</v>
      </c>
      <c r="AO115" s="444"/>
      <c r="AP115" s="444"/>
      <c r="AQ115" s="444"/>
      <c r="AR115" s="444"/>
      <c r="AS115" s="444"/>
      <c r="AT115" s="444"/>
      <c r="AU115" s="444"/>
      <c r="AV115" s="444"/>
      <c r="AW115" s="530"/>
      <c r="AY115" s="589"/>
    </row>
    <row r="116" spans="2:53" s="427" customFormat="1" ht="24.6" customHeight="1" thickBot="1">
      <c r="D116" s="429"/>
      <c r="AW116" s="429"/>
      <c r="AY116" s="589"/>
      <c r="AZ116" s="413"/>
    </row>
    <row r="117" spans="2:53" s="427" customFormat="1" ht="16.2" thickBot="1">
      <c r="C117" s="430" t="s">
        <v>875</v>
      </c>
      <c r="D117" s="460"/>
      <c r="E117" s="1380" t="s">
        <v>1128</v>
      </c>
      <c r="F117" s="1381"/>
      <c r="G117" s="1381"/>
      <c r="H117" s="1381"/>
      <c r="I117" s="1381"/>
      <c r="J117" s="1381"/>
      <c r="K117" s="1381"/>
      <c r="L117" s="1381"/>
      <c r="M117" s="1382"/>
      <c r="N117" s="1383" t="s">
        <v>1129</v>
      </c>
      <c r="O117" s="1384"/>
      <c r="P117" s="1384"/>
      <c r="Q117" s="1384"/>
      <c r="R117" s="1384"/>
      <c r="S117" s="1384"/>
      <c r="T117" s="1384"/>
      <c r="U117" s="1384"/>
      <c r="V117" s="1385"/>
      <c r="W117" s="1386" t="s">
        <v>1130</v>
      </c>
      <c r="X117" s="1387"/>
      <c r="Y117" s="1387"/>
      <c r="Z117" s="1387"/>
      <c r="AA117" s="1387"/>
      <c r="AB117" s="1387"/>
      <c r="AC117" s="1387"/>
      <c r="AD117" s="1387"/>
      <c r="AE117" s="1388"/>
      <c r="AF117" s="1383" t="s">
        <v>1046</v>
      </c>
      <c r="AG117" s="1384"/>
      <c r="AH117" s="1384"/>
      <c r="AI117" s="1384"/>
      <c r="AJ117" s="1384"/>
      <c r="AK117" s="1384"/>
      <c r="AL117" s="1384"/>
      <c r="AM117" s="1384"/>
      <c r="AN117" s="1385"/>
      <c r="AW117" s="429"/>
      <c r="AY117" s="589"/>
      <c r="AZ117" s="413"/>
    </row>
    <row r="118" spans="2:53" ht="29.4" customHeight="1">
      <c r="C118" s="1393" t="str">
        <f>+$C$10</f>
        <v>Identificación del Indicador</v>
      </c>
      <c r="D118" s="1396" t="s">
        <v>861</v>
      </c>
      <c r="E118" s="1389" t="s">
        <v>862</v>
      </c>
      <c r="F118" s="1390"/>
      <c r="G118" s="1391"/>
      <c r="H118" s="1392" t="s">
        <v>1132</v>
      </c>
      <c r="I118" s="1394" t="s">
        <v>1136</v>
      </c>
      <c r="J118" s="1392" t="s">
        <v>863</v>
      </c>
      <c r="K118" s="1392" t="s">
        <v>857</v>
      </c>
      <c r="L118" s="1392"/>
      <c r="M118" s="1392"/>
      <c r="N118" s="1389" t="s">
        <v>862</v>
      </c>
      <c r="O118" s="1390"/>
      <c r="P118" s="1391"/>
      <c r="Q118" s="1392" t="s">
        <v>1141</v>
      </c>
      <c r="R118" s="1394" t="s">
        <v>1133</v>
      </c>
      <c r="S118" s="1392" t="s">
        <v>863</v>
      </c>
      <c r="T118" s="1392" t="s">
        <v>857</v>
      </c>
      <c r="U118" s="1392"/>
      <c r="V118" s="1392"/>
      <c r="W118" s="1389" t="s">
        <v>862</v>
      </c>
      <c r="X118" s="1390"/>
      <c r="Y118" s="1391"/>
      <c r="Z118" s="1392" t="s">
        <v>1142</v>
      </c>
      <c r="AA118" s="1394" t="s">
        <v>1138</v>
      </c>
      <c r="AB118" s="1392" t="s">
        <v>863</v>
      </c>
      <c r="AC118" s="1392" t="s">
        <v>857</v>
      </c>
      <c r="AD118" s="1392"/>
      <c r="AE118" s="1392"/>
      <c r="AF118" s="1389" t="s">
        <v>862</v>
      </c>
      <c r="AG118" s="1390"/>
      <c r="AH118" s="1391"/>
      <c r="AI118" s="1392" t="s">
        <v>1172</v>
      </c>
      <c r="AJ118" s="1394" t="s">
        <v>1173</v>
      </c>
      <c r="AK118" s="1392" t="s">
        <v>863</v>
      </c>
      <c r="AL118" s="1392" t="s">
        <v>857</v>
      </c>
      <c r="AM118" s="1392"/>
      <c r="AN118" s="1392"/>
      <c r="AO118" s="1398" t="s">
        <v>709</v>
      </c>
      <c r="AP118" s="1398"/>
      <c r="AQ118" s="1398"/>
      <c r="AR118" s="1398"/>
      <c r="AS118" s="1398"/>
      <c r="AT118" s="1398"/>
      <c r="AU118" s="1398"/>
      <c r="AV118" s="1398"/>
      <c r="AW118" s="1393" t="s">
        <v>882</v>
      </c>
      <c r="AY118" s="589"/>
    </row>
    <row r="119" spans="2:53" ht="54.6" customHeight="1">
      <c r="C119" s="1393"/>
      <c r="D119" s="1396"/>
      <c r="E119" s="1024" t="s">
        <v>1143</v>
      </c>
      <c r="F119" s="1024" t="str">
        <f>+E117</f>
        <v>Primer Trimestre</v>
      </c>
      <c r="G119" s="1025" t="s">
        <v>1135</v>
      </c>
      <c r="H119" s="1393"/>
      <c r="I119" s="1395"/>
      <c r="J119" s="1393"/>
      <c r="K119" s="1024" t="str">
        <f>+$D$6</f>
        <v>Cuarto Trimestre</v>
      </c>
      <c r="L119" s="1025" t="str">
        <f>+G119</f>
        <v>Acumulado
Corte 
31/03/2022</v>
      </c>
      <c r="M119" s="1026" t="s">
        <v>754</v>
      </c>
      <c r="N119" s="1024" t="s">
        <v>1143</v>
      </c>
      <c r="O119" s="1024" t="str">
        <f>+N117</f>
        <v>Segundo Trimestre</v>
      </c>
      <c r="P119" s="1025" t="s">
        <v>1134</v>
      </c>
      <c r="Q119" s="1393"/>
      <c r="R119" s="1395"/>
      <c r="S119" s="1393"/>
      <c r="T119" s="1024" t="str">
        <f>+O119</f>
        <v>Segundo Trimestre</v>
      </c>
      <c r="U119" s="1025" t="str">
        <f>+P119</f>
        <v>Acumulado Corte 
30/06/2022</v>
      </c>
      <c r="V119" s="1026" t="s">
        <v>754</v>
      </c>
      <c r="W119" s="1024" t="s">
        <v>1143</v>
      </c>
      <c r="X119" s="1024" t="str">
        <f>+W117</f>
        <v>Tercer Trimestre</v>
      </c>
      <c r="Y119" s="1025" t="s">
        <v>1137</v>
      </c>
      <c r="Z119" s="1393"/>
      <c r="AA119" s="1395"/>
      <c r="AB119" s="1393"/>
      <c r="AC119" s="1024" t="str">
        <f>+X119</f>
        <v>Tercer Trimestre</v>
      </c>
      <c r="AD119" s="1025" t="str">
        <f>+Y119</f>
        <v>Acumulado Corte 
30/09/2022</v>
      </c>
      <c r="AE119" s="1026" t="s">
        <v>754</v>
      </c>
      <c r="AF119" s="1024" t="s">
        <v>1143</v>
      </c>
      <c r="AG119" s="1024" t="s">
        <v>1171</v>
      </c>
      <c r="AH119" s="1025" t="s">
        <v>1139</v>
      </c>
      <c r="AI119" s="1393"/>
      <c r="AJ119" s="1395"/>
      <c r="AK119" s="1393"/>
      <c r="AL119" s="1024" t="str">
        <f>+AG119</f>
        <v>Cuarto Trimestre
31-12-2022</v>
      </c>
      <c r="AM119" s="1025" t="str">
        <f>+AH119</f>
        <v>Acumulado Corte 
31/12/2022</v>
      </c>
      <c r="AN119" s="1026" t="s">
        <v>754</v>
      </c>
      <c r="AO119" s="1097" t="s">
        <v>864</v>
      </c>
      <c r="AP119" s="1098"/>
      <c r="AQ119" s="1099" t="s">
        <v>865</v>
      </c>
      <c r="AR119" s="1100"/>
      <c r="AS119" s="1100"/>
      <c r="AT119" s="1101"/>
      <c r="AU119" s="1102" t="s">
        <v>717</v>
      </c>
      <c r="AV119" s="1103"/>
      <c r="AW119" s="1393"/>
      <c r="AY119" s="589"/>
    </row>
    <row r="120" spans="2:53" ht="36" customHeight="1">
      <c r="B120" s="431">
        <f>1+B114</f>
        <v>64</v>
      </c>
      <c r="C120" s="432" t="str">
        <f>+'Rango indicadores'!D65</f>
        <v>09-R1-01</v>
      </c>
      <c r="D120" s="432" t="str">
        <f>+'Rango indicadores'!E65</f>
        <v>Porcentaje de servicios atendidos</v>
      </c>
      <c r="E120" s="436">
        <f>+'Rango indicadores'!Q65</f>
        <v>1</v>
      </c>
      <c r="F120" s="464">
        <f>'1.Informe Seguimiento POA 2022'!O69</f>
        <v>1</v>
      </c>
      <c r="G120" s="464">
        <f>'1.Informe Seguimiento POA 2022'!O69</f>
        <v>1</v>
      </c>
      <c r="H120" s="790">
        <f>'1.Informe Seguimiento POA 2022'!P69</f>
        <v>1</v>
      </c>
      <c r="I120" s="790">
        <f>'1.Informe Seguimiento POA 2022'!P69</f>
        <v>1</v>
      </c>
      <c r="J120" s="790">
        <f t="shared" ref="J120:J121" si="199">I120</f>
        <v>1</v>
      </c>
      <c r="K120" s="449">
        <f t="shared" ref="K120" si="200">IF(AND(F120&gt;0),H120/F120,"No programado")</f>
        <v>1</v>
      </c>
      <c r="L120" s="449">
        <f t="shared" ref="L120" si="201">IF(AND(G120&gt;0),I120/G120,"No programado")</f>
        <v>1</v>
      </c>
      <c r="M120" s="435">
        <f>IF(AND(E120&gt;0,$J120&gt;0),J120/$E120,0)*0.25</f>
        <v>0.25</v>
      </c>
      <c r="N120" s="436">
        <f>E120</f>
        <v>1</v>
      </c>
      <c r="O120" s="790">
        <f>+'1.Informe Seguimiento POA 2022'!Q69</f>
        <v>1</v>
      </c>
      <c r="P120" s="879">
        <f>IFERROR(AVERAGE(F120,O120),0)</f>
        <v>1</v>
      </c>
      <c r="Q120" s="790">
        <f>'1.Informe Seguimiento POA 2022'!R69</f>
        <v>1</v>
      </c>
      <c r="R120" s="436">
        <f>IFERROR(AVERAGE('1.Informe Seguimiento POA 2022'!P69,'1.Informe Seguimiento POA 2022'!R69),0)</f>
        <v>1</v>
      </c>
      <c r="S120" s="436">
        <f>IFERROR(IF(OR($N120="",$N120=0),0,ROUNDDOWN(AVERAGE($H120,Q120),3)),0)</f>
        <v>1</v>
      </c>
      <c r="T120" s="449">
        <f t="shared" ref="T120:T121" si="202">IF(AND(O120&gt;0),Q120/O120,"No programado")</f>
        <v>1</v>
      </c>
      <c r="U120" s="449">
        <f t="shared" ref="U120:U121" si="203">IF(AND(P120&gt;0),R120/P120,"No programado")</f>
        <v>1</v>
      </c>
      <c r="V120" s="435">
        <f>IF(AND(N120&gt;0,$S120&gt;0),S120/$N120,0)*0.5</f>
        <v>0.5</v>
      </c>
      <c r="W120" s="436">
        <f>N120</f>
        <v>1</v>
      </c>
      <c r="X120" s="464">
        <f>+'1.Informe Seguimiento POA 2022'!S69</f>
        <v>1</v>
      </c>
      <c r="Y120" s="436">
        <f>IFERROR(AVERAGE('1.Informe Seguimiento POA 2022'!O69,'1.Informe Seguimiento POA 2022'!Q69,'1.Informe Seguimiento POA 2022'!S69),0)</f>
        <v>1</v>
      </c>
      <c r="Z120" s="436">
        <f>+'1.Informe Seguimiento POA 2022'!T69</f>
        <v>1</v>
      </c>
      <c r="AA120" s="436">
        <f>IFERROR(AVERAGE('1.Informe Seguimiento POA 2022'!R69,'1.Informe Seguimiento POA 2022'!P69,'1.Informe Seguimiento POA 2022'!T69),0)</f>
        <v>1</v>
      </c>
      <c r="AB120" s="436">
        <f>IFERROR(IF(OR($W120="",$W120=0),0,ROUNDDOWN(AVERAGE($H120,Q120,Z120),3)),0)</f>
        <v>1</v>
      </c>
      <c r="AC120" s="449">
        <f t="shared" ref="AC120:AC121" si="204">IF(AND(X120&gt;0),Z120/X120,"No programado")</f>
        <v>1</v>
      </c>
      <c r="AD120" s="449">
        <f t="shared" ref="AD120:AD121" si="205">IF(AND(Y120&gt;0),AA120/Y120,"No programado")</f>
        <v>1</v>
      </c>
      <c r="AE120" s="435">
        <f>IF(AND(W120&gt;0,$AB120&gt;0),AB120/$W120,0)*0.75</f>
        <v>0.75</v>
      </c>
      <c r="AF120" s="436">
        <f>W120</f>
        <v>1</v>
      </c>
      <c r="AG120" s="436">
        <f>+'1.Informe Seguimiento POA 2022'!U69</f>
        <v>1</v>
      </c>
      <c r="AH120" s="436">
        <f>IFERROR(AVERAGE('1.Informe Seguimiento POA 2022'!O69,'1.Informe Seguimiento POA 2022'!Q69,'1.Informe Seguimiento POA 2022'!S69,'1.Informe Seguimiento POA 2022'!U69),0)</f>
        <v>1</v>
      </c>
      <c r="AI120" s="436">
        <f>+'1.Informe Seguimiento POA 2022'!V69</f>
        <v>1</v>
      </c>
      <c r="AJ120" s="436">
        <f>IFERROR(AVERAGE('1.Informe Seguimiento POA 2022'!P69,'1.Informe Seguimiento POA 2022'!R69,'1.Informe Seguimiento POA 2022'!T69,'1.Informe Seguimiento POA 2022'!V69),0)</f>
        <v>1</v>
      </c>
      <c r="AK120" s="436">
        <f>IFERROR(IF(OR($W120="",$W120=0),0,ROUNDDOWN(AVERAGE($H120,Q120,Z120,AI120),3)),0)</f>
        <v>1</v>
      </c>
      <c r="AL120" s="449">
        <f t="shared" ref="AL120:AL121" si="206">IF(AND(AG120&gt;0),AI120/AG120,"No programado")</f>
        <v>1</v>
      </c>
      <c r="AM120" s="449">
        <f t="shared" ref="AM120:AM121" si="207">IF(AND(AH120&gt;0),AJ120/AH120,"No programado")</f>
        <v>1</v>
      </c>
      <c r="AN120" s="435">
        <f>IF(AND(AF120&gt;0,$AK120&gt;0),AK120/$AF120,0)</f>
        <v>1</v>
      </c>
      <c r="AO120" s="439" t="str">
        <f>+'Rango indicadores'!H68</f>
        <v>Mayor o igual A:</v>
      </c>
      <c r="AP120" s="434">
        <f>+'Rango indicadores'!I68</f>
        <v>95</v>
      </c>
      <c r="AQ120" s="434" t="str">
        <f>+'Rango indicadores'!J68</f>
        <v>Desde (&gt;):</v>
      </c>
      <c r="AR120" s="434">
        <f>+'Rango indicadores'!K68</f>
        <v>90</v>
      </c>
      <c r="AS120" s="434" t="str">
        <f>+'Rango indicadores'!L68</f>
        <v>Hasta (&lt;):</v>
      </c>
      <c r="AT120" s="434">
        <f>+'Rango indicadores'!M68</f>
        <v>95</v>
      </c>
      <c r="AU120" s="434" t="str">
        <f>+'Rango indicadores'!N68</f>
        <v>Menor o Igual A:</v>
      </c>
      <c r="AV120" s="434">
        <f>+'Rango indicadores'!O68</f>
        <v>90</v>
      </c>
      <c r="AW120" s="523" t="s">
        <v>1175</v>
      </c>
      <c r="AX120" s="525"/>
      <c r="AY120" s="766">
        <f t="shared" ref="AY120:AY121" si="208">+X120-Z120</f>
        <v>0</v>
      </c>
      <c r="AZ120" s="525"/>
      <c r="BA120" s="452"/>
    </row>
    <row r="121" spans="2:53" ht="36" customHeight="1">
      <c r="B121" s="431">
        <f>+B120+1</f>
        <v>65</v>
      </c>
      <c r="C121" s="432" t="str">
        <f>+'Rango indicadores'!D66</f>
        <v>09-R1-02</v>
      </c>
      <c r="D121" s="432" t="str">
        <f>+'Rango indicadores'!E66</f>
        <v>Porcentaje de actividades del PESV ejecutadas</v>
      </c>
      <c r="E121" s="436">
        <f>+'Rango indicadores'!Q66</f>
        <v>0.97</v>
      </c>
      <c r="F121" s="464">
        <f>'1.Informe Seguimiento POA 2022'!O70</f>
        <v>0.97000000000000008</v>
      </c>
      <c r="G121" s="464">
        <f>'1.Informe Seguimiento POA 2022'!O70</f>
        <v>0.97000000000000008</v>
      </c>
      <c r="H121" s="790">
        <f>'1.Informe Seguimiento POA 2022'!P70</f>
        <v>1.0923333333333334</v>
      </c>
      <c r="I121" s="790">
        <f>'1.Informe Seguimiento POA 2022'!P70</f>
        <v>1.0923333333333334</v>
      </c>
      <c r="J121" s="790">
        <f t="shared" si="199"/>
        <v>1.0923333333333334</v>
      </c>
      <c r="K121" s="449">
        <f t="shared" ref="K121" si="209">IF(AND(F121&gt;0),H121/F121,"No programado")</f>
        <v>1.1261168384879725</v>
      </c>
      <c r="L121" s="449">
        <f t="shared" ref="L121" si="210">IF(AND(G121&gt;0),I121/G121,"No programado")</f>
        <v>1.1261168384879725</v>
      </c>
      <c r="M121" s="435">
        <f>IF(AND(E121&gt;0,$J121&gt;0),J121/$E121,0)*0.25</f>
        <v>0.28152920962199313</v>
      </c>
      <c r="N121" s="436">
        <f>E121</f>
        <v>0.97</v>
      </c>
      <c r="O121" s="790">
        <f>+'1.Informe Seguimiento POA 2022'!Q70</f>
        <v>0.97000000000000008</v>
      </c>
      <c r="P121" s="879">
        <f>IFERROR(AVERAGE(F121,O121),0)</f>
        <v>0.97000000000000008</v>
      </c>
      <c r="Q121" s="790">
        <f>'1.Informe Seguimiento POA 2022'!R70</f>
        <v>1.0946666666666667</v>
      </c>
      <c r="R121" s="436">
        <f>IFERROR(AVERAGE('1.Informe Seguimiento POA 2022'!P70,'1.Informe Seguimiento POA 2022'!R70),0)</f>
        <v>1.0935000000000001</v>
      </c>
      <c r="S121" s="436">
        <f>IFERROR(IF(OR($N121="",$N121=0),0,ROUNDDOWN(AVERAGE($H121,Q121),3)),0)</f>
        <v>1.093</v>
      </c>
      <c r="T121" s="449">
        <f t="shared" si="202"/>
        <v>1.1285223367697594</v>
      </c>
      <c r="U121" s="449">
        <f t="shared" si="203"/>
        <v>1.127319587628866</v>
      </c>
      <c r="V121" s="435">
        <f>IF(AND(N121&gt;0,$S121&gt;0),S121/$N121,0)*0.5</f>
        <v>0.5634020618556701</v>
      </c>
      <c r="W121" s="436">
        <f>N121</f>
        <v>0.97</v>
      </c>
      <c r="X121" s="464">
        <f>+'1.Informe Seguimiento POA 2022'!S70</f>
        <v>0.97000000000000008</v>
      </c>
      <c r="Y121" s="436">
        <f>IFERROR(AVERAGE('1.Informe Seguimiento POA 2022'!O70,'1.Informe Seguimiento POA 2022'!Q70,'1.Informe Seguimiento POA 2022'!S70),0)</f>
        <v>0.97000000000000008</v>
      </c>
      <c r="Z121" s="436">
        <f>+'1.Informe Seguimiento POA 2022'!T70</f>
        <v>1.272</v>
      </c>
      <c r="AA121" s="436">
        <f>IFERROR(AVERAGE('1.Informe Seguimiento POA 2022'!R70,'1.Informe Seguimiento POA 2022'!P70,'1.Informe Seguimiento POA 2022'!T70),0)</f>
        <v>1.1530000000000002</v>
      </c>
      <c r="AB121" s="436">
        <f>IFERROR(IF(OR($W121="",$W121=0),0,ROUNDDOWN(AVERAGE($H121,Q121,Z121),3)),0)</f>
        <v>1.153</v>
      </c>
      <c r="AC121" s="449">
        <f t="shared" si="204"/>
        <v>1.311340206185567</v>
      </c>
      <c r="AD121" s="449">
        <f t="shared" si="205"/>
        <v>1.1886597938144332</v>
      </c>
      <c r="AE121" s="435">
        <f>IF(AND(W121&gt;0,$AB121&gt;0),AB121/$W121,0)*0.75</f>
        <v>0.89149484536082468</v>
      </c>
      <c r="AF121" s="436">
        <f>W121</f>
        <v>0.97</v>
      </c>
      <c r="AG121" s="436">
        <f>+'1.Informe Seguimiento POA 2022'!U70</f>
        <v>0.97000000000000008</v>
      </c>
      <c r="AH121" s="436">
        <f>IFERROR(AVERAGE('1.Informe Seguimiento POA 2022'!O70,'1.Informe Seguimiento POA 2022'!Q70,'1.Informe Seguimiento POA 2022'!S70,'1.Informe Seguimiento POA 2022'!U70),0)</f>
        <v>0.97000000000000008</v>
      </c>
      <c r="AI121" s="436">
        <f>+'1.Informe Seguimiento POA 2022'!V70</f>
        <v>1.0666666666666667</v>
      </c>
      <c r="AJ121" s="436">
        <f>IFERROR(AVERAGE('1.Informe Seguimiento POA 2022'!P70,'1.Informe Seguimiento POA 2022'!R70,'1.Informe Seguimiento POA 2022'!T70,'1.Informe Seguimiento POA 2022'!V70),0)</f>
        <v>1.1314166666666667</v>
      </c>
      <c r="AK121" s="436">
        <f>IFERROR(IF(OR($W121="",$W121=0),0,ROUNDDOWN(AVERAGE($H121,Q121,Z121,AI121),3)),0)</f>
        <v>1.131</v>
      </c>
      <c r="AL121" s="449">
        <f t="shared" si="206"/>
        <v>1.099656357388316</v>
      </c>
      <c r="AM121" s="449">
        <f t="shared" si="207"/>
        <v>1.1664089347079039</v>
      </c>
      <c r="AN121" s="435">
        <f>IF(AND(AF121&gt;0,$AK121&gt;0),AK121/$AF121,0)</f>
        <v>1.165979381443299</v>
      </c>
      <c r="AO121" s="439" t="str">
        <f>+'Rango indicadores'!H69</f>
        <v>Mayor o igual A:</v>
      </c>
      <c r="AP121" s="434">
        <f>+'Rango indicadores'!I69</f>
        <v>100</v>
      </c>
      <c r="AQ121" s="434" t="str">
        <f>+'Rango indicadores'!J69</f>
        <v>Desde (&gt;):</v>
      </c>
      <c r="AR121" s="434">
        <f>+'Rango indicadores'!K69</f>
        <v>95</v>
      </c>
      <c r="AS121" s="434" t="str">
        <f>+'Rango indicadores'!L69</f>
        <v>Hasta (&lt;):</v>
      </c>
      <c r="AT121" s="434">
        <f>+'Rango indicadores'!M69</f>
        <v>100</v>
      </c>
      <c r="AU121" s="434" t="str">
        <f>+'Rango indicadores'!N69</f>
        <v>Menor o Igual A:</v>
      </c>
      <c r="AV121" s="434">
        <f>+'Rango indicadores'!O69</f>
        <v>95</v>
      </c>
      <c r="AW121" s="523" t="s">
        <v>1176</v>
      </c>
      <c r="AX121" s="525"/>
      <c r="AY121" s="766">
        <f t="shared" si="208"/>
        <v>-0.30199999999999994</v>
      </c>
      <c r="AZ121" s="525"/>
      <c r="BA121" s="452"/>
    </row>
    <row r="122" spans="2:53" ht="15.6">
      <c r="C122" s="1378" t="s">
        <v>866</v>
      </c>
      <c r="D122" s="1379"/>
      <c r="E122" s="1379"/>
      <c r="F122" s="1379"/>
      <c r="G122" s="1379"/>
      <c r="H122" s="1379"/>
      <c r="I122" s="1379"/>
      <c r="J122" s="1379"/>
      <c r="K122" s="437">
        <f>AVERAGE(K120:K121)</f>
        <v>1.0630584192439863</v>
      </c>
      <c r="L122" s="437">
        <f>AVERAGE(L120:L121)</f>
        <v>1.0630584192439863</v>
      </c>
      <c r="M122" s="437">
        <f>AVERAGE(M120:M121)</f>
        <v>0.26576460481099656</v>
      </c>
      <c r="N122" s="880"/>
      <c r="O122" s="880"/>
      <c r="P122" s="880"/>
      <c r="Q122" s="880"/>
      <c r="R122" s="880"/>
      <c r="S122" s="880"/>
      <c r="T122" s="437">
        <f>AVERAGE(T120:T121)</f>
        <v>1.0642611683848797</v>
      </c>
      <c r="U122" s="437">
        <f>AVERAGE(U120:U121)</f>
        <v>1.063659793814433</v>
      </c>
      <c r="V122" s="437">
        <f>AVERAGE(V120:V121)</f>
        <v>0.53170103092783505</v>
      </c>
      <c r="W122" s="880"/>
      <c r="X122" s="880"/>
      <c r="Y122" s="880"/>
      <c r="Z122" s="880"/>
      <c r="AA122" s="880"/>
      <c r="AB122" s="880"/>
      <c r="AC122" s="437">
        <f>AVERAGE(AC120:AC121)</f>
        <v>1.1556701030927834</v>
      </c>
      <c r="AD122" s="437">
        <f>AVERAGE(AD120:AD121)</f>
        <v>1.0943298969072166</v>
      </c>
      <c r="AE122" s="437">
        <f>AVERAGE(AE120:AE121)</f>
        <v>0.82074742268041234</v>
      </c>
      <c r="AF122" s="880"/>
      <c r="AG122" s="880"/>
      <c r="AH122" s="880"/>
      <c r="AI122" s="880"/>
      <c r="AJ122" s="880"/>
      <c r="AK122" s="881"/>
      <c r="AL122" s="437">
        <f>AVERAGE(AL120:AL121)</f>
        <v>1.0498281786941579</v>
      </c>
      <c r="AM122" s="437">
        <f>AVERAGE(AM120:AM121)</f>
        <v>1.0832044673539518</v>
      </c>
      <c r="AN122" s="437">
        <f>AVERAGE(AN120:AN121)</f>
        <v>1.0829896907216496</v>
      </c>
      <c r="AO122" s="444"/>
      <c r="AP122" s="444"/>
      <c r="AQ122" s="444"/>
      <c r="AR122" s="444"/>
      <c r="AS122" s="444"/>
      <c r="AT122" s="444"/>
      <c r="AU122" s="444"/>
      <c r="AV122" s="444"/>
      <c r="AW122" s="529"/>
      <c r="AY122" s="589"/>
    </row>
    <row r="123" spans="2:53" s="427" customFormat="1" ht="27.6" customHeight="1" thickBot="1">
      <c r="D123" s="429"/>
      <c r="AW123" s="429"/>
      <c r="AY123" s="589"/>
      <c r="AZ123" s="413"/>
    </row>
    <row r="124" spans="2:53" s="427" customFormat="1" ht="16.2" thickBot="1">
      <c r="C124" s="430" t="s">
        <v>876</v>
      </c>
      <c r="D124" s="460"/>
      <c r="E124" s="1380" t="s">
        <v>1128</v>
      </c>
      <c r="F124" s="1381"/>
      <c r="G124" s="1381"/>
      <c r="H124" s="1381"/>
      <c r="I124" s="1381"/>
      <c r="J124" s="1381"/>
      <c r="K124" s="1381"/>
      <c r="L124" s="1381"/>
      <c r="M124" s="1382"/>
      <c r="N124" s="1383" t="s">
        <v>1129</v>
      </c>
      <c r="O124" s="1384"/>
      <c r="P124" s="1384"/>
      <c r="Q124" s="1384"/>
      <c r="R124" s="1384"/>
      <c r="S124" s="1384"/>
      <c r="T124" s="1384"/>
      <c r="U124" s="1384"/>
      <c r="V124" s="1385"/>
      <c r="W124" s="1386" t="s">
        <v>1130</v>
      </c>
      <c r="X124" s="1387"/>
      <c r="Y124" s="1387"/>
      <c r="Z124" s="1387"/>
      <c r="AA124" s="1387"/>
      <c r="AB124" s="1387"/>
      <c r="AC124" s="1387"/>
      <c r="AD124" s="1387"/>
      <c r="AE124" s="1388"/>
      <c r="AF124" s="1383" t="s">
        <v>1046</v>
      </c>
      <c r="AG124" s="1384"/>
      <c r="AH124" s="1384"/>
      <c r="AI124" s="1384"/>
      <c r="AJ124" s="1384"/>
      <c r="AK124" s="1384"/>
      <c r="AL124" s="1384"/>
      <c r="AM124" s="1384"/>
      <c r="AN124" s="1385"/>
      <c r="AW124" s="429"/>
      <c r="AY124" s="589"/>
      <c r="AZ124" s="413"/>
    </row>
    <row r="125" spans="2:53" ht="35.25" customHeight="1">
      <c r="C125" s="1393" t="str">
        <f>+$C$10</f>
        <v>Identificación del Indicador</v>
      </c>
      <c r="D125" s="1396" t="s">
        <v>861</v>
      </c>
      <c r="E125" s="1389" t="s">
        <v>862</v>
      </c>
      <c r="F125" s="1390"/>
      <c r="G125" s="1391"/>
      <c r="H125" s="1392" t="s">
        <v>1132</v>
      </c>
      <c r="I125" s="1394" t="s">
        <v>1136</v>
      </c>
      <c r="J125" s="1392" t="s">
        <v>863</v>
      </c>
      <c r="K125" s="1392" t="s">
        <v>857</v>
      </c>
      <c r="L125" s="1392"/>
      <c r="M125" s="1392"/>
      <c r="N125" s="1389" t="s">
        <v>862</v>
      </c>
      <c r="O125" s="1390"/>
      <c r="P125" s="1391"/>
      <c r="Q125" s="1392" t="s">
        <v>1141</v>
      </c>
      <c r="R125" s="1394" t="s">
        <v>1133</v>
      </c>
      <c r="S125" s="1392" t="s">
        <v>863</v>
      </c>
      <c r="T125" s="1392" t="s">
        <v>857</v>
      </c>
      <c r="U125" s="1392"/>
      <c r="V125" s="1392"/>
      <c r="W125" s="1389" t="s">
        <v>862</v>
      </c>
      <c r="X125" s="1390"/>
      <c r="Y125" s="1391"/>
      <c r="Z125" s="1392" t="s">
        <v>1142</v>
      </c>
      <c r="AA125" s="1394" t="s">
        <v>1138</v>
      </c>
      <c r="AB125" s="1392" t="s">
        <v>863</v>
      </c>
      <c r="AC125" s="1392" t="s">
        <v>857</v>
      </c>
      <c r="AD125" s="1392"/>
      <c r="AE125" s="1392"/>
      <c r="AF125" s="1389" t="s">
        <v>862</v>
      </c>
      <c r="AG125" s="1390"/>
      <c r="AH125" s="1391"/>
      <c r="AI125" s="1392" t="s">
        <v>1172</v>
      </c>
      <c r="AJ125" s="1394" t="s">
        <v>1173</v>
      </c>
      <c r="AK125" s="1392" t="s">
        <v>863</v>
      </c>
      <c r="AL125" s="1392" t="s">
        <v>857</v>
      </c>
      <c r="AM125" s="1392"/>
      <c r="AN125" s="1392"/>
      <c r="AO125" s="1398" t="s">
        <v>709</v>
      </c>
      <c r="AP125" s="1398"/>
      <c r="AQ125" s="1398"/>
      <c r="AR125" s="1398"/>
      <c r="AS125" s="1398"/>
      <c r="AT125" s="1398"/>
      <c r="AU125" s="1398"/>
      <c r="AV125" s="1398"/>
      <c r="AW125" s="1393" t="s">
        <v>882</v>
      </c>
      <c r="AY125" s="589"/>
    </row>
    <row r="126" spans="2:53" ht="61.5" customHeight="1">
      <c r="C126" s="1393"/>
      <c r="D126" s="1396"/>
      <c r="E126" s="1024" t="s">
        <v>1143</v>
      </c>
      <c r="F126" s="1024" t="str">
        <f>+E124</f>
        <v>Primer Trimestre</v>
      </c>
      <c r="G126" s="1025" t="s">
        <v>1135</v>
      </c>
      <c r="H126" s="1393"/>
      <c r="I126" s="1395"/>
      <c r="J126" s="1393"/>
      <c r="K126" s="1024" t="str">
        <f>+$D$6</f>
        <v>Cuarto Trimestre</v>
      </c>
      <c r="L126" s="1025" t="str">
        <f>+G126</f>
        <v>Acumulado
Corte 
31/03/2022</v>
      </c>
      <c r="M126" s="1026" t="s">
        <v>754</v>
      </c>
      <c r="N126" s="1024" t="s">
        <v>1143</v>
      </c>
      <c r="O126" s="1024" t="str">
        <f>+N124</f>
        <v>Segundo Trimestre</v>
      </c>
      <c r="P126" s="1025" t="s">
        <v>1134</v>
      </c>
      <c r="Q126" s="1393"/>
      <c r="R126" s="1395"/>
      <c r="S126" s="1393"/>
      <c r="T126" s="1024" t="str">
        <f>+O126</f>
        <v>Segundo Trimestre</v>
      </c>
      <c r="U126" s="1025" t="str">
        <f>+P126</f>
        <v>Acumulado Corte 
30/06/2022</v>
      </c>
      <c r="V126" s="1026" t="s">
        <v>754</v>
      </c>
      <c r="W126" s="1024" t="s">
        <v>1143</v>
      </c>
      <c r="X126" s="1024" t="str">
        <f>+W124</f>
        <v>Tercer Trimestre</v>
      </c>
      <c r="Y126" s="1025" t="s">
        <v>1137</v>
      </c>
      <c r="Z126" s="1393"/>
      <c r="AA126" s="1395"/>
      <c r="AB126" s="1393"/>
      <c r="AC126" s="1024" t="str">
        <f>+X126</f>
        <v>Tercer Trimestre</v>
      </c>
      <c r="AD126" s="1025" t="str">
        <f>+Y126</f>
        <v>Acumulado Corte 
30/09/2022</v>
      </c>
      <c r="AE126" s="1026" t="s">
        <v>754</v>
      </c>
      <c r="AF126" s="1024" t="s">
        <v>1143</v>
      </c>
      <c r="AG126" s="1024" t="s">
        <v>1171</v>
      </c>
      <c r="AH126" s="1025" t="s">
        <v>1139</v>
      </c>
      <c r="AI126" s="1393"/>
      <c r="AJ126" s="1395"/>
      <c r="AK126" s="1393"/>
      <c r="AL126" s="1024" t="str">
        <f>+AG126</f>
        <v>Cuarto Trimestre
31-12-2022</v>
      </c>
      <c r="AM126" s="1025" t="str">
        <f>+AH126</f>
        <v>Acumulado Corte 
31/12/2022</v>
      </c>
      <c r="AN126" s="1026" t="s">
        <v>754</v>
      </c>
      <c r="AO126" s="1097" t="s">
        <v>864</v>
      </c>
      <c r="AP126" s="1098"/>
      <c r="AQ126" s="1099" t="s">
        <v>865</v>
      </c>
      <c r="AR126" s="1100"/>
      <c r="AS126" s="1100"/>
      <c r="AT126" s="1101"/>
      <c r="AU126" s="1102" t="s">
        <v>717</v>
      </c>
      <c r="AV126" s="1103"/>
      <c r="AW126" s="1393"/>
      <c r="AY126" s="589"/>
    </row>
    <row r="127" spans="2:53" ht="51" customHeight="1">
      <c r="B127" s="431">
        <f>+B121+1</f>
        <v>66</v>
      </c>
      <c r="C127" s="432" t="str">
        <f>+'Rango indicadores'!D67</f>
        <v>10-R1-01</v>
      </c>
      <c r="D127" s="432" t="str">
        <f>+'Rango indicadores'!E67</f>
        <v>Porcentaje del presupuesto aprobado y ejecutado.</v>
      </c>
      <c r="E127" s="436">
        <f>+'Rango indicadores'!Q67</f>
        <v>0.95</v>
      </c>
      <c r="F127" s="464">
        <f>'1.Informe Seguimiento POA 2022'!O71</f>
        <v>0.22000000000000003</v>
      </c>
      <c r="G127" s="464">
        <f>'1.Informe Seguimiento POA 2022'!O71</f>
        <v>0.22000000000000003</v>
      </c>
      <c r="H127" s="524">
        <f>'1.Informe Seguimiento POA 2022'!P71</f>
        <v>0.27100000000000002</v>
      </c>
      <c r="I127" s="790">
        <f>'1.Informe Seguimiento POA 2022'!P71</f>
        <v>0.27100000000000002</v>
      </c>
      <c r="J127" s="790">
        <f t="shared" ref="J127:J129" si="211">I127</f>
        <v>0.27100000000000002</v>
      </c>
      <c r="K127" s="449">
        <f t="shared" ref="K127:K129" si="212">IF(AND(F127&gt;0),H127/F127,"No programado")</f>
        <v>1.2318181818181817</v>
      </c>
      <c r="L127" s="449">
        <f t="shared" ref="L127:L129" si="213">IF(AND(G127&gt;0),I127/G127,"No programado")</f>
        <v>1.2318181818181817</v>
      </c>
      <c r="M127" s="435">
        <f t="shared" ref="M127:M129" si="214">IF(AND(E127&gt;0,$J127&gt;0),J127/$E127,0)</f>
        <v>0.28526315789473689</v>
      </c>
      <c r="N127" s="436">
        <f t="shared" ref="N127" si="215">+E127</f>
        <v>0.95</v>
      </c>
      <c r="O127" s="464">
        <f>+'1.Informe Seguimiento POA 2022'!Q71</f>
        <v>0.25</v>
      </c>
      <c r="P127" s="464">
        <f>+'1.Informe Seguimiento POA 2022'!O71+'1.Informe Seguimiento POA 2022'!Q71</f>
        <v>0.47000000000000003</v>
      </c>
      <c r="Q127" s="464">
        <f>+'1.Informe Seguimiento POA 2022'!R71</f>
        <v>0.23899999999999999</v>
      </c>
      <c r="R127" s="464">
        <f>+'1.Informe Seguimiento POA 2022'!P71+'1.Informe Seguimiento POA 2022'!R71</f>
        <v>0.51</v>
      </c>
      <c r="S127" s="464">
        <f t="shared" ref="S127" si="216">H127+Q127</f>
        <v>0.51</v>
      </c>
      <c r="T127" s="449">
        <f t="shared" ref="T127:T129" si="217">IF(AND(O127&gt;0),Q127/O127,"No programado")</f>
        <v>0.95599999999999996</v>
      </c>
      <c r="U127" s="449">
        <f t="shared" ref="U127:U129" si="218">IF(AND(P127&gt;0),R127/P127,"No programado")</f>
        <v>1.0851063829787233</v>
      </c>
      <c r="V127" s="435">
        <f>IF(AND(N127&gt;0,$S127&gt;0),S127/$N127,0)</f>
        <v>0.5368421052631579</v>
      </c>
      <c r="W127" s="436">
        <f t="shared" ref="W127" si="219">+N127</f>
        <v>0.95</v>
      </c>
      <c r="X127" s="464">
        <f>+'1.Informe Seguimiento POA 2022'!S71</f>
        <v>0.25</v>
      </c>
      <c r="Y127" s="464">
        <f>+'1.Informe Seguimiento POA 2022'!O71+'1.Informe Seguimiento POA 2022'!Q71+'1.Informe Seguimiento POA 2022'!S71</f>
        <v>0.72</v>
      </c>
      <c r="Z127" s="464">
        <f>+'1.Informe Seguimiento POA 2022'!T71</f>
        <v>0.21600000000000003</v>
      </c>
      <c r="AA127" s="464">
        <f>+'1.Informe Seguimiento POA 2022'!R71+'1.Informe Seguimiento POA 2022'!T71+'1.Informe Seguimiento POA 2022'!P71</f>
        <v>0.72599999999999998</v>
      </c>
      <c r="AB127" s="464">
        <f t="shared" ref="AB127" si="220">H127+Q127+Z127</f>
        <v>0.72599999999999998</v>
      </c>
      <c r="AC127" s="449">
        <f t="shared" ref="AC127:AC129" si="221">IF(AND(X127&gt;0),Z127/X127,"No programado")</f>
        <v>0.8640000000000001</v>
      </c>
      <c r="AD127" s="435">
        <f t="shared" ref="AD127:AD129" si="222">IF(AND(Y127&gt;0),AA127/Y127,"No programado")</f>
        <v>1.0083333333333333</v>
      </c>
      <c r="AE127" s="435">
        <f>IF(AND(W127&gt;0,$AB127&gt;0),AB127/$W127,0)</f>
        <v>0.76421052631578945</v>
      </c>
      <c r="AF127" s="436">
        <f>W127</f>
        <v>0.95</v>
      </c>
      <c r="AG127" s="436">
        <f>+'1.Informe Seguimiento POA 2022'!U71</f>
        <v>0.23</v>
      </c>
      <c r="AH127" s="436">
        <f>+'1.Informe Seguimiento POA 2022'!O71+'1.Informe Seguimiento POA 2022'!Q71+'1.Informe Seguimiento POA 2022'!S71+'1.Informe Seguimiento POA 2022'!U71</f>
        <v>0.95</v>
      </c>
      <c r="AI127" s="436">
        <f>+'1.Informe Seguimiento POA 2022'!V71</f>
        <v>0.28700000000000003</v>
      </c>
      <c r="AJ127" s="436">
        <f>+'1.Informe Seguimiento POA 2022'!P71+'1.Informe Seguimiento POA 2022'!R71+'1.Informe Seguimiento POA 2022'!T71+'1.Informe Seguimiento POA 2022'!V71</f>
        <v>1.0129999999999999</v>
      </c>
      <c r="AK127" s="524">
        <f t="shared" ref="AK127:AK129" si="223">H127+Q127+Z127+AI127</f>
        <v>1.0129999999999999</v>
      </c>
      <c r="AL127" s="449">
        <f t="shared" ref="AL127:AL129" si="224">IF(AND(AG127&gt;0),AI127/AG127,"No programado")</f>
        <v>1.2478260869565219</v>
      </c>
      <c r="AM127" s="449">
        <f t="shared" ref="AM127:AM129" si="225">IF(AND(AH127&gt;0),AJ127/AH127,"No programado")</f>
        <v>1.0663157894736841</v>
      </c>
      <c r="AN127" s="435">
        <f>IF(AND(AF127&gt;0,$AK127&gt;0),AK127/$AF127,0)</f>
        <v>1.0663157894736841</v>
      </c>
      <c r="AO127" s="439" t="str">
        <f>+'Rango indicadores'!H67</f>
        <v>Mayor o igual A:</v>
      </c>
      <c r="AP127" s="434">
        <f>+'Rango indicadores'!I67</f>
        <v>95</v>
      </c>
      <c r="AQ127" s="434" t="str">
        <f>+'Rango indicadores'!J67</f>
        <v>Desde (&gt;):</v>
      </c>
      <c r="AR127" s="434">
        <f>+'Rango indicadores'!K67</f>
        <v>90</v>
      </c>
      <c r="AS127" s="434" t="str">
        <f>+'Rango indicadores'!L67</f>
        <v>Hasta (&lt;):</v>
      </c>
      <c r="AT127" s="434">
        <f>+'Rango indicadores'!M67</f>
        <v>95</v>
      </c>
      <c r="AU127" s="434" t="str">
        <f>+'Rango indicadores'!N67</f>
        <v>Menor o Igual A:</v>
      </c>
      <c r="AV127" s="434">
        <f>+'Rango indicadores'!O67</f>
        <v>90</v>
      </c>
      <c r="AW127" s="523" t="s">
        <v>1176</v>
      </c>
      <c r="AX127" s="525"/>
      <c r="AY127" s="766">
        <f t="shared" ref="AY127:AY129" si="226">+X127-Z127</f>
        <v>3.3999999999999975E-2</v>
      </c>
      <c r="AZ127" s="525"/>
      <c r="BA127" s="451"/>
    </row>
    <row r="128" spans="2:53" ht="51" customHeight="1">
      <c r="B128" s="431">
        <f>+B127+1</f>
        <v>67</v>
      </c>
      <c r="C128" s="432" t="str">
        <f>+'Rango indicadores'!D68</f>
        <v>10-R1-02</v>
      </c>
      <c r="D128" s="432" t="str">
        <f>+'Rango indicadores'!E68</f>
        <v>Porcentaje de los compromisos de pago programados y ejecutados.</v>
      </c>
      <c r="E128" s="436">
        <f>+'Rango indicadores'!Q68</f>
        <v>0.95</v>
      </c>
      <c r="F128" s="464">
        <f>'1.Informe Seguimiento POA 2022'!O72</f>
        <v>0.14000000000000001</v>
      </c>
      <c r="G128" s="464">
        <f>'1.Informe Seguimiento POA 2022'!O72</f>
        <v>0.14000000000000001</v>
      </c>
      <c r="H128" s="790">
        <f>'1.Informe Seguimiento POA 2022'!P72</f>
        <v>0.13159999999999999</v>
      </c>
      <c r="I128" s="790">
        <f>'1.Informe Seguimiento POA 2022'!P72</f>
        <v>0.13159999999999999</v>
      </c>
      <c r="J128" s="790">
        <f t="shared" si="211"/>
        <v>0.13159999999999999</v>
      </c>
      <c r="K128" s="449">
        <f t="shared" si="212"/>
        <v>0.93999999999999984</v>
      </c>
      <c r="L128" s="449">
        <f t="shared" si="213"/>
        <v>0.93999999999999984</v>
      </c>
      <c r="M128" s="435">
        <f t="shared" si="214"/>
        <v>0.13852631578947369</v>
      </c>
      <c r="N128" s="436">
        <f t="shared" ref="N128:N129" si="227">+E128</f>
        <v>0.95</v>
      </c>
      <c r="O128" s="464">
        <f>+'1.Informe Seguimiento POA 2022'!Q72</f>
        <v>0.25</v>
      </c>
      <c r="P128" s="464">
        <f>+'1.Informe Seguimiento POA 2022'!O72+'1.Informe Seguimiento POA 2022'!Q72</f>
        <v>0.39</v>
      </c>
      <c r="Q128" s="790">
        <f>+'1.Informe Seguimiento POA 2022'!R72</f>
        <v>0.27860000000000001</v>
      </c>
      <c r="R128" s="790">
        <f>+'1.Informe Seguimiento POA 2022'!P72+'1.Informe Seguimiento POA 2022'!R72</f>
        <v>0.41020000000000001</v>
      </c>
      <c r="S128" s="790">
        <f t="shared" ref="S128:S129" si="228">H128+Q128</f>
        <v>0.41020000000000001</v>
      </c>
      <c r="T128" s="449">
        <f t="shared" si="217"/>
        <v>1.1144000000000001</v>
      </c>
      <c r="U128" s="449">
        <f t="shared" si="218"/>
        <v>1.0517948717948717</v>
      </c>
      <c r="V128" s="435">
        <f>IF(AND(N128&gt;0,$S128&gt;0),S128/$N128,0)</f>
        <v>0.43178947368421056</v>
      </c>
      <c r="W128" s="436">
        <f t="shared" ref="W128:W129" si="229">+N128</f>
        <v>0.95</v>
      </c>
      <c r="X128" s="464">
        <f>+'1.Informe Seguimiento POA 2022'!S72</f>
        <v>0.23000000000000004</v>
      </c>
      <c r="Y128" s="464">
        <f>+'1.Informe Seguimiento POA 2022'!O72+'1.Informe Seguimiento POA 2022'!Q72+'1.Informe Seguimiento POA 2022'!S72</f>
        <v>0.62000000000000011</v>
      </c>
      <c r="Z128" s="464">
        <f>+'1.Informe Seguimiento POA 2022'!T72</f>
        <v>0.23043</v>
      </c>
      <c r="AA128" s="464">
        <f>+'1.Informe Seguimiento POA 2022'!R72+'1.Informe Seguimiento POA 2022'!T72+'1.Informe Seguimiento POA 2022'!P72</f>
        <v>0.64063000000000003</v>
      </c>
      <c r="AB128" s="464">
        <f t="shared" ref="AB128:AB129" si="230">H128+Q128+Z128</f>
        <v>0.64063000000000003</v>
      </c>
      <c r="AC128" s="449">
        <f t="shared" si="221"/>
        <v>1.001869565217391</v>
      </c>
      <c r="AD128" s="435">
        <f t="shared" si="222"/>
        <v>1.0332741935483869</v>
      </c>
      <c r="AE128" s="435">
        <f>IF(AND(W128&gt;0,$AB128&gt;0),AB128/$W128,0)</f>
        <v>0.6743473684210527</v>
      </c>
      <c r="AF128" s="436">
        <f t="shared" ref="AF128:AF129" si="231">W128</f>
        <v>0.95</v>
      </c>
      <c r="AG128" s="436">
        <f>+'1.Informe Seguimiento POA 2022'!U72</f>
        <v>0.32999999999999996</v>
      </c>
      <c r="AH128" s="436">
        <f>+'1.Informe Seguimiento POA 2022'!O72+'1.Informe Seguimiento POA 2022'!Q72+'1.Informe Seguimiento POA 2022'!S72+'1.Informe Seguimiento POA 2022'!U72</f>
        <v>0.95000000000000007</v>
      </c>
      <c r="AI128" s="436">
        <f>+'1.Informe Seguimiento POA 2022'!V72</f>
        <v>0.38486169428374289</v>
      </c>
      <c r="AJ128" s="436">
        <f>+'1.Informe Seguimiento POA 2022'!P72+'1.Informe Seguimiento POA 2022'!R72+'1.Informe Seguimiento POA 2022'!T72+'1.Informe Seguimiento POA 2022'!V72</f>
        <v>1.0254916942837429</v>
      </c>
      <c r="AK128" s="524">
        <f t="shared" si="223"/>
        <v>1.0254916942837429</v>
      </c>
      <c r="AL128" s="449">
        <f t="shared" si="224"/>
        <v>1.1662475584355847</v>
      </c>
      <c r="AM128" s="449">
        <f t="shared" si="225"/>
        <v>1.0794649413513082</v>
      </c>
      <c r="AN128" s="435">
        <f>IF(AND(AF128&gt;0,$AK128&gt;0),AK128/$AF128,0)</f>
        <v>1.0794649413513084</v>
      </c>
      <c r="AO128" s="439" t="str">
        <f>+'Rango indicadores'!H68</f>
        <v>Mayor o igual A:</v>
      </c>
      <c r="AP128" s="434">
        <f>+'Rango indicadores'!I68</f>
        <v>95</v>
      </c>
      <c r="AQ128" s="434" t="str">
        <f>+'Rango indicadores'!J68</f>
        <v>Desde (&gt;):</v>
      </c>
      <c r="AR128" s="434">
        <f>+'Rango indicadores'!K68</f>
        <v>90</v>
      </c>
      <c r="AS128" s="434" t="str">
        <f>+'Rango indicadores'!L68</f>
        <v>Hasta (&lt;):</v>
      </c>
      <c r="AT128" s="434">
        <f>+'Rango indicadores'!M68</f>
        <v>95</v>
      </c>
      <c r="AU128" s="434" t="str">
        <f>+'Rango indicadores'!N68</f>
        <v>Menor o Igual A:</v>
      </c>
      <c r="AV128" s="434">
        <f>+'Rango indicadores'!O68</f>
        <v>90</v>
      </c>
      <c r="AW128" s="523" t="s">
        <v>1176</v>
      </c>
      <c r="AX128" s="525"/>
      <c r="AY128" s="766">
        <f t="shared" si="226"/>
        <v>-4.2999999999995819E-4</v>
      </c>
      <c r="AZ128" s="525"/>
      <c r="BA128" s="451"/>
    </row>
    <row r="129" spans="2:53" ht="51" customHeight="1">
      <c r="B129" s="431">
        <f>+B128+1</f>
        <v>68</v>
      </c>
      <c r="C129" s="432" t="str">
        <f>+'Rango indicadores'!D69</f>
        <v>10-R1-03</v>
      </c>
      <c r="D129" s="432" t="str">
        <f>+'Rango indicadores'!E69</f>
        <v>Porcentaje de estados financieros de la Entidad elaborados y presentados.</v>
      </c>
      <c r="E129" s="436">
        <f>+'Rango indicadores'!Q69</f>
        <v>1</v>
      </c>
      <c r="F129" s="464">
        <f>'1.Informe Seguimiento POA 2022'!O73</f>
        <v>0.25</v>
      </c>
      <c r="G129" s="464">
        <f>'1.Informe Seguimiento POA 2022'!O73</f>
        <v>0.25</v>
      </c>
      <c r="H129" s="790">
        <f>'1.Informe Seguimiento POA 2022'!P73</f>
        <v>0.25</v>
      </c>
      <c r="I129" s="790">
        <f>'1.Informe Seguimiento POA 2022'!P73</f>
        <v>0.25</v>
      </c>
      <c r="J129" s="790">
        <f t="shared" si="211"/>
        <v>0.25</v>
      </c>
      <c r="K129" s="449">
        <f t="shared" si="212"/>
        <v>1</v>
      </c>
      <c r="L129" s="449">
        <f t="shared" si="213"/>
        <v>1</v>
      </c>
      <c r="M129" s="435">
        <f t="shared" si="214"/>
        <v>0.25</v>
      </c>
      <c r="N129" s="436">
        <f t="shared" si="227"/>
        <v>1</v>
      </c>
      <c r="O129" s="464">
        <f>+'1.Informe Seguimiento POA 2022'!Q73</f>
        <v>0.25</v>
      </c>
      <c r="P129" s="464">
        <f>+'1.Informe Seguimiento POA 2022'!O73+'1.Informe Seguimiento POA 2022'!Q73</f>
        <v>0.5</v>
      </c>
      <c r="Q129" s="464">
        <f>+'1.Informe Seguimiento POA 2022'!R73</f>
        <v>0.25</v>
      </c>
      <c r="R129" s="464">
        <f>+'1.Informe Seguimiento POA 2022'!P73+'1.Informe Seguimiento POA 2022'!R73</f>
        <v>0.5</v>
      </c>
      <c r="S129" s="464">
        <f t="shared" si="228"/>
        <v>0.5</v>
      </c>
      <c r="T129" s="449">
        <f t="shared" si="217"/>
        <v>1</v>
      </c>
      <c r="U129" s="449">
        <f t="shared" si="218"/>
        <v>1</v>
      </c>
      <c r="V129" s="435">
        <f>IF(AND(N129&gt;0,$S129&gt;0),S129/$N129,0)</f>
        <v>0.5</v>
      </c>
      <c r="W129" s="436">
        <f t="shared" si="229"/>
        <v>1</v>
      </c>
      <c r="X129" s="464">
        <f>+'1.Informe Seguimiento POA 2022'!S73</f>
        <v>0.25</v>
      </c>
      <c r="Y129" s="464">
        <f>+'1.Informe Seguimiento POA 2022'!O73+'1.Informe Seguimiento POA 2022'!Q73+'1.Informe Seguimiento POA 2022'!S73</f>
        <v>0.75</v>
      </c>
      <c r="Z129" s="464">
        <f>+'1.Informe Seguimiento POA 2022'!T73</f>
        <v>0.25</v>
      </c>
      <c r="AA129" s="464">
        <f>+'1.Informe Seguimiento POA 2022'!R73+'1.Informe Seguimiento POA 2022'!T73+'1.Informe Seguimiento POA 2022'!P73</f>
        <v>0.75</v>
      </c>
      <c r="AB129" s="464">
        <f t="shared" si="230"/>
        <v>0.75</v>
      </c>
      <c r="AC129" s="449">
        <f t="shared" si="221"/>
        <v>1</v>
      </c>
      <c r="AD129" s="449">
        <f t="shared" si="222"/>
        <v>1</v>
      </c>
      <c r="AE129" s="435">
        <f>IF(AND(W129&gt;0,$AB129&gt;0),AB129/$W129,0)</f>
        <v>0.75</v>
      </c>
      <c r="AF129" s="436">
        <f t="shared" si="231"/>
        <v>1</v>
      </c>
      <c r="AG129" s="436">
        <f>+'1.Informe Seguimiento POA 2022'!U73</f>
        <v>0.25</v>
      </c>
      <c r="AH129" s="436">
        <f>+'1.Informe Seguimiento POA 2022'!O73+'1.Informe Seguimiento POA 2022'!Q73+'1.Informe Seguimiento POA 2022'!S73+'1.Informe Seguimiento POA 2022'!U73</f>
        <v>1</v>
      </c>
      <c r="AI129" s="436">
        <f>+'1.Informe Seguimiento POA 2022'!V73</f>
        <v>0.25</v>
      </c>
      <c r="AJ129" s="436">
        <f>+'1.Informe Seguimiento POA 2022'!P73+'1.Informe Seguimiento POA 2022'!R73+'1.Informe Seguimiento POA 2022'!T73+'1.Informe Seguimiento POA 2022'!V73</f>
        <v>1</v>
      </c>
      <c r="AK129" s="524">
        <f t="shared" si="223"/>
        <v>1</v>
      </c>
      <c r="AL129" s="449">
        <f t="shared" si="224"/>
        <v>1</v>
      </c>
      <c r="AM129" s="449">
        <f t="shared" si="225"/>
        <v>1</v>
      </c>
      <c r="AN129" s="435">
        <f>IF(AND(AF129&gt;0,$AK129&gt;0),AK129/$AF129,0)</f>
        <v>1</v>
      </c>
      <c r="AO129" s="439" t="str">
        <f>+'Rango indicadores'!H69</f>
        <v>Mayor o igual A:</v>
      </c>
      <c r="AP129" s="434">
        <f>+'Rango indicadores'!I69</f>
        <v>100</v>
      </c>
      <c r="AQ129" s="434" t="str">
        <f>+'Rango indicadores'!J69</f>
        <v>Desde (&gt;):</v>
      </c>
      <c r="AR129" s="434">
        <f>+'Rango indicadores'!K69</f>
        <v>95</v>
      </c>
      <c r="AS129" s="434" t="str">
        <f>+'Rango indicadores'!L69</f>
        <v>Hasta (&lt;):</v>
      </c>
      <c r="AT129" s="434">
        <f>+'Rango indicadores'!M69</f>
        <v>100</v>
      </c>
      <c r="AU129" s="434" t="str">
        <f>+'Rango indicadores'!N69</f>
        <v>Menor o Igual A:</v>
      </c>
      <c r="AV129" s="434">
        <f>+'Rango indicadores'!O69</f>
        <v>95</v>
      </c>
      <c r="AW129" s="523" t="s">
        <v>1175</v>
      </c>
      <c r="AX129" s="525"/>
      <c r="AY129" s="766">
        <f t="shared" si="226"/>
        <v>0</v>
      </c>
      <c r="AZ129" s="525"/>
      <c r="BA129" s="451"/>
    </row>
    <row r="130" spans="2:53" ht="15.6">
      <c r="C130" s="1378" t="s">
        <v>866</v>
      </c>
      <c r="D130" s="1379"/>
      <c r="E130" s="1379"/>
      <c r="F130" s="1379"/>
      <c r="G130" s="1379"/>
      <c r="H130" s="1379"/>
      <c r="I130" s="1379"/>
      <c r="J130" s="1379"/>
      <c r="K130" s="454">
        <f>IFERROR(AVERAGE(K127:K129),0)</f>
        <v>1.0572727272727271</v>
      </c>
      <c r="L130" s="454">
        <f>IFERROR(AVERAGE(L127:L129),0)</f>
        <v>1.0572727272727271</v>
      </c>
      <c r="M130" s="454">
        <f>IFERROR(AVERAGE(M127:M129),0)</f>
        <v>0.22459649122807021</v>
      </c>
      <c r="N130" s="880"/>
      <c r="O130" s="880"/>
      <c r="P130" s="880"/>
      <c r="Q130" s="880"/>
      <c r="R130" s="880"/>
      <c r="S130" s="880"/>
      <c r="T130" s="454">
        <f>IFERROR(AVERAGE(T127:T129),0)</f>
        <v>1.0234666666666667</v>
      </c>
      <c r="U130" s="454">
        <f>IFERROR(AVERAGE(U127:U129),0)</f>
        <v>1.0456337515911984</v>
      </c>
      <c r="V130" s="454">
        <f>IFERROR(AVERAGE(V127:V129),0)</f>
        <v>0.48954385964912284</v>
      </c>
      <c r="W130" s="880"/>
      <c r="X130" s="880"/>
      <c r="Y130" s="880"/>
      <c r="Z130" s="880"/>
      <c r="AA130" s="880"/>
      <c r="AB130" s="880"/>
      <c r="AC130" s="454">
        <f>IFERROR(AVERAGE(AC127:AC129),0)</f>
        <v>0.95528985507246367</v>
      </c>
      <c r="AD130" s="454">
        <f>IFERROR(AVERAGE(AD127:AD129),0)</f>
        <v>1.0138691756272402</v>
      </c>
      <c r="AE130" s="454">
        <f>IFERROR(AVERAGE(AE127:AE129),0)</f>
        <v>0.72951929824561412</v>
      </c>
      <c r="AF130" s="880"/>
      <c r="AG130" s="880"/>
      <c r="AH130" s="880"/>
      <c r="AI130" s="880"/>
      <c r="AJ130" s="880"/>
      <c r="AK130" s="881"/>
      <c r="AL130" s="454">
        <f>IFERROR(AVERAGE(AL127:AL129),0)</f>
        <v>1.1380245484640354</v>
      </c>
      <c r="AM130" s="454">
        <f>IFERROR(AVERAGE(AM127:AM129),0)</f>
        <v>1.0485935769416641</v>
      </c>
      <c r="AN130" s="454">
        <f>IFERROR(AVERAGE(AN127:AN129),0)</f>
        <v>1.0485935769416643</v>
      </c>
      <c r="AO130" s="444"/>
      <c r="AP130" s="444"/>
      <c r="AQ130" s="444"/>
      <c r="AR130" s="444"/>
      <c r="AS130" s="444"/>
      <c r="AT130" s="444"/>
      <c r="AU130" s="444"/>
      <c r="AV130" s="444"/>
      <c r="AW130" s="529"/>
      <c r="AY130" s="589"/>
    </row>
    <row r="131" spans="2:53" s="427" customFormat="1" ht="26.4" customHeight="1" thickBot="1">
      <c r="D131" s="429"/>
      <c r="AW131" s="429"/>
      <c r="AY131" s="589"/>
      <c r="AZ131" s="413"/>
    </row>
    <row r="132" spans="2:53" s="427" customFormat="1" ht="16.2" thickBot="1">
      <c r="C132" s="430" t="s">
        <v>877</v>
      </c>
      <c r="D132" s="460"/>
      <c r="E132" s="1380" t="s">
        <v>1128</v>
      </c>
      <c r="F132" s="1381"/>
      <c r="G132" s="1381"/>
      <c r="H132" s="1381"/>
      <c r="I132" s="1381"/>
      <c r="J132" s="1381"/>
      <c r="K132" s="1381"/>
      <c r="L132" s="1381"/>
      <c r="M132" s="1382"/>
      <c r="N132" s="1383" t="s">
        <v>1129</v>
      </c>
      <c r="O132" s="1384"/>
      <c r="P132" s="1384"/>
      <c r="Q132" s="1384"/>
      <c r="R132" s="1384"/>
      <c r="S132" s="1384"/>
      <c r="T132" s="1384"/>
      <c r="U132" s="1384"/>
      <c r="V132" s="1385"/>
      <c r="W132" s="1386" t="s">
        <v>1130</v>
      </c>
      <c r="X132" s="1387"/>
      <c r="Y132" s="1387"/>
      <c r="Z132" s="1387"/>
      <c r="AA132" s="1387"/>
      <c r="AB132" s="1387"/>
      <c r="AC132" s="1387"/>
      <c r="AD132" s="1387"/>
      <c r="AE132" s="1388"/>
      <c r="AF132" s="1383" t="s">
        <v>1046</v>
      </c>
      <c r="AG132" s="1384"/>
      <c r="AH132" s="1384"/>
      <c r="AI132" s="1384"/>
      <c r="AJ132" s="1384"/>
      <c r="AK132" s="1384"/>
      <c r="AL132" s="1384"/>
      <c r="AM132" s="1384"/>
      <c r="AN132" s="1385"/>
      <c r="AW132" s="429"/>
      <c r="AY132" s="589"/>
      <c r="AZ132" s="413"/>
    </row>
    <row r="133" spans="2:53" ht="36.75" customHeight="1">
      <c r="C133" s="1393" t="str">
        <f>+$C$10</f>
        <v>Identificación del Indicador</v>
      </c>
      <c r="D133" s="1396" t="s">
        <v>861</v>
      </c>
      <c r="E133" s="1389" t="s">
        <v>862</v>
      </c>
      <c r="F133" s="1390"/>
      <c r="G133" s="1391"/>
      <c r="H133" s="1392" t="s">
        <v>1132</v>
      </c>
      <c r="I133" s="1394" t="s">
        <v>1136</v>
      </c>
      <c r="J133" s="1392" t="s">
        <v>863</v>
      </c>
      <c r="K133" s="1392" t="s">
        <v>857</v>
      </c>
      <c r="L133" s="1392"/>
      <c r="M133" s="1392"/>
      <c r="N133" s="1389" t="s">
        <v>862</v>
      </c>
      <c r="O133" s="1390"/>
      <c r="P133" s="1391"/>
      <c r="Q133" s="1392" t="s">
        <v>1141</v>
      </c>
      <c r="R133" s="1394" t="s">
        <v>1133</v>
      </c>
      <c r="S133" s="1392" t="s">
        <v>863</v>
      </c>
      <c r="T133" s="1392" t="s">
        <v>857</v>
      </c>
      <c r="U133" s="1392"/>
      <c r="V133" s="1392"/>
      <c r="W133" s="1389" t="s">
        <v>862</v>
      </c>
      <c r="X133" s="1390"/>
      <c r="Y133" s="1391"/>
      <c r="Z133" s="1392" t="s">
        <v>1142</v>
      </c>
      <c r="AA133" s="1394" t="s">
        <v>1138</v>
      </c>
      <c r="AB133" s="1392" t="s">
        <v>863</v>
      </c>
      <c r="AC133" s="1392" t="s">
        <v>857</v>
      </c>
      <c r="AD133" s="1392"/>
      <c r="AE133" s="1392"/>
      <c r="AF133" s="1389" t="s">
        <v>862</v>
      </c>
      <c r="AG133" s="1390"/>
      <c r="AH133" s="1391"/>
      <c r="AI133" s="1392" t="s">
        <v>1172</v>
      </c>
      <c r="AJ133" s="1394" t="s">
        <v>1173</v>
      </c>
      <c r="AK133" s="1392" t="s">
        <v>863</v>
      </c>
      <c r="AL133" s="1392" t="s">
        <v>857</v>
      </c>
      <c r="AM133" s="1392"/>
      <c r="AN133" s="1392"/>
      <c r="AO133" s="1398" t="s">
        <v>709</v>
      </c>
      <c r="AP133" s="1398"/>
      <c r="AQ133" s="1398"/>
      <c r="AR133" s="1398"/>
      <c r="AS133" s="1398"/>
      <c r="AT133" s="1398"/>
      <c r="AU133" s="1398"/>
      <c r="AV133" s="1398"/>
      <c r="AW133" s="1393" t="s">
        <v>882</v>
      </c>
      <c r="AY133" s="589"/>
    </row>
    <row r="134" spans="2:53" ht="60.75" customHeight="1">
      <c r="C134" s="1393"/>
      <c r="D134" s="1396"/>
      <c r="E134" s="1024" t="s">
        <v>1143</v>
      </c>
      <c r="F134" s="1024" t="str">
        <f>+E132</f>
        <v>Primer Trimestre</v>
      </c>
      <c r="G134" s="1025" t="s">
        <v>1135</v>
      </c>
      <c r="H134" s="1393"/>
      <c r="I134" s="1395"/>
      <c r="J134" s="1393"/>
      <c r="K134" s="1024" t="str">
        <f>+$D$6</f>
        <v>Cuarto Trimestre</v>
      </c>
      <c r="L134" s="1025" t="str">
        <f>+G134</f>
        <v>Acumulado
Corte 
31/03/2022</v>
      </c>
      <c r="M134" s="1026" t="s">
        <v>754</v>
      </c>
      <c r="N134" s="1024" t="s">
        <v>1143</v>
      </c>
      <c r="O134" s="1024" t="str">
        <f>+N132</f>
        <v>Segundo Trimestre</v>
      </c>
      <c r="P134" s="1025" t="s">
        <v>1134</v>
      </c>
      <c r="Q134" s="1393"/>
      <c r="R134" s="1395"/>
      <c r="S134" s="1393"/>
      <c r="T134" s="1024" t="str">
        <f>+O134</f>
        <v>Segundo Trimestre</v>
      </c>
      <c r="U134" s="1025" t="str">
        <f>+P134</f>
        <v>Acumulado Corte 
30/06/2022</v>
      </c>
      <c r="V134" s="1026" t="s">
        <v>754</v>
      </c>
      <c r="W134" s="1024" t="s">
        <v>1143</v>
      </c>
      <c r="X134" s="1024" t="str">
        <f>+W132</f>
        <v>Tercer Trimestre</v>
      </c>
      <c r="Y134" s="1025" t="s">
        <v>1137</v>
      </c>
      <c r="Z134" s="1393"/>
      <c r="AA134" s="1395"/>
      <c r="AB134" s="1393"/>
      <c r="AC134" s="1024" t="str">
        <f>+X134</f>
        <v>Tercer Trimestre</v>
      </c>
      <c r="AD134" s="1025" t="str">
        <f>+Y134</f>
        <v>Acumulado Corte 
30/09/2022</v>
      </c>
      <c r="AE134" s="1026" t="s">
        <v>754</v>
      </c>
      <c r="AF134" s="1024" t="s">
        <v>1143</v>
      </c>
      <c r="AG134" s="1024" t="s">
        <v>1171</v>
      </c>
      <c r="AH134" s="1025" t="s">
        <v>1139</v>
      </c>
      <c r="AI134" s="1393"/>
      <c r="AJ134" s="1395"/>
      <c r="AK134" s="1393"/>
      <c r="AL134" s="1024" t="str">
        <f>+AG134</f>
        <v>Cuarto Trimestre
31-12-2022</v>
      </c>
      <c r="AM134" s="1025" t="str">
        <f>+AH134</f>
        <v>Acumulado Corte 
31/12/2022</v>
      </c>
      <c r="AN134" s="1026" t="s">
        <v>754</v>
      </c>
      <c r="AO134" s="1097" t="s">
        <v>864</v>
      </c>
      <c r="AP134" s="1098"/>
      <c r="AQ134" s="1099" t="s">
        <v>865</v>
      </c>
      <c r="AR134" s="1100"/>
      <c r="AS134" s="1100"/>
      <c r="AT134" s="1101"/>
      <c r="AU134" s="1102" t="s">
        <v>717</v>
      </c>
      <c r="AV134" s="1103"/>
      <c r="AW134" s="1393"/>
      <c r="AY134" s="589"/>
    </row>
    <row r="135" spans="2:53" ht="54.75" customHeight="1">
      <c r="B135" s="431">
        <f>+B129+1</f>
        <v>69</v>
      </c>
      <c r="C135" s="455" t="str">
        <f>+'Rango indicadores'!D70</f>
        <v>11-RI-01</v>
      </c>
      <c r="D135" s="455" t="str">
        <f>+'Rango indicadores'!E70</f>
        <v xml:space="preserve">Porcentaje del Plan Anual de Adquisiciones ejecutado </v>
      </c>
      <c r="E135" s="422">
        <f>+'Rango indicadores'!Q70</f>
        <v>0.95</v>
      </c>
      <c r="F135" s="464">
        <f>'1.Informe Seguimiento POA 2022'!O74</f>
        <v>0.36000000000000004</v>
      </c>
      <c r="G135" s="464">
        <f>'1.Informe Seguimiento POA 2022'!O74</f>
        <v>0.36000000000000004</v>
      </c>
      <c r="H135" s="790">
        <f>'1.Informe Seguimiento POA 2022'!P74</f>
        <v>0.38</v>
      </c>
      <c r="I135" s="790">
        <f>'1.Informe Seguimiento POA 2022'!P74</f>
        <v>0.38</v>
      </c>
      <c r="J135" s="790">
        <f t="shared" ref="J135:J138" si="232">I135</f>
        <v>0.38</v>
      </c>
      <c r="K135" s="449">
        <f t="shared" ref="K135:K138" si="233">IF(AND(F135&gt;0),H135/F135,"No programado")</f>
        <v>1.0555555555555554</v>
      </c>
      <c r="L135" s="449">
        <f t="shared" ref="L135:L138" si="234">IF(AND(G135&gt;0),I135/G135,"No programado")</f>
        <v>1.0555555555555554</v>
      </c>
      <c r="M135" s="435">
        <f t="shared" ref="M135" si="235">IF(AND(E135&gt;0,$J135&gt;0),J135/$E135,0)</f>
        <v>0.4</v>
      </c>
      <c r="N135" s="422">
        <f>+E135</f>
        <v>0.95</v>
      </c>
      <c r="O135" s="464">
        <f>+'1.Informe Seguimiento POA 2022'!Q74</f>
        <v>0.22000000000000003</v>
      </c>
      <c r="P135" s="464">
        <f>+'1.Informe Seguimiento POA 2022'!O74+'1.Informe Seguimiento POA 2022'!Q74</f>
        <v>0.58000000000000007</v>
      </c>
      <c r="Q135" s="464">
        <f>+'1.Informe Seguimiento POA 2022'!R74</f>
        <v>0.16</v>
      </c>
      <c r="R135" s="464">
        <f>+'1.Informe Seguimiento POA 2022'!P74+'1.Informe Seguimiento POA 2022'!R74</f>
        <v>0.54</v>
      </c>
      <c r="S135" s="464">
        <f t="shared" ref="S135" si="236">H135+Q135</f>
        <v>0.54</v>
      </c>
      <c r="T135" s="449">
        <f t="shared" ref="T135:T138" si="237">IF(AND(O135&gt;0),Q135/O135,"No programado")</f>
        <v>0.72727272727272718</v>
      </c>
      <c r="U135" s="449">
        <f t="shared" ref="U135:U138" si="238">IF(AND(P135&gt;0),R135/P135,"No programado")</f>
        <v>0.93103448275862066</v>
      </c>
      <c r="V135" s="435">
        <f>IF(AND(N135&gt;0,$S135&gt;0),S135/$N135,0)</f>
        <v>0.56842105263157905</v>
      </c>
      <c r="W135" s="422">
        <f>+N135</f>
        <v>0.95</v>
      </c>
      <c r="X135" s="464">
        <f>+'1.Informe Seguimiento POA 2022'!S74</f>
        <v>0.21999999999999997</v>
      </c>
      <c r="Y135" s="464">
        <f>+'1.Informe Seguimiento POA 2022'!O74+'1.Informe Seguimiento POA 2022'!Q74+'1.Informe Seguimiento POA 2022'!S74</f>
        <v>0.8</v>
      </c>
      <c r="Z135" s="464">
        <f>+'1.Informe Seguimiento POA 2022'!T74</f>
        <v>0.19</v>
      </c>
      <c r="AA135" s="464">
        <f>+'1.Informe Seguimiento POA 2022'!R74+'1.Informe Seguimiento POA 2022'!T74+'1.Informe Seguimiento POA 2022'!P74</f>
        <v>0.73</v>
      </c>
      <c r="AB135" s="464">
        <f t="shared" ref="AB135" si="239">H135+Q135+Z135</f>
        <v>0.73</v>
      </c>
      <c r="AC135" s="449">
        <f t="shared" ref="AC135:AC138" si="240">IF(AND(X135&gt;0),Z135/X135,"No programado")</f>
        <v>0.86363636363636376</v>
      </c>
      <c r="AD135" s="449">
        <f t="shared" ref="AD135:AD138" si="241">IF(AND(Y135&gt;0),AA135/Y135,"No programado")</f>
        <v>0.91249999999999998</v>
      </c>
      <c r="AE135" s="435">
        <f>IF(AND(W135&gt;0,$AB135&gt;0),AB135/$W135,0)</f>
        <v>0.768421052631579</v>
      </c>
      <c r="AF135" s="422">
        <f>+W135</f>
        <v>0.95</v>
      </c>
      <c r="AG135" s="422">
        <f>+'1.Informe Seguimiento POA 2022'!U74</f>
        <v>0.15000000000000002</v>
      </c>
      <c r="AH135" s="436">
        <f>+'1.Informe Seguimiento POA 2022'!O74+'1.Informe Seguimiento POA 2022'!Q74+'1.Informe Seguimiento POA 2022'!S74+'1.Informe Seguimiento POA 2022'!U74</f>
        <v>0.95000000000000007</v>
      </c>
      <c r="AI135" s="422">
        <f>+'1.Informe Seguimiento POA 2022'!V74</f>
        <v>0.25</v>
      </c>
      <c r="AJ135" s="422">
        <f>+'1.Informe Seguimiento POA 2022'!P74+'1.Informe Seguimiento POA 2022'!R74+'1.Informe Seguimiento POA 2022'!T74+'1.Informe Seguimiento POA 2022'!V74</f>
        <v>0.98</v>
      </c>
      <c r="AK135" s="470">
        <f t="shared" ref="AK135" si="242">H135+Q135+Z135+AI135</f>
        <v>0.98</v>
      </c>
      <c r="AL135" s="449">
        <f t="shared" ref="AL135:AL138" si="243">IF(AND(AG135&gt;0),AI135/AG135,"No programado")</f>
        <v>1.6666666666666665</v>
      </c>
      <c r="AM135" s="435">
        <f t="shared" ref="AM135:AM138" si="244">IF(AND(AH135&gt;0),AJ135/AH135,"No programado")</f>
        <v>1.0315789473684209</v>
      </c>
      <c r="AN135" s="435">
        <f>IF(AND(AF135&gt;0,$AK135&gt;0),AK135/$AF135,0)</f>
        <v>1.0315789473684212</v>
      </c>
      <c r="AO135" s="439" t="str">
        <f>+'Rango indicadores'!H70</f>
        <v>Mayor o igual A:</v>
      </c>
      <c r="AP135" s="434">
        <f>+'Rango indicadores'!I70</f>
        <v>95</v>
      </c>
      <c r="AQ135" s="434" t="str">
        <f>+'Rango indicadores'!J70</f>
        <v>Desde (&gt;):</v>
      </c>
      <c r="AR135" s="434">
        <f>+'Rango indicadores'!K70</f>
        <v>90</v>
      </c>
      <c r="AS135" s="434" t="str">
        <f>+'Rango indicadores'!L70</f>
        <v>Hasta (&lt;):</v>
      </c>
      <c r="AT135" s="434">
        <f>+'Rango indicadores'!M70</f>
        <v>95</v>
      </c>
      <c r="AU135" s="434" t="str">
        <f>+'Rango indicadores'!N70</f>
        <v>Menor o Igual A:</v>
      </c>
      <c r="AV135" s="434">
        <f>+'Rango indicadores'!O70</f>
        <v>90</v>
      </c>
      <c r="AW135" s="523" t="s">
        <v>1176</v>
      </c>
      <c r="AX135" s="525"/>
      <c r="AY135" s="766">
        <f t="shared" ref="AY135:AY138" si="245">+X135-Z135</f>
        <v>2.9999999999999971E-2</v>
      </c>
      <c r="AZ135" s="525"/>
    </row>
    <row r="136" spans="2:53" ht="54.75" customHeight="1">
      <c r="B136" s="431">
        <f>+B135+1</f>
        <v>70</v>
      </c>
      <c r="C136" s="455" t="str">
        <f>+'Rango indicadores'!D71</f>
        <v>11-RI-02</v>
      </c>
      <c r="D136" s="455" t="str">
        <f>+'Rango indicadores'!E71</f>
        <v xml:space="preserve">Porcentaje de contratos en la modalidad de contratacion directa elaborados en los tiempos óptimos </v>
      </c>
      <c r="E136" s="422">
        <f>+'Rango indicadores'!Q71</f>
        <v>0.8</v>
      </c>
      <c r="F136" s="464">
        <f>'1.Informe Seguimiento POA 2022'!O84</f>
        <v>0.8</v>
      </c>
      <c r="G136" s="464">
        <f>'1.Informe Seguimiento POA 2022'!O84</f>
        <v>0.8</v>
      </c>
      <c r="H136" s="790">
        <f>'1.Informe Seguimiento POA 2022'!P84</f>
        <v>1</v>
      </c>
      <c r="I136" s="790">
        <f>'1.Informe Seguimiento POA 2022'!P84</f>
        <v>1</v>
      </c>
      <c r="J136" s="790">
        <f t="shared" si="232"/>
        <v>1</v>
      </c>
      <c r="K136" s="449">
        <f t="shared" si="233"/>
        <v>1.25</v>
      </c>
      <c r="L136" s="449">
        <f t="shared" si="234"/>
        <v>1.25</v>
      </c>
      <c r="M136" s="435">
        <f>IF(AND(E136&gt;0,$J136&gt;0),J136/$E136,0)*0.25</f>
        <v>0.3125</v>
      </c>
      <c r="N136" s="422">
        <f t="shared" ref="N136:N138" si="246">+E136</f>
        <v>0.8</v>
      </c>
      <c r="O136" s="790">
        <f>+'1.Informe Seguimiento POA 2022'!Q84</f>
        <v>0</v>
      </c>
      <c r="P136" s="879">
        <f>IFERROR(AVERAGE(F136),0)</f>
        <v>0.8</v>
      </c>
      <c r="Q136" s="790">
        <f>'1.Informe Seguimiento POA 2022'!R84</f>
        <v>1</v>
      </c>
      <c r="R136" s="436">
        <f>IFERROR(AVERAGE('1.Informe Seguimiento POA 2022'!P84,'1.Informe Seguimiento POA 2022'!R84),0)</f>
        <v>1</v>
      </c>
      <c r="S136" s="436">
        <f>IFERROR(IF(OR($N136="",$N136=0),0,ROUNDDOWN(AVERAGE($H136,Q136),3)),0)</f>
        <v>1</v>
      </c>
      <c r="T136" s="449" t="str">
        <f t="shared" si="237"/>
        <v>No programado</v>
      </c>
      <c r="U136" s="449">
        <f t="shared" si="238"/>
        <v>1.25</v>
      </c>
      <c r="V136" s="435">
        <f>IF(AND(N136&gt;0,$S136&gt;0),S136/$N136,0)*0.5</f>
        <v>0.625</v>
      </c>
      <c r="W136" s="422">
        <f t="shared" ref="W136:W138" si="247">+N136</f>
        <v>0.8</v>
      </c>
      <c r="X136" s="464">
        <f>+'1.Informe Seguimiento POA 2022'!S84</f>
        <v>0.80000000000000016</v>
      </c>
      <c r="Y136" s="436">
        <f>IFERROR(AVERAGE('1.Informe Seguimiento POA 2022'!O84,'1.Informe Seguimiento POA 2022'!S84),0)</f>
        <v>0.8</v>
      </c>
      <c r="Z136" s="436">
        <f>+'1.Informe Seguimiento POA 2022'!T84</f>
        <v>0.94899999999999995</v>
      </c>
      <c r="AA136" s="436">
        <f>IFERROR(AVERAGE('1.Informe Seguimiento POA 2022'!R84,'1.Informe Seguimiento POA 2022'!P84,'1.Informe Seguimiento POA 2022'!T84),0)</f>
        <v>0.98299999999999998</v>
      </c>
      <c r="AB136" s="436">
        <f>IFERROR(IF(OR($W136="",$W136=0),0,ROUNDDOWN(AVERAGE($H136,Q136,Z136),3)),0)</f>
        <v>0.98299999999999998</v>
      </c>
      <c r="AC136" s="449">
        <f t="shared" si="240"/>
        <v>1.1862499999999998</v>
      </c>
      <c r="AD136" s="449">
        <f t="shared" si="241"/>
        <v>1.22875</v>
      </c>
      <c r="AE136" s="435">
        <f>IF(AND(W136&gt;0,$AB136&gt;0),AB136/$W136,0)*0.75</f>
        <v>0.92156250000000006</v>
      </c>
      <c r="AF136" s="422">
        <f t="shared" ref="AF136:AF138" si="248">+W136</f>
        <v>0.8</v>
      </c>
      <c r="AG136" s="422">
        <f>+'1.Informe Seguimiento POA 2022'!U84</f>
        <v>0.80000000000000016</v>
      </c>
      <c r="AH136" s="436">
        <f>IFERROR(AVERAGE('1.Informe Seguimiento POA 2022'!S84,'1.Informe Seguimiento POA 2022'!U84),0)</f>
        <v>0.80000000000000016</v>
      </c>
      <c r="AI136" s="422">
        <f>+'1.Informe Seguimiento POA 2022'!V84</f>
        <v>0.98799999999999999</v>
      </c>
      <c r="AJ136" s="422">
        <f>+'11-GESTIÓN CONTRACTUAL'!AZ17</f>
        <v>0.97599999999999998</v>
      </c>
      <c r="AK136" s="436">
        <f>+'11-GESTIÓN CONTRACTUAL'!AZ17</f>
        <v>0.97599999999999998</v>
      </c>
      <c r="AL136" s="449">
        <f t="shared" si="243"/>
        <v>1.2349999999999997</v>
      </c>
      <c r="AM136" s="435">
        <f t="shared" si="244"/>
        <v>1.2199999999999998</v>
      </c>
      <c r="AN136" s="435">
        <f>IF(AND(AF136&gt;0,$AK136&gt;0),AK136/$AF136,0)</f>
        <v>1.22</v>
      </c>
      <c r="AO136" s="439" t="str">
        <f>+'Rango indicadores'!H71</f>
        <v>Mayor o igual A:</v>
      </c>
      <c r="AP136" s="434">
        <f>+'Rango indicadores'!I71</f>
        <v>95</v>
      </c>
      <c r="AQ136" s="434" t="str">
        <f>+'Rango indicadores'!J71</f>
        <v>Desde (&gt;):</v>
      </c>
      <c r="AR136" s="434">
        <f>+'Rango indicadores'!K71</f>
        <v>80</v>
      </c>
      <c r="AS136" s="434" t="str">
        <f>+'Rango indicadores'!L71</f>
        <v>Hasta (&lt;):</v>
      </c>
      <c r="AT136" s="434">
        <f>+'Rango indicadores'!M71</f>
        <v>95</v>
      </c>
      <c r="AU136" s="434" t="str">
        <f>+'Rango indicadores'!N71</f>
        <v>Menor o Igual A:</v>
      </c>
      <c r="AV136" s="434">
        <f>+'Rango indicadores'!O71</f>
        <v>80</v>
      </c>
      <c r="AW136" s="523" t="s">
        <v>1176</v>
      </c>
      <c r="AX136" s="525"/>
      <c r="AY136" s="766">
        <f t="shared" si="245"/>
        <v>-0.1489999999999998</v>
      </c>
      <c r="AZ136" s="525"/>
    </row>
    <row r="137" spans="2:53" ht="54.75" customHeight="1">
      <c r="B137" s="431">
        <f t="shared" ref="B137:B138" si="249">+B136+1</f>
        <v>71</v>
      </c>
      <c r="C137" s="455" t="str">
        <f>+'Rango indicadores'!D72</f>
        <v>11-RI-03</v>
      </c>
      <c r="D137" s="455" t="str">
        <f>+'Rango indicadores'!E72</f>
        <v xml:space="preserve">Porcentaje de contratos en la modalidad de selección abreviada de menor cuantía elaborados en los tiempos óptimos </v>
      </c>
      <c r="E137" s="422">
        <f>+'Rango indicadores'!Q72</f>
        <v>0.8</v>
      </c>
      <c r="F137" s="464">
        <f>'1.Informe Seguimiento POA 2022'!O85</f>
        <v>0</v>
      </c>
      <c r="G137" s="464">
        <f>'1.Informe Seguimiento POA 2022'!O85</f>
        <v>0</v>
      </c>
      <c r="H137" s="790">
        <f>'1.Informe Seguimiento POA 2022'!P85</f>
        <v>1</v>
      </c>
      <c r="I137" s="790">
        <f>'1.Informe Seguimiento POA 2022'!P85</f>
        <v>1</v>
      </c>
      <c r="J137" s="790">
        <f t="shared" si="232"/>
        <v>1</v>
      </c>
      <c r="K137" s="449" t="str">
        <f t="shared" si="233"/>
        <v>No programado</v>
      </c>
      <c r="L137" s="449" t="str">
        <f t="shared" si="234"/>
        <v>No programado</v>
      </c>
      <c r="M137" s="435">
        <f>IF(AND(E137&gt;0,$J137&gt;0),J137/$E137,0)*0.25</f>
        <v>0.3125</v>
      </c>
      <c r="N137" s="422">
        <f t="shared" si="246"/>
        <v>0.8</v>
      </c>
      <c r="O137" s="790">
        <f>+'1.Informe Seguimiento POA 2022'!Q85</f>
        <v>0.8</v>
      </c>
      <c r="P137" s="879">
        <f>IFERROR(AVERAGE(O137),0)</f>
        <v>0.8</v>
      </c>
      <c r="Q137" s="790">
        <f>'1.Informe Seguimiento POA 2022'!R85</f>
        <v>0.8</v>
      </c>
      <c r="R137" s="436">
        <f>IFERROR(AVERAGE('1.Informe Seguimiento POA 2022'!P85,'1.Informe Seguimiento POA 2022'!R85),0)</f>
        <v>0.9</v>
      </c>
      <c r="S137" s="436">
        <f t="shared" ref="S137:S138" si="250">IFERROR(IF(OR($N137="",$N137=0),0,ROUNDDOWN(AVERAGE($H137,Q137),3)),0)</f>
        <v>0.9</v>
      </c>
      <c r="T137" s="449">
        <f t="shared" si="237"/>
        <v>1</v>
      </c>
      <c r="U137" s="449">
        <f t="shared" si="238"/>
        <v>1.125</v>
      </c>
      <c r="V137" s="435">
        <f>IF(AND(N137&gt;0,$S137&gt;0),S137/$N137,0)*0.5</f>
        <v>0.5625</v>
      </c>
      <c r="W137" s="422">
        <f t="shared" si="247"/>
        <v>0.8</v>
      </c>
      <c r="X137" s="464">
        <f>+'1.Informe Seguimiento POA 2022'!S85</f>
        <v>0.80000000000000016</v>
      </c>
      <c r="Y137" s="436">
        <f>IFERROR(AVERAGE('1.Informe Seguimiento POA 2022'!Q85,'1.Informe Seguimiento POA 2022'!S85),0)</f>
        <v>0.8</v>
      </c>
      <c r="Z137" s="436">
        <f>+'1.Informe Seguimiento POA 2022'!T85</f>
        <v>0.86599999999999999</v>
      </c>
      <c r="AA137" s="436">
        <f>IFERROR(AVERAGE('1.Informe Seguimiento POA 2022'!R85,'1.Informe Seguimiento POA 2022'!P85,'1.Informe Seguimiento POA 2022'!T85),0)</f>
        <v>0.8886666666666666</v>
      </c>
      <c r="AB137" s="436">
        <f t="shared" ref="AB137:AB138" si="251">IFERROR(IF(OR($W137="",$W137=0),0,ROUNDDOWN(AVERAGE($H137,Q137,Z137),3)),0)</f>
        <v>0.88800000000000001</v>
      </c>
      <c r="AC137" s="449">
        <f t="shared" si="240"/>
        <v>1.0824999999999998</v>
      </c>
      <c r="AD137" s="449">
        <f t="shared" si="241"/>
        <v>1.1108333333333331</v>
      </c>
      <c r="AE137" s="435">
        <f>IF(AND(W137&gt;0,$AB137&gt;0),AB137/$W137,0)*0.75</f>
        <v>0.83249999999999991</v>
      </c>
      <c r="AF137" s="422">
        <f t="shared" si="248"/>
        <v>0.8</v>
      </c>
      <c r="AG137" s="422">
        <f>+'1.Informe Seguimiento POA 2022'!U85</f>
        <v>0.8</v>
      </c>
      <c r="AH137" s="436">
        <f>IFERROR(AVERAGE('1.Informe Seguimiento POA 2022'!S85,'1.Informe Seguimiento POA 2022'!U85),0)</f>
        <v>0.8</v>
      </c>
      <c r="AI137" s="422">
        <f>+'1.Informe Seguimiento POA 2022'!V85</f>
        <v>0.9</v>
      </c>
      <c r="AJ137" s="422">
        <f>+'11-GESTIÓN CONTRACTUAL'!AZ18</f>
        <v>0.875</v>
      </c>
      <c r="AK137" s="436">
        <f>+'11-GESTIÓN CONTRACTUAL'!AZ18</f>
        <v>0.875</v>
      </c>
      <c r="AL137" s="449">
        <f t="shared" si="243"/>
        <v>1.125</v>
      </c>
      <c r="AM137" s="435">
        <f t="shared" si="244"/>
        <v>1.09375</v>
      </c>
      <c r="AN137" s="435">
        <f>IF(AND(AF137&gt;0,$AK137&gt;0),AK137/$AF137,0)</f>
        <v>1.09375</v>
      </c>
      <c r="AO137" s="439" t="str">
        <f>+'Rango indicadores'!H72</f>
        <v>Mayor o igual A:</v>
      </c>
      <c r="AP137" s="434">
        <f>+'Rango indicadores'!I72</f>
        <v>95</v>
      </c>
      <c r="AQ137" s="434" t="str">
        <f>+'Rango indicadores'!J72</f>
        <v>Desde (&gt;):</v>
      </c>
      <c r="AR137" s="434">
        <f>+'Rango indicadores'!K72</f>
        <v>80</v>
      </c>
      <c r="AS137" s="434" t="str">
        <f>+'Rango indicadores'!L72</f>
        <v>Hasta (&lt;):</v>
      </c>
      <c r="AT137" s="434">
        <f>+'Rango indicadores'!M72</f>
        <v>95</v>
      </c>
      <c r="AU137" s="434" t="str">
        <f>+'Rango indicadores'!N72</f>
        <v>Menor o Igual A:</v>
      </c>
      <c r="AV137" s="434">
        <f>+'Rango indicadores'!O72</f>
        <v>80</v>
      </c>
      <c r="AW137" s="523" t="s">
        <v>1176</v>
      </c>
      <c r="AX137" s="525"/>
      <c r="AY137" s="766">
        <f t="shared" si="245"/>
        <v>-6.5999999999999837E-2</v>
      </c>
      <c r="AZ137" s="525"/>
    </row>
    <row r="138" spans="2:53" ht="54.75" customHeight="1">
      <c r="B138" s="431">
        <f t="shared" si="249"/>
        <v>72</v>
      </c>
      <c r="C138" s="455" t="str">
        <f>+'Rango indicadores'!D73</f>
        <v>11-RI-04</v>
      </c>
      <c r="D138" s="455" t="str">
        <f>+'Rango indicadores'!E73</f>
        <v xml:space="preserve">Porcentaje de contratos en la modalidad de selección abreviada de subasta inversa, licitación pública y concurso de méritos elaborados en los tiempos óptimos </v>
      </c>
      <c r="E138" s="422">
        <f>+'Rango indicadores'!Q73</f>
        <v>0.8</v>
      </c>
      <c r="F138" s="464">
        <f>'1.Informe Seguimiento POA 2022'!O86</f>
        <v>0.8</v>
      </c>
      <c r="G138" s="464">
        <f>'1.Informe Seguimiento POA 2022'!O86</f>
        <v>0.8</v>
      </c>
      <c r="H138" s="524">
        <f>'1.Informe Seguimiento POA 2022'!P86</f>
        <v>0.8</v>
      </c>
      <c r="I138" s="790">
        <f>'1.Informe Seguimiento POA 2022'!P86</f>
        <v>0.8</v>
      </c>
      <c r="J138" s="790">
        <f t="shared" si="232"/>
        <v>0.8</v>
      </c>
      <c r="K138" s="449">
        <f t="shared" si="233"/>
        <v>1</v>
      </c>
      <c r="L138" s="449">
        <f t="shared" si="234"/>
        <v>1</v>
      </c>
      <c r="M138" s="435">
        <f>IF(AND(E138&gt;0,$J138&gt;0),J138/$E138,0)*0.25</f>
        <v>0.25</v>
      </c>
      <c r="N138" s="422">
        <f t="shared" si="246"/>
        <v>0.8</v>
      </c>
      <c r="O138" s="790">
        <f>+'1.Informe Seguimiento POA 2022'!Q86</f>
        <v>0.8</v>
      </c>
      <c r="P138" s="879">
        <f t="shared" ref="P138" si="252">IFERROR(AVERAGE(F138,O138),0)</f>
        <v>0.8</v>
      </c>
      <c r="Q138" s="790">
        <f>'1.Informe Seguimiento POA 2022'!R86</f>
        <v>0.76600000000000001</v>
      </c>
      <c r="R138" s="436">
        <f>IFERROR(AVERAGE('1.Informe Seguimiento POA 2022'!P86,'1.Informe Seguimiento POA 2022'!R86),0)</f>
        <v>0.78300000000000003</v>
      </c>
      <c r="S138" s="436">
        <f t="shared" si="250"/>
        <v>0.78300000000000003</v>
      </c>
      <c r="T138" s="449">
        <f t="shared" si="237"/>
        <v>0.95750000000000002</v>
      </c>
      <c r="U138" s="449">
        <f t="shared" si="238"/>
        <v>0.97875000000000001</v>
      </c>
      <c r="V138" s="435">
        <f>IF(AND(N138&gt;0,$S138&gt;0),S138/$N138,0)*0.5</f>
        <v>0.489375</v>
      </c>
      <c r="W138" s="422">
        <f t="shared" si="247"/>
        <v>0.8</v>
      </c>
      <c r="X138" s="464">
        <f>+'1.Informe Seguimiento POA 2022'!S86</f>
        <v>0.80000000000000016</v>
      </c>
      <c r="Y138" s="436">
        <f>IFERROR(AVERAGE('1.Informe Seguimiento POA 2022'!O86,'1.Informe Seguimiento POA 2022'!Q86,'1.Informe Seguimiento POA 2022'!S86),0)</f>
        <v>0.80000000000000016</v>
      </c>
      <c r="Z138" s="436">
        <f>+'1.Informe Seguimiento POA 2022'!T86</f>
        <v>0.8</v>
      </c>
      <c r="AA138" s="436">
        <f>IFERROR(AVERAGE('1.Informe Seguimiento POA 2022'!R86,'1.Informe Seguimiento POA 2022'!P86,'1.Informe Seguimiento POA 2022'!T86),0)</f>
        <v>0.78866666666666674</v>
      </c>
      <c r="AB138" s="436">
        <f t="shared" si="251"/>
        <v>0.78800000000000003</v>
      </c>
      <c r="AC138" s="449">
        <f t="shared" si="240"/>
        <v>0.99999999999999989</v>
      </c>
      <c r="AD138" s="449">
        <f t="shared" si="241"/>
        <v>0.98583333333333323</v>
      </c>
      <c r="AE138" s="435">
        <f>IF(AND(W138&gt;0,$AB138&gt;0),AB138/$W138,0)*0.75</f>
        <v>0.73875000000000002</v>
      </c>
      <c r="AF138" s="422">
        <f t="shared" si="248"/>
        <v>0.8</v>
      </c>
      <c r="AG138" s="422">
        <f>+'1.Informe Seguimiento POA 2022'!U86</f>
        <v>0.80000000000000016</v>
      </c>
      <c r="AH138" s="436">
        <f>IFERROR(AVERAGE('1.Informe Seguimiento POA 2022'!S86,'1.Informe Seguimiento POA 2022'!U86),0)</f>
        <v>0.80000000000000016</v>
      </c>
      <c r="AI138" s="422">
        <f>+'1.Informe Seguimiento POA 2022'!V86</f>
        <v>0.8</v>
      </c>
      <c r="AJ138" s="422">
        <f>+'11-GESTIÓN CONTRACTUAL'!AZ19</f>
        <v>0.79</v>
      </c>
      <c r="AK138" s="436">
        <f>+'11-GESTIÓN CONTRACTUAL'!AZ19</f>
        <v>0.79</v>
      </c>
      <c r="AL138" s="449">
        <f t="shared" si="243"/>
        <v>0.99999999999999989</v>
      </c>
      <c r="AM138" s="435">
        <f t="shared" si="244"/>
        <v>0.98749999999999982</v>
      </c>
      <c r="AN138" s="435">
        <f>IF(AND(AF138&gt;0,$AK138&gt;0),AK138/$AF138,0)</f>
        <v>0.98750000000000004</v>
      </c>
      <c r="AO138" s="439" t="str">
        <f>+'Rango indicadores'!H73</f>
        <v>Mayor o igual A:</v>
      </c>
      <c r="AP138" s="434">
        <f>+'Rango indicadores'!I73</f>
        <v>95</v>
      </c>
      <c r="AQ138" s="434" t="str">
        <f>+'Rango indicadores'!J73</f>
        <v>Desde (&gt;):</v>
      </c>
      <c r="AR138" s="434">
        <f>+'Rango indicadores'!K73</f>
        <v>80</v>
      </c>
      <c r="AS138" s="434" t="str">
        <f>+'Rango indicadores'!L73</f>
        <v>Hasta (&lt;):</v>
      </c>
      <c r="AT138" s="434">
        <f>+'Rango indicadores'!M73</f>
        <v>95</v>
      </c>
      <c r="AU138" s="434" t="str">
        <f>+'Rango indicadores'!N73</f>
        <v>Menor o Igual A:</v>
      </c>
      <c r="AV138" s="434">
        <f>+'Rango indicadores'!O73</f>
        <v>80</v>
      </c>
      <c r="AW138" s="898" t="s">
        <v>1183</v>
      </c>
      <c r="AX138" s="525"/>
      <c r="AY138" s="766">
        <f t="shared" si="245"/>
        <v>0</v>
      </c>
      <c r="AZ138" s="525"/>
    </row>
    <row r="139" spans="2:53" ht="15.6">
      <c r="C139" s="1378" t="s">
        <v>866</v>
      </c>
      <c r="D139" s="1379"/>
      <c r="E139" s="1379"/>
      <c r="F139" s="1379"/>
      <c r="G139" s="1379"/>
      <c r="H139" s="1379"/>
      <c r="I139" s="1379"/>
      <c r="J139" s="1379"/>
      <c r="K139" s="437">
        <f>IFERROR(AVERAGE(K135:K138),0)</f>
        <v>1.1018518518518519</v>
      </c>
      <c r="L139" s="437">
        <f>IFERROR(AVERAGE(L135:L138),0)</f>
        <v>1.1018518518518519</v>
      </c>
      <c r="M139" s="437">
        <f>IFERROR(AVERAGE(M135:M138),0)</f>
        <v>0.31874999999999998</v>
      </c>
      <c r="N139" s="880"/>
      <c r="O139" s="880"/>
      <c r="P139" s="880"/>
      <c r="Q139" s="880"/>
      <c r="R139" s="880"/>
      <c r="S139" s="880"/>
      <c r="T139" s="437">
        <f>IFERROR(AVERAGE(T135:T138),0)</f>
        <v>0.8949242424242424</v>
      </c>
      <c r="U139" s="437">
        <f>IFERROR(AVERAGE(U135:U138),0)</f>
        <v>1.0711961206896552</v>
      </c>
      <c r="V139" s="437">
        <f>IFERROR(AVERAGE(V135:V138),0)</f>
        <v>0.56132401315789471</v>
      </c>
      <c r="W139" s="880"/>
      <c r="X139" s="880"/>
      <c r="Y139" s="880"/>
      <c r="Z139" s="880"/>
      <c r="AA139" s="880"/>
      <c r="AB139" s="880"/>
      <c r="AC139" s="437">
        <f>IFERROR(AVERAGE(AC135:AC138),0)</f>
        <v>1.0330965909090908</v>
      </c>
      <c r="AD139" s="437">
        <f>IFERROR(AVERAGE(AD135:AD138),0)</f>
        <v>1.0594791666666665</v>
      </c>
      <c r="AE139" s="437">
        <f>IFERROR(AVERAGE(AE135:AE138),0)</f>
        <v>0.81530838815789475</v>
      </c>
      <c r="AF139" s="880"/>
      <c r="AG139" s="880"/>
      <c r="AH139" s="880"/>
      <c r="AI139" s="880"/>
      <c r="AJ139" s="880"/>
      <c r="AK139" s="881"/>
      <c r="AL139" s="437">
        <f>IFERROR(AVERAGE(AL135:AL138),0)</f>
        <v>1.2566666666666666</v>
      </c>
      <c r="AM139" s="437">
        <f>IFERROR(AVERAGE(AM135:AM138),0)</f>
        <v>1.0832072368421051</v>
      </c>
      <c r="AN139" s="437">
        <f>IFERROR(AVERAGE(AN135:AN138),0)</f>
        <v>1.0832072368421053</v>
      </c>
      <c r="AO139" s="444"/>
      <c r="AP139" s="444"/>
      <c r="AQ139" s="444"/>
      <c r="AR139" s="444"/>
      <c r="AS139" s="444"/>
      <c r="AT139" s="444"/>
      <c r="AU139" s="444"/>
      <c r="AV139" s="444"/>
      <c r="AW139" s="529"/>
      <c r="AX139" s="451"/>
      <c r="AY139" s="589"/>
      <c r="AZ139" s="451"/>
      <c r="BA139" s="451"/>
    </row>
    <row r="140" spans="2:53" s="427" customFormat="1" ht="23.4" customHeight="1" thickBot="1">
      <c r="D140" s="429"/>
      <c r="AW140" s="429"/>
      <c r="AY140" s="589"/>
      <c r="AZ140" s="413"/>
    </row>
    <row r="141" spans="2:53" s="427" customFormat="1" ht="16.2" thickBot="1">
      <c r="C141" s="430" t="s">
        <v>878</v>
      </c>
      <c r="D141" s="460"/>
      <c r="E141" s="1380" t="s">
        <v>1128</v>
      </c>
      <c r="F141" s="1381"/>
      <c r="G141" s="1381"/>
      <c r="H141" s="1381"/>
      <c r="I141" s="1381"/>
      <c r="J141" s="1381"/>
      <c r="K141" s="1381"/>
      <c r="L141" s="1381"/>
      <c r="M141" s="1382"/>
      <c r="N141" s="1383" t="s">
        <v>1129</v>
      </c>
      <c r="O141" s="1384"/>
      <c r="P141" s="1384"/>
      <c r="Q141" s="1384"/>
      <c r="R141" s="1384"/>
      <c r="S141" s="1384"/>
      <c r="T141" s="1384"/>
      <c r="U141" s="1384"/>
      <c r="V141" s="1385"/>
      <c r="W141" s="1386" t="s">
        <v>1130</v>
      </c>
      <c r="X141" s="1387"/>
      <c r="Y141" s="1387"/>
      <c r="Z141" s="1387"/>
      <c r="AA141" s="1387"/>
      <c r="AB141" s="1387"/>
      <c r="AC141" s="1387"/>
      <c r="AD141" s="1387"/>
      <c r="AE141" s="1388"/>
      <c r="AF141" s="1383" t="s">
        <v>1046</v>
      </c>
      <c r="AG141" s="1384"/>
      <c r="AH141" s="1384"/>
      <c r="AI141" s="1384"/>
      <c r="AJ141" s="1384"/>
      <c r="AK141" s="1384"/>
      <c r="AL141" s="1384"/>
      <c r="AM141" s="1384"/>
      <c r="AN141" s="1385"/>
      <c r="AW141" s="429"/>
      <c r="AY141" s="589"/>
      <c r="AZ141" s="413"/>
    </row>
    <row r="142" spans="2:53" ht="33" customHeight="1">
      <c r="C142" s="1393" t="str">
        <f>+$C$10</f>
        <v>Identificación del Indicador</v>
      </c>
      <c r="D142" s="1396" t="s">
        <v>861</v>
      </c>
      <c r="E142" s="1389" t="s">
        <v>862</v>
      </c>
      <c r="F142" s="1390"/>
      <c r="G142" s="1391"/>
      <c r="H142" s="1392" t="s">
        <v>1132</v>
      </c>
      <c r="I142" s="1394" t="s">
        <v>1136</v>
      </c>
      <c r="J142" s="1392" t="s">
        <v>863</v>
      </c>
      <c r="K142" s="1392" t="s">
        <v>857</v>
      </c>
      <c r="L142" s="1392"/>
      <c r="M142" s="1392"/>
      <c r="N142" s="1389" t="s">
        <v>862</v>
      </c>
      <c r="O142" s="1390"/>
      <c r="P142" s="1391"/>
      <c r="Q142" s="1392" t="s">
        <v>1141</v>
      </c>
      <c r="R142" s="1394" t="s">
        <v>1133</v>
      </c>
      <c r="S142" s="1392" t="s">
        <v>863</v>
      </c>
      <c r="T142" s="1392" t="s">
        <v>857</v>
      </c>
      <c r="U142" s="1392"/>
      <c r="V142" s="1392"/>
      <c r="W142" s="1389" t="s">
        <v>862</v>
      </c>
      <c r="X142" s="1390"/>
      <c r="Y142" s="1391"/>
      <c r="Z142" s="1392" t="s">
        <v>1142</v>
      </c>
      <c r="AA142" s="1394" t="s">
        <v>1138</v>
      </c>
      <c r="AB142" s="1392" t="s">
        <v>863</v>
      </c>
      <c r="AC142" s="1392" t="s">
        <v>857</v>
      </c>
      <c r="AD142" s="1392"/>
      <c r="AE142" s="1392"/>
      <c r="AF142" s="1389" t="s">
        <v>862</v>
      </c>
      <c r="AG142" s="1390"/>
      <c r="AH142" s="1391"/>
      <c r="AI142" s="1392" t="s">
        <v>1172</v>
      </c>
      <c r="AJ142" s="1394" t="s">
        <v>1173</v>
      </c>
      <c r="AK142" s="1392" t="s">
        <v>863</v>
      </c>
      <c r="AL142" s="1392" t="s">
        <v>857</v>
      </c>
      <c r="AM142" s="1392"/>
      <c r="AN142" s="1392"/>
      <c r="AO142" s="1398" t="s">
        <v>709</v>
      </c>
      <c r="AP142" s="1398"/>
      <c r="AQ142" s="1398"/>
      <c r="AR142" s="1398"/>
      <c r="AS142" s="1398"/>
      <c r="AT142" s="1398"/>
      <c r="AU142" s="1398"/>
      <c r="AV142" s="1398"/>
      <c r="AW142" s="1393" t="s">
        <v>882</v>
      </c>
      <c r="AY142" s="589"/>
    </row>
    <row r="143" spans="2:53" ht="75" customHeight="1">
      <c r="C143" s="1393"/>
      <c r="D143" s="1396"/>
      <c r="E143" s="1024" t="s">
        <v>1143</v>
      </c>
      <c r="F143" s="1024" t="str">
        <f>+E141</f>
        <v>Primer Trimestre</v>
      </c>
      <c r="G143" s="1025" t="s">
        <v>1135</v>
      </c>
      <c r="H143" s="1393"/>
      <c r="I143" s="1395"/>
      <c r="J143" s="1393"/>
      <c r="K143" s="1024" t="str">
        <f>+$D$6</f>
        <v>Cuarto Trimestre</v>
      </c>
      <c r="L143" s="1025" t="str">
        <f>+G143</f>
        <v>Acumulado
Corte 
31/03/2022</v>
      </c>
      <c r="M143" s="1026" t="s">
        <v>754</v>
      </c>
      <c r="N143" s="1024" t="s">
        <v>1143</v>
      </c>
      <c r="O143" s="1024" t="str">
        <f>+N141</f>
        <v>Segundo Trimestre</v>
      </c>
      <c r="P143" s="1025" t="s">
        <v>1134</v>
      </c>
      <c r="Q143" s="1393"/>
      <c r="R143" s="1395"/>
      <c r="S143" s="1393"/>
      <c r="T143" s="1024" t="str">
        <f>+O143</f>
        <v>Segundo Trimestre</v>
      </c>
      <c r="U143" s="1025" t="str">
        <f>+P143</f>
        <v>Acumulado Corte 
30/06/2022</v>
      </c>
      <c r="V143" s="1026" t="s">
        <v>754</v>
      </c>
      <c r="W143" s="1024" t="s">
        <v>1143</v>
      </c>
      <c r="X143" s="1024" t="str">
        <f>+W141</f>
        <v>Tercer Trimestre</v>
      </c>
      <c r="Y143" s="1025" t="s">
        <v>1137</v>
      </c>
      <c r="Z143" s="1393"/>
      <c r="AA143" s="1395"/>
      <c r="AB143" s="1393"/>
      <c r="AC143" s="1024" t="str">
        <f>+X143</f>
        <v>Tercer Trimestre</v>
      </c>
      <c r="AD143" s="1025" t="str">
        <f>+Y143</f>
        <v>Acumulado Corte 
30/09/2022</v>
      </c>
      <c r="AE143" s="1026" t="s">
        <v>754</v>
      </c>
      <c r="AF143" s="1024" t="s">
        <v>1143</v>
      </c>
      <c r="AG143" s="1024" t="s">
        <v>1171</v>
      </c>
      <c r="AH143" s="1025" t="s">
        <v>1139</v>
      </c>
      <c r="AI143" s="1393"/>
      <c r="AJ143" s="1395"/>
      <c r="AK143" s="1393"/>
      <c r="AL143" s="1024" t="str">
        <f>+AG143</f>
        <v>Cuarto Trimestre
31-12-2022</v>
      </c>
      <c r="AM143" s="1025" t="str">
        <f>+AH143</f>
        <v>Acumulado Corte 
31/12/2022</v>
      </c>
      <c r="AN143" s="1026" t="s">
        <v>754</v>
      </c>
      <c r="AO143" s="1097" t="s">
        <v>864</v>
      </c>
      <c r="AP143" s="1098"/>
      <c r="AQ143" s="1099" t="s">
        <v>865</v>
      </c>
      <c r="AR143" s="1100"/>
      <c r="AS143" s="1100"/>
      <c r="AT143" s="1101"/>
      <c r="AU143" s="1102" t="s">
        <v>717</v>
      </c>
      <c r="AV143" s="1103"/>
      <c r="AW143" s="1393"/>
      <c r="AY143" s="589"/>
    </row>
    <row r="144" spans="2:53" ht="69" customHeight="1">
      <c r="B144" s="431">
        <f>+B138+1</f>
        <v>73</v>
      </c>
      <c r="C144" s="432" t="str">
        <f>+'Rango indicadores'!D74</f>
        <v>12-RI-01</v>
      </c>
      <c r="D144" s="432" t="str">
        <f>+'Rango indicadores'!E74</f>
        <v>Porcentaje de Comunicaciones oficiales con reparto realizado dentro de los 3 días hábiles desde su radicación</v>
      </c>
      <c r="E144" s="436">
        <f>+'Rango indicadores'!Q74</f>
        <v>0.95</v>
      </c>
      <c r="F144" s="464">
        <f>'1.Informe Seguimiento POA 2022'!O75</f>
        <v>0.94999999999999984</v>
      </c>
      <c r="G144" s="464">
        <f>'1.Informe Seguimiento POA 2022'!O75</f>
        <v>0.94999999999999984</v>
      </c>
      <c r="H144" s="790">
        <f>'1.Informe Seguimiento POA 2022'!P75</f>
        <v>0.98523333333333341</v>
      </c>
      <c r="I144" s="790">
        <f>'1.Informe Seguimiento POA 2022'!P75</f>
        <v>0.98523333333333341</v>
      </c>
      <c r="J144" s="790">
        <f t="shared" ref="J144:J147" si="253">I144</f>
        <v>0.98523333333333341</v>
      </c>
      <c r="K144" s="449">
        <f t="shared" ref="K144:K147" si="254">IF(AND(F144&gt;0),H144/F144,"No programado")</f>
        <v>1.0370877192982459</v>
      </c>
      <c r="L144" s="449">
        <f t="shared" ref="L144:L147" si="255">IF(AND(G144&gt;0),I144/G144,"No programado")</f>
        <v>1.0370877192982459</v>
      </c>
      <c r="M144" s="435">
        <f>IF(AND(E144&gt;0,$J144&gt;0),J144/$E144,0)*0.25</f>
        <v>0.25927192982456143</v>
      </c>
      <c r="N144" s="436">
        <f>+E144</f>
        <v>0.95</v>
      </c>
      <c r="O144" s="790">
        <f>+'1.Informe Seguimiento POA 2022'!Q75</f>
        <v>0.94999999999999984</v>
      </c>
      <c r="P144" s="879">
        <f>IFERROR(AVERAGE(F144,O144),0)</f>
        <v>0.94999999999999984</v>
      </c>
      <c r="Q144" s="790">
        <f>'1.Informe Seguimiento POA 2022'!R75</f>
        <v>0.99406666666666654</v>
      </c>
      <c r="R144" s="436">
        <f>IFERROR(AVERAGE('1.Informe Seguimiento POA 2022'!P75,'1.Informe Seguimiento POA 2022'!R75),0)</f>
        <v>0.98964999999999992</v>
      </c>
      <c r="S144" s="436">
        <f>IFERROR(IF(OR($N144="",$N144=0),0,ROUNDDOWN(AVERAGE($H144,Q144),3)),0)</f>
        <v>0.98899999999999999</v>
      </c>
      <c r="T144" s="449">
        <f t="shared" ref="T144:T147" si="256">IF(AND(O144&gt;0),Q144/O144,"No programado")</f>
        <v>1.0463859649122806</v>
      </c>
      <c r="U144" s="449">
        <f t="shared" ref="U144:U147" si="257">IF(AND(P144&gt;0),R144/P144,"No programado")</f>
        <v>1.0417368421052633</v>
      </c>
      <c r="V144" s="435">
        <f>IF(AND(N144&gt;0,$S144&gt;0),S144/$N144,0)*0.5</f>
        <v>0.52052631578947373</v>
      </c>
      <c r="W144" s="436">
        <f>+N144</f>
        <v>0.95</v>
      </c>
      <c r="X144" s="464">
        <f>+'1.Informe Seguimiento POA 2022'!S75</f>
        <v>0.94999999999999984</v>
      </c>
      <c r="Y144" s="436">
        <f>IFERROR(AVERAGE('1.Informe Seguimiento POA 2022'!O75,'1.Informe Seguimiento POA 2022'!Q75,'1.Informe Seguimiento POA 2022'!S75),0)</f>
        <v>0.94999999999999984</v>
      </c>
      <c r="Z144" s="436">
        <f>+'1.Informe Seguimiento POA 2022'!T75</f>
        <v>0.97889999999999999</v>
      </c>
      <c r="AA144" s="436">
        <f>IFERROR(AVERAGE('1.Informe Seguimiento POA 2022'!R75,'1.Informe Seguimiento POA 2022'!P75,'1.Informe Seguimiento POA 2022'!T75),0)</f>
        <v>0.98606666666666654</v>
      </c>
      <c r="AB144" s="436">
        <f>IFERROR(IF(OR($W144="",$W144=0),0,ROUNDDOWN(AVERAGE($H144,Q144,Z144),3)),0)</f>
        <v>0.98599999999999999</v>
      </c>
      <c r="AC144" s="449">
        <f t="shared" ref="AC144:AC147" si="258">IF(AND(X144&gt;0),Z144/X144,"No programado")</f>
        <v>1.0304210526315791</v>
      </c>
      <c r="AD144" s="449">
        <f t="shared" ref="AD144:AD147" si="259">IF(AND(Y144&gt;0),AA144/Y144,"No programado")</f>
        <v>1.0379649122807018</v>
      </c>
      <c r="AE144" s="435">
        <f>IF(AND(W144&gt;0,$AB144&gt;0),AB144/$W144,0)*0.75</f>
        <v>0.7784210526315789</v>
      </c>
      <c r="AF144" s="436">
        <f>+W144</f>
        <v>0.95</v>
      </c>
      <c r="AG144" s="436">
        <f>+'1.Informe Seguimiento POA 2022'!U75</f>
        <v>0.94999999999999984</v>
      </c>
      <c r="AH144" s="436">
        <f>IFERROR(AVERAGE('1.Informe Seguimiento POA 2022'!O75,'1.Informe Seguimiento POA 2022'!Q75,'1.Informe Seguimiento POA 2022'!S75,'1.Informe Seguimiento POA 2022'!U75),0)</f>
        <v>0.94999999999999984</v>
      </c>
      <c r="AI144" s="767">
        <f>+'1.Informe Seguimiento POA 2022'!V75</f>
        <v>0.98053333333333337</v>
      </c>
      <c r="AJ144" s="436">
        <f>+'12-GESTIÓN DOCUMENTAL'!AZ16</f>
        <v>0.98460000000000003</v>
      </c>
      <c r="AK144" s="436">
        <f>+'12-GESTIÓN DOCUMENTAL'!AZ16</f>
        <v>0.98460000000000003</v>
      </c>
      <c r="AL144" s="449">
        <f t="shared" ref="AL144:AL147" si="260">IF(AND(AG144&gt;0),AI144/AG144,"No programado")</f>
        <v>1.0321403508771931</v>
      </c>
      <c r="AM144" s="449">
        <f t="shared" ref="AM144:AM147" si="261">IF(AND(AH144&gt;0),AJ144/AH144,"No programado")</f>
        <v>1.0364210526315791</v>
      </c>
      <c r="AN144" s="435">
        <f>IF(AND(AF144&gt;0,$AK144&gt;0),AK144/$AF144,0)</f>
        <v>1.0364210526315791</v>
      </c>
      <c r="AO144" s="439" t="str">
        <f>+'Rango indicadores'!H74</f>
        <v>Mayor A:</v>
      </c>
      <c r="AP144" s="434">
        <f>+'Rango indicadores'!I74</f>
        <v>95</v>
      </c>
      <c r="AQ144" s="434" t="str">
        <f>+'Rango indicadores'!J74</f>
        <v>Desde (&gt;=):</v>
      </c>
      <c r="AR144" s="434">
        <f>+'Rango indicadores'!K74</f>
        <v>90</v>
      </c>
      <c r="AS144" s="434" t="str">
        <f>+'Rango indicadores'!L74</f>
        <v>Hasta (&lt;=):</v>
      </c>
      <c r="AT144" s="434">
        <f>+'Rango indicadores'!M74</f>
        <v>95</v>
      </c>
      <c r="AU144" s="434" t="str">
        <f>+'Rango indicadores'!N74</f>
        <v>Menor A:</v>
      </c>
      <c r="AV144" s="434">
        <f>+'Rango indicadores'!O74</f>
        <v>90</v>
      </c>
      <c r="AW144" s="523" t="s">
        <v>1176</v>
      </c>
      <c r="AX144" s="525"/>
      <c r="AY144" s="766">
        <f t="shared" ref="AY144:AY146" si="262">+X144-Z144</f>
        <v>-2.8900000000000148E-2</v>
      </c>
      <c r="AZ144" s="525"/>
      <c r="BA144" s="413">
        <f>+AY144*100</f>
        <v>-2.8900000000000148</v>
      </c>
    </row>
    <row r="145" spans="2:53" ht="69" customHeight="1">
      <c r="B145" s="431">
        <f>B144+1</f>
        <v>74</v>
      </c>
      <c r="C145" s="432" t="str">
        <f>+'Rango indicadores'!D75</f>
        <v>12-RI-02</v>
      </c>
      <c r="D145" s="432" t="str">
        <f>+'Rango indicadores'!E75</f>
        <v>Porcentaje de documentación incorporada en el archivo central durante la vigencia.</v>
      </c>
      <c r="E145" s="436">
        <f>+'Rango indicadores'!Q75</f>
        <v>0.8</v>
      </c>
      <c r="F145" s="464">
        <f>'1.Informe Seguimiento POA 2022'!O76</f>
        <v>0.80000000000000016</v>
      </c>
      <c r="G145" s="464">
        <f>'1.Informe Seguimiento POA 2022'!O76</f>
        <v>0.80000000000000016</v>
      </c>
      <c r="H145" s="790">
        <f>'1.Informe Seguimiento POA 2022'!P76</f>
        <v>0.8753333333333333</v>
      </c>
      <c r="I145" s="790">
        <f>'1.Informe Seguimiento POA 2022'!P76</f>
        <v>0.8753333333333333</v>
      </c>
      <c r="J145" s="790">
        <f t="shared" si="253"/>
        <v>0.8753333333333333</v>
      </c>
      <c r="K145" s="449">
        <f t="shared" si="254"/>
        <v>1.0941666666666665</v>
      </c>
      <c r="L145" s="449">
        <f t="shared" si="255"/>
        <v>1.0941666666666665</v>
      </c>
      <c r="M145" s="435">
        <f>IF(AND(E145&gt;0,$J145&gt;0),J145/$E145,0)*0.25</f>
        <v>0.27354166666666663</v>
      </c>
      <c r="N145" s="436">
        <f t="shared" ref="N145:N147" si="263">+E145</f>
        <v>0.8</v>
      </c>
      <c r="O145" s="790">
        <f>+'1.Informe Seguimiento POA 2022'!Q76</f>
        <v>0.80000000000000016</v>
      </c>
      <c r="P145" s="879">
        <f>IFERROR(AVERAGE(F145,O145),0)</f>
        <v>0.80000000000000016</v>
      </c>
      <c r="Q145" s="790">
        <f>'1.Informe Seguimiento POA 2022'!R76</f>
        <v>0.88233333333333341</v>
      </c>
      <c r="R145" s="436">
        <f>IFERROR(AVERAGE('1.Informe Seguimiento POA 2022'!P76,'1.Informe Seguimiento POA 2022'!R76),0)</f>
        <v>0.87883333333333336</v>
      </c>
      <c r="S145" s="436">
        <f>IFERROR(IF(OR($N145="",$N145=0),0,ROUNDDOWN(AVERAGE($H145,Q145),3)),0)</f>
        <v>0.878</v>
      </c>
      <c r="T145" s="449">
        <f t="shared" si="256"/>
        <v>1.1029166666666665</v>
      </c>
      <c r="U145" s="449">
        <f t="shared" si="257"/>
        <v>1.0985416666666665</v>
      </c>
      <c r="V145" s="435">
        <f>IF(AND(N145&gt;0,$S145&gt;0),S145/$N145,0)*0.5</f>
        <v>0.54874999999999996</v>
      </c>
      <c r="W145" s="436">
        <f t="shared" ref="W145:W147" si="264">+N145</f>
        <v>0.8</v>
      </c>
      <c r="X145" s="464">
        <f>+'1.Informe Seguimiento POA 2022'!S76</f>
        <v>0.80000000000000016</v>
      </c>
      <c r="Y145" s="436">
        <f>IFERROR(AVERAGE('1.Informe Seguimiento POA 2022'!O76,'1.Informe Seguimiento POA 2022'!Q76,'1.Informe Seguimiento POA 2022'!S76),0)</f>
        <v>0.80000000000000016</v>
      </c>
      <c r="Z145" s="436">
        <f>+'1.Informe Seguimiento POA 2022'!T76</f>
        <v>0.80166666666666675</v>
      </c>
      <c r="AA145" s="436">
        <f>IFERROR(AVERAGE('1.Informe Seguimiento POA 2022'!R76,'1.Informe Seguimiento POA 2022'!P76,'1.Informe Seguimiento POA 2022'!T76),0)</f>
        <v>0.85311111111111115</v>
      </c>
      <c r="AB145" s="436">
        <f>IFERROR(IF(OR($W145="",$W145=0),0,ROUNDDOWN(AVERAGE($H145,Q145,Z145),3)),0)</f>
        <v>0.85299999999999998</v>
      </c>
      <c r="AC145" s="449">
        <f t="shared" si="258"/>
        <v>1.0020833333333332</v>
      </c>
      <c r="AD145" s="449">
        <f t="shared" si="259"/>
        <v>1.0663888888888888</v>
      </c>
      <c r="AE145" s="435">
        <f>IF(AND(W145&gt;0,$AB145&gt;0),AB145/$W145,0)*0.75</f>
        <v>0.79968749999999988</v>
      </c>
      <c r="AF145" s="436">
        <f t="shared" ref="AF145:AF147" si="265">+W145</f>
        <v>0.8</v>
      </c>
      <c r="AG145" s="436">
        <f>+'1.Informe Seguimiento POA 2022'!U76</f>
        <v>0.80000000000000016</v>
      </c>
      <c r="AH145" s="436">
        <f>IFERROR(AVERAGE('1.Informe Seguimiento POA 2022'!O76,'1.Informe Seguimiento POA 2022'!Q76,'1.Informe Seguimiento POA 2022'!S76,'1.Informe Seguimiento POA 2022'!U76),0)</f>
        <v>0.80000000000000016</v>
      </c>
      <c r="AI145" s="767">
        <f>+'1.Informe Seguimiento POA 2022'!V76</f>
        <v>0.84633333333333338</v>
      </c>
      <c r="AJ145" s="436">
        <f>+'12-GESTIÓN DOCUMENTAL'!AZ17</f>
        <v>0.85099999999999998</v>
      </c>
      <c r="AK145" s="436">
        <f>+'12-GESTIÓN DOCUMENTAL'!AZ17</f>
        <v>0.85099999999999998</v>
      </c>
      <c r="AL145" s="449">
        <f t="shared" si="260"/>
        <v>1.0579166666666666</v>
      </c>
      <c r="AM145" s="449">
        <f t="shared" si="261"/>
        <v>1.0637499999999998</v>
      </c>
      <c r="AN145" s="435">
        <f>IF(AND(AF145&gt;0,$AK145&gt;0),AK145/$AF145,0)</f>
        <v>1.06375</v>
      </c>
      <c r="AO145" s="439" t="str">
        <f>+'Rango indicadores'!H75</f>
        <v>Mayor A:</v>
      </c>
      <c r="AP145" s="434">
        <f>+'Rango indicadores'!I75</f>
        <v>100</v>
      </c>
      <c r="AQ145" s="434" t="str">
        <f>+'Rango indicadores'!J75</f>
        <v>Desde (&gt;=):</v>
      </c>
      <c r="AR145" s="434">
        <f>+'Rango indicadores'!K75</f>
        <v>93</v>
      </c>
      <c r="AS145" s="434" t="str">
        <f>+'Rango indicadores'!L75</f>
        <v>Hasta (&lt;=):</v>
      </c>
      <c r="AT145" s="434">
        <f>+'Rango indicadores'!M75</f>
        <v>100</v>
      </c>
      <c r="AU145" s="434" t="str">
        <f>+'Rango indicadores'!N75</f>
        <v>Menor A:</v>
      </c>
      <c r="AV145" s="434">
        <f>+'Rango indicadores'!O75</f>
        <v>93</v>
      </c>
      <c r="AW145" s="523" t="s">
        <v>1176</v>
      </c>
      <c r="AX145" s="525"/>
      <c r="AY145" s="937">
        <f t="shared" si="262"/>
        <v>-1.6666666666665941E-3</v>
      </c>
      <c r="AZ145" s="525"/>
    </row>
    <row r="146" spans="2:53" ht="69" customHeight="1">
      <c r="B146" s="431">
        <f>B145+1</f>
        <v>75</v>
      </c>
      <c r="C146" s="432" t="str">
        <f>+'Rango indicadores'!D76</f>
        <v>12-RI-03</v>
      </c>
      <c r="D146" s="432" t="str">
        <f>+'Rango indicadores'!E76</f>
        <v>Cantidad de actividades realizadas por año para el diseño, actualización o ajuste de los instrumentos archivísticos establecidos por norma</v>
      </c>
      <c r="E146" s="446">
        <f>+'Rango indicadores'!Q76</f>
        <v>25</v>
      </c>
      <c r="F146" s="446">
        <f>'1.Informe Seguimiento POA 2022'!O77</f>
        <v>5</v>
      </c>
      <c r="G146" s="446">
        <f>'1.Informe Seguimiento POA 2022'!O77</f>
        <v>5</v>
      </c>
      <c r="H146" s="446">
        <f>'1.Informe Seguimiento POA 2022'!P77</f>
        <v>6</v>
      </c>
      <c r="I146" s="446">
        <f>'1.Informe Seguimiento POA 2022'!P77</f>
        <v>6</v>
      </c>
      <c r="J146" s="446">
        <f t="shared" si="253"/>
        <v>6</v>
      </c>
      <c r="K146" s="449">
        <f t="shared" si="254"/>
        <v>1.2</v>
      </c>
      <c r="L146" s="449">
        <f t="shared" si="255"/>
        <v>1.2</v>
      </c>
      <c r="M146" s="435">
        <f>IF(AND(E146&gt;0,$J146&gt;0),J146/$E146,0)</f>
        <v>0.24</v>
      </c>
      <c r="N146" s="446">
        <f t="shared" si="263"/>
        <v>25</v>
      </c>
      <c r="O146" s="446">
        <f>+'1.Informe Seguimiento POA 2022'!Q77</f>
        <v>7</v>
      </c>
      <c r="P146" s="446">
        <f>+'1.Informe Seguimiento POA 2022'!O77+'1.Informe Seguimiento POA 2022'!Q77</f>
        <v>12</v>
      </c>
      <c r="Q146" s="446">
        <f>+'1.Informe Seguimiento POA 2022'!R77</f>
        <v>7.75</v>
      </c>
      <c r="R146" s="446">
        <f>+'1.Informe Seguimiento POA 2022'!P77+'1.Informe Seguimiento POA 2022'!R77</f>
        <v>13.75</v>
      </c>
      <c r="S146" s="446">
        <f t="shared" ref="S146" si="266">H146+Q146</f>
        <v>13.75</v>
      </c>
      <c r="T146" s="449">
        <f t="shared" si="256"/>
        <v>1.1071428571428572</v>
      </c>
      <c r="U146" s="449">
        <f t="shared" si="257"/>
        <v>1.1458333333333333</v>
      </c>
      <c r="V146" s="435">
        <f>IF(AND(N146&gt;0,$S146&gt;0),S146/$N146,0)</f>
        <v>0.55000000000000004</v>
      </c>
      <c r="W146" s="446">
        <f t="shared" si="264"/>
        <v>25</v>
      </c>
      <c r="X146" s="446">
        <f>+'1.Informe Seguimiento POA 2022'!S77</f>
        <v>7</v>
      </c>
      <c r="Y146" s="446">
        <f>+'1.Informe Seguimiento POA 2022'!O77+'1.Informe Seguimiento POA 2022'!Q77+'1.Informe Seguimiento POA 2022'!S77</f>
        <v>19</v>
      </c>
      <c r="Z146" s="446">
        <f>+'1.Informe Seguimiento POA 2022'!T77</f>
        <v>5.6</v>
      </c>
      <c r="AA146" s="446">
        <f>+'1.Informe Seguimiento POA 2022'!R77+'1.Informe Seguimiento POA 2022'!T77+'1.Informe Seguimiento POA 2022'!P77</f>
        <v>19.350000000000001</v>
      </c>
      <c r="AB146" s="446">
        <f t="shared" ref="AB146" si="267">H146+Q146+Z146</f>
        <v>19.350000000000001</v>
      </c>
      <c r="AC146" s="449">
        <f t="shared" si="258"/>
        <v>0.79999999999999993</v>
      </c>
      <c r="AD146" s="449">
        <f t="shared" si="259"/>
        <v>1.0184210526315791</v>
      </c>
      <c r="AE146" s="435">
        <f>IF(AND(W146&gt;0,$AB146&gt;0),AB146/$W146,0)</f>
        <v>0.77400000000000002</v>
      </c>
      <c r="AF146" s="446">
        <f t="shared" si="265"/>
        <v>25</v>
      </c>
      <c r="AG146" s="446">
        <f>+'1.Informe Seguimiento POA 2022'!U77</f>
        <v>6</v>
      </c>
      <c r="AH146" s="446">
        <f>+'1.Informe Seguimiento POA 2022'!O77+'1.Informe Seguimiento POA 2022'!Q77+'1.Informe Seguimiento POA 2022'!S77+'1.Informe Seguimiento POA 2022'!U77</f>
        <v>25</v>
      </c>
      <c r="AI146" s="446">
        <f>+'1.Informe Seguimiento POA 2022'!V77</f>
        <v>5.5</v>
      </c>
      <c r="AJ146" s="472">
        <f>+'1.Informe Seguimiento POA 2022'!P77+'1.Informe Seguimiento POA 2022'!R77+'1.Informe Seguimiento POA 2022'!T77+'1.Informe Seguimiento POA 2022'!V77</f>
        <v>24.85</v>
      </c>
      <c r="AK146" s="472">
        <f t="shared" ref="AK146:AK147" si="268">H146+Q146+Z146+AI146</f>
        <v>24.85</v>
      </c>
      <c r="AL146" s="449">
        <f t="shared" si="260"/>
        <v>0.91666666666666663</v>
      </c>
      <c r="AM146" s="435">
        <f t="shared" si="261"/>
        <v>0.99400000000000011</v>
      </c>
      <c r="AN146" s="435">
        <f>IF(AND(AF146&gt;0,$AK146&gt;0),AK146/$AF146,0)</f>
        <v>0.99400000000000011</v>
      </c>
      <c r="AO146" s="439" t="str">
        <f>+'Rango indicadores'!H76</f>
        <v>Mayor o igual A:</v>
      </c>
      <c r="AP146" s="434">
        <f>+'Rango indicadores'!I76</f>
        <v>100</v>
      </c>
      <c r="AQ146" s="434" t="str">
        <f>+'Rango indicadores'!J76</f>
        <v>Desde (&gt;):</v>
      </c>
      <c r="AR146" s="434">
        <f>+'Rango indicadores'!K76</f>
        <v>80</v>
      </c>
      <c r="AS146" s="434" t="str">
        <f>+'Rango indicadores'!L76</f>
        <v>Hasta (&lt;):</v>
      </c>
      <c r="AT146" s="434">
        <f>+'Rango indicadores'!M76</f>
        <v>100</v>
      </c>
      <c r="AU146" s="434" t="str">
        <f>+'Rango indicadores'!N76</f>
        <v>Menor o Igual A:</v>
      </c>
      <c r="AV146" s="434">
        <f>+'Rango indicadores'!O76</f>
        <v>80</v>
      </c>
      <c r="AW146" s="898" t="s">
        <v>1184</v>
      </c>
      <c r="AX146" s="527"/>
      <c r="AY146" s="589">
        <f t="shared" si="262"/>
        <v>1.4000000000000004</v>
      </c>
      <c r="AZ146" s="527"/>
    </row>
    <row r="147" spans="2:53" ht="69" customHeight="1">
      <c r="B147" s="431">
        <f>B146+1</f>
        <v>76</v>
      </c>
      <c r="C147" s="432" t="str">
        <f>+'Rango indicadores'!D77</f>
        <v>12-RI-04</v>
      </c>
      <c r="D147" s="432" t="str">
        <f>+'Rango indicadores'!E77</f>
        <v>Cantidad de actividades realizadas por año para implementación de los instrumentos archivísticos establecidos por norma, y de herramientas de apoyo a la gestión documental.</v>
      </c>
      <c r="E147" s="446">
        <f>+'Rango indicadores'!Q77</f>
        <v>25</v>
      </c>
      <c r="F147" s="446">
        <f>'1.Informe Seguimiento POA 2022'!O78</f>
        <v>5</v>
      </c>
      <c r="G147" s="446">
        <f>'1.Informe Seguimiento POA 2022'!O78</f>
        <v>5</v>
      </c>
      <c r="H147" s="446">
        <f>'1.Informe Seguimiento POA 2022'!P78</f>
        <v>5</v>
      </c>
      <c r="I147" s="446">
        <f>'1.Informe Seguimiento POA 2022'!P78</f>
        <v>5</v>
      </c>
      <c r="J147" s="446">
        <f t="shared" si="253"/>
        <v>5</v>
      </c>
      <c r="K147" s="449">
        <f t="shared" si="254"/>
        <v>1</v>
      </c>
      <c r="L147" s="449">
        <f t="shared" si="255"/>
        <v>1</v>
      </c>
      <c r="M147" s="435">
        <f>IF(AND(E147&gt;0,$J147&gt;0),J147/$E147,0)</f>
        <v>0.2</v>
      </c>
      <c r="N147" s="446">
        <f t="shared" si="263"/>
        <v>25</v>
      </c>
      <c r="O147" s="446">
        <f>+'1.Informe Seguimiento POA 2022'!Q78</f>
        <v>7</v>
      </c>
      <c r="P147" s="446">
        <f>+'1.Informe Seguimiento POA 2022'!O78+'1.Informe Seguimiento POA 2022'!Q78</f>
        <v>12</v>
      </c>
      <c r="Q147" s="446">
        <f>+'1.Informe Seguimiento POA 2022'!R78</f>
        <v>7</v>
      </c>
      <c r="R147" s="446">
        <f>+'1.Informe Seguimiento POA 2022'!P78+'1.Informe Seguimiento POA 2022'!R78</f>
        <v>12</v>
      </c>
      <c r="S147" s="446">
        <f t="shared" ref="S147" si="269">H147+Q147</f>
        <v>12</v>
      </c>
      <c r="T147" s="449">
        <f t="shared" si="256"/>
        <v>1</v>
      </c>
      <c r="U147" s="449">
        <f t="shared" si="257"/>
        <v>1</v>
      </c>
      <c r="V147" s="435">
        <f>IF(AND(N147&gt;0,$S147&gt;0),S147/$N147,0)</f>
        <v>0.48</v>
      </c>
      <c r="W147" s="446">
        <f t="shared" si="264"/>
        <v>25</v>
      </c>
      <c r="X147" s="446">
        <f>+'1.Informe Seguimiento POA 2022'!S78</f>
        <v>7</v>
      </c>
      <c r="Y147" s="446">
        <f>+'1.Informe Seguimiento POA 2022'!O78+'1.Informe Seguimiento POA 2022'!Q78+'1.Informe Seguimiento POA 2022'!S78</f>
        <v>19</v>
      </c>
      <c r="Z147" s="446">
        <f>+'1.Informe Seguimiento POA 2022'!T78</f>
        <v>7.35</v>
      </c>
      <c r="AA147" s="446">
        <f>+'1.Informe Seguimiento POA 2022'!R78+'1.Informe Seguimiento POA 2022'!T78+'1.Informe Seguimiento POA 2022'!P78</f>
        <v>19.350000000000001</v>
      </c>
      <c r="AB147" s="446">
        <f t="shared" ref="AB147" si="270">H147+Q147+Z147</f>
        <v>19.350000000000001</v>
      </c>
      <c r="AC147" s="449">
        <f t="shared" si="258"/>
        <v>1.05</v>
      </c>
      <c r="AD147" s="449">
        <f t="shared" si="259"/>
        <v>1.0184210526315791</v>
      </c>
      <c r="AE147" s="435">
        <f>IF(AND(W147&gt;0,$AB147&gt;0),AB147/$W147,0)</f>
        <v>0.77400000000000002</v>
      </c>
      <c r="AF147" s="446">
        <f t="shared" si="265"/>
        <v>25</v>
      </c>
      <c r="AG147" s="446">
        <f>+'1.Informe Seguimiento POA 2022'!U78</f>
        <v>6</v>
      </c>
      <c r="AH147" s="446">
        <f>+'1.Informe Seguimiento POA 2022'!O78+'1.Informe Seguimiento POA 2022'!Q78+'1.Informe Seguimiento POA 2022'!S78+'1.Informe Seguimiento POA 2022'!U78</f>
        <v>25</v>
      </c>
      <c r="AI147" s="446">
        <f>+'1.Informe Seguimiento POA 2022'!V78</f>
        <v>6.25</v>
      </c>
      <c r="AJ147" s="472">
        <f>+'1.Informe Seguimiento POA 2022'!P78+'1.Informe Seguimiento POA 2022'!R78+'1.Informe Seguimiento POA 2022'!T78+'1.Informe Seguimiento POA 2022'!V78</f>
        <v>25.6</v>
      </c>
      <c r="AK147" s="472">
        <f t="shared" si="268"/>
        <v>25.6</v>
      </c>
      <c r="AL147" s="449">
        <f t="shared" si="260"/>
        <v>1.0416666666666667</v>
      </c>
      <c r="AM147" s="449">
        <f t="shared" si="261"/>
        <v>1.024</v>
      </c>
      <c r="AN147" s="435">
        <f>IF(AND(AF147&gt;0,$AK147&gt;0),AK147/$AF147,0)</f>
        <v>1.024</v>
      </c>
      <c r="AO147" s="439" t="str">
        <f>+'Rango indicadores'!H77</f>
        <v>Mayor o igual A:</v>
      </c>
      <c r="AP147" s="434">
        <f>+'Rango indicadores'!I77</f>
        <v>100</v>
      </c>
      <c r="AQ147" s="434" t="str">
        <f>+'Rango indicadores'!J77</f>
        <v>Desde (&gt;):</v>
      </c>
      <c r="AR147" s="434">
        <f>+'Rango indicadores'!K77</f>
        <v>80</v>
      </c>
      <c r="AS147" s="434" t="str">
        <f>+'Rango indicadores'!L77</f>
        <v>Hasta (&lt;):</v>
      </c>
      <c r="AT147" s="434">
        <f>+'Rango indicadores'!M77</f>
        <v>100</v>
      </c>
      <c r="AU147" s="434" t="str">
        <f>+'Rango indicadores'!N77</f>
        <v>Menor o Igual A:</v>
      </c>
      <c r="AV147" s="434">
        <f>+'Rango indicadores'!O77</f>
        <v>80</v>
      </c>
      <c r="AW147" s="523" t="s">
        <v>1176</v>
      </c>
      <c r="AX147" s="527"/>
      <c r="AY147" s="589">
        <f>+X147-Z147</f>
        <v>-0.34999999999999964</v>
      </c>
      <c r="AZ147" s="527"/>
      <c r="BA147" s="453"/>
    </row>
    <row r="148" spans="2:53" ht="15.6">
      <c r="C148" s="1378" t="s">
        <v>866</v>
      </c>
      <c r="D148" s="1379"/>
      <c r="E148" s="1379"/>
      <c r="F148" s="1379"/>
      <c r="G148" s="1379"/>
      <c r="H148" s="1379"/>
      <c r="I148" s="1379"/>
      <c r="J148" s="1379"/>
      <c r="K148" s="437">
        <f>IFERROR(AVERAGE(K144:K147),0)</f>
        <v>1.0828135964912282</v>
      </c>
      <c r="L148" s="437">
        <f>IFERROR(AVERAGE(L144:L147),0)</f>
        <v>1.0828135964912282</v>
      </c>
      <c r="M148" s="437">
        <f>IFERROR(AVERAGE(M144:M147),0)</f>
        <v>0.24320339912280703</v>
      </c>
      <c r="N148" s="880"/>
      <c r="O148" s="880"/>
      <c r="P148" s="880"/>
      <c r="Q148" s="880"/>
      <c r="R148" s="880"/>
      <c r="S148" s="880"/>
      <c r="T148" s="437">
        <f>IFERROR(AVERAGE(T144:T147),0)</f>
        <v>1.0641113721804509</v>
      </c>
      <c r="U148" s="437">
        <f>IFERROR(AVERAGE(U144:U147),0)</f>
        <v>1.0715279605263157</v>
      </c>
      <c r="V148" s="437">
        <f>IFERROR(AVERAGE(V144:V147),0)</f>
        <v>0.52481907894736834</v>
      </c>
      <c r="W148" s="880"/>
      <c r="X148" s="880"/>
      <c r="Y148" s="880"/>
      <c r="Z148" s="880"/>
      <c r="AA148" s="880"/>
      <c r="AB148" s="880"/>
      <c r="AC148" s="437">
        <f>IFERROR(AVERAGE(AC144:AC147),0)</f>
        <v>0.97062609649122811</v>
      </c>
      <c r="AD148" s="437">
        <f>IFERROR(AVERAGE(AD144:AD147),0)</f>
        <v>1.0352989766081873</v>
      </c>
      <c r="AE148" s="437">
        <f>IFERROR(AVERAGE(AE144:AE147),0)</f>
        <v>0.78152713815789476</v>
      </c>
      <c r="AF148" s="880"/>
      <c r="AG148" s="880"/>
      <c r="AH148" s="880"/>
      <c r="AI148" s="880"/>
      <c r="AJ148" s="880"/>
      <c r="AK148" s="881"/>
      <c r="AL148" s="437">
        <f>IFERROR(AVERAGE(AL144:AL147),0)</f>
        <v>1.0120975877192981</v>
      </c>
      <c r="AM148" s="437">
        <f>IFERROR(AVERAGE(AM144:AM147),0)</f>
        <v>1.0295427631578948</v>
      </c>
      <c r="AN148" s="437">
        <f>IFERROR(AVERAGE(AN144:AN147),0)</f>
        <v>1.0295427631578948</v>
      </c>
      <c r="AO148" s="444"/>
      <c r="AP148" s="444"/>
      <c r="AQ148" s="444"/>
      <c r="AR148" s="444"/>
      <c r="AS148" s="444"/>
      <c r="AT148" s="444"/>
      <c r="AU148" s="444"/>
      <c r="AV148" s="444"/>
      <c r="AW148" s="529"/>
      <c r="AY148" s="589"/>
    </row>
    <row r="149" spans="2:53" s="427" customFormat="1" ht="22.2" customHeight="1" thickBot="1">
      <c r="D149" s="429"/>
      <c r="AW149" s="429"/>
      <c r="AY149" s="589"/>
      <c r="AZ149" s="413"/>
    </row>
    <row r="150" spans="2:53" s="427" customFormat="1" ht="16.2" thickBot="1">
      <c r="C150" s="430" t="s">
        <v>879</v>
      </c>
      <c r="D150" s="460"/>
      <c r="E150" s="1380" t="s">
        <v>1128</v>
      </c>
      <c r="F150" s="1381"/>
      <c r="G150" s="1381"/>
      <c r="H150" s="1381"/>
      <c r="I150" s="1381"/>
      <c r="J150" s="1381"/>
      <c r="K150" s="1381"/>
      <c r="L150" s="1381"/>
      <c r="M150" s="1382"/>
      <c r="N150" s="1383" t="s">
        <v>1129</v>
      </c>
      <c r="O150" s="1384"/>
      <c r="P150" s="1384"/>
      <c r="Q150" s="1384"/>
      <c r="R150" s="1384"/>
      <c r="S150" s="1384"/>
      <c r="T150" s="1384"/>
      <c r="U150" s="1384"/>
      <c r="V150" s="1385"/>
      <c r="W150" s="1386" t="s">
        <v>1130</v>
      </c>
      <c r="X150" s="1387"/>
      <c r="Y150" s="1387"/>
      <c r="Z150" s="1387"/>
      <c r="AA150" s="1387"/>
      <c r="AB150" s="1387"/>
      <c r="AC150" s="1387"/>
      <c r="AD150" s="1387"/>
      <c r="AE150" s="1388"/>
      <c r="AF150" s="1383" t="s">
        <v>1046</v>
      </c>
      <c r="AG150" s="1384"/>
      <c r="AH150" s="1384"/>
      <c r="AI150" s="1384"/>
      <c r="AJ150" s="1384"/>
      <c r="AK150" s="1384"/>
      <c r="AL150" s="1384"/>
      <c r="AM150" s="1384"/>
      <c r="AN150" s="1385"/>
      <c r="AW150" s="429"/>
      <c r="AY150" s="589"/>
      <c r="AZ150" s="413"/>
    </row>
    <row r="151" spans="2:53" ht="30.75" customHeight="1">
      <c r="C151" s="1393" t="str">
        <f>+$C$10</f>
        <v>Identificación del Indicador</v>
      </c>
      <c r="D151" s="1396" t="s">
        <v>861</v>
      </c>
      <c r="E151" s="1389" t="s">
        <v>862</v>
      </c>
      <c r="F151" s="1390"/>
      <c r="G151" s="1391"/>
      <c r="H151" s="1392" t="s">
        <v>1132</v>
      </c>
      <c r="I151" s="1394" t="s">
        <v>1136</v>
      </c>
      <c r="J151" s="1392" t="s">
        <v>863</v>
      </c>
      <c r="K151" s="1392" t="s">
        <v>857</v>
      </c>
      <c r="L151" s="1392"/>
      <c r="M151" s="1392"/>
      <c r="N151" s="1389" t="s">
        <v>862</v>
      </c>
      <c r="O151" s="1390"/>
      <c r="P151" s="1391"/>
      <c r="Q151" s="1392" t="s">
        <v>1141</v>
      </c>
      <c r="R151" s="1394" t="s">
        <v>1133</v>
      </c>
      <c r="S151" s="1392" t="s">
        <v>863</v>
      </c>
      <c r="T151" s="1392" t="s">
        <v>857</v>
      </c>
      <c r="U151" s="1392"/>
      <c r="V151" s="1392"/>
      <c r="W151" s="1389" t="s">
        <v>862</v>
      </c>
      <c r="X151" s="1390"/>
      <c r="Y151" s="1391"/>
      <c r="Z151" s="1392" t="s">
        <v>1142</v>
      </c>
      <c r="AA151" s="1394" t="s">
        <v>1138</v>
      </c>
      <c r="AB151" s="1392" t="s">
        <v>863</v>
      </c>
      <c r="AC151" s="1392" t="s">
        <v>857</v>
      </c>
      <c r="AD151" s="1392"/>
      <c r="AE151" s="1392"/>
      <c r="AF151" s="1389" t="s">
        <v>862</v>
      </c>
      <c r="AG151" s="1390"/>
      <c r="AH151" s="1391"/>
      <c r="AI151" s="1392" t="s">
        <v>1172</v>
      </c>
      <c r="AJ151" s="1394" t="s">
        <v>1173</v>
      </c>
      <c r="AK151" s="1392" t="s">
        <v>863</v>
      </c>
      <c r="AL151" s="1392" t="s">
        <v>857</v>
      </c>
      <c r="AM151" s="1392"/>
      <c r="AN151" s="1392"/>
      <c r="AO151" s="1398" t="s">
        <v>709</v>
      </c>
      <c r="AP151" s="1398"/>
      <c r="AQ151" s="1398"/>
      <c r="AR151" s="1398"/>
      <c r="AS151" s="1398"/>
      <c r="AT151" s="1398"/>
      <c r="AU151" s="1398"/>
      <c r="AV151" s="1398"/>
      <c r="AW151" s="1393" t="s">
        <v>882</v>
      </c>
      <c r="AY151" s="589"/>
    </row>
    <row r="152" spans="2:53" ht="63" customHeight="1">
      <c r="C152" s="1393"/>
      <c r="D152" s="1396"/>
      <c r="E152" s="1024" t="s">
        <v>1143</v>
      </c>
      <c r="F152" s="1024" t="str">
        <f>+E150</f>
        <v>Primer Trimestre</v>
      </c>
      <c r="G152" s="1025" t="s">
        <v>1135</v>
      </c>
      <c r="H152" s="1393"/>
      <c r="I152" s="1395"/>
      <c r="J152" s="1393"/>
      <c r="K152" s="1024" t="str">
        <f>+$D$6</f>
        <v>Cuarto Trimestre</v>
      </c>
      <c r="L152" s="1025" t="str">
        <f>+G152</f>
        <v>Acumulado
Corte 
31/03/2022</v>
      </c>
      <c r="M152" s="1026" t="s">
        <v>754</v>
      </c>
      <c r="N152" s="1024" t="s">
        <v>1143</v>
      </c>
      <c r="O152" s="1024" t="str">
        <f>+N150</f>
        <v>Segundo Trimestre</v>
      </c>
      <c r="P152" s="1025" t="s">
        <v>1134</v>
      </c>
      <c r="Q152" s="1393"/>
      <c r="R152" s="1395"/>
      <c r="S152" s="1393"/>
      <c r="T152" s="1024" t="str">
        <f>+O152</f>
        <v>Segundo Trimestre</v>
      </c>
      <c r="U152" s="1025" t="str">
        <f>+P152</f>
        <v>Acumulado Corte 
30/06/2022</v>
      </c>
      <c r="V152" s="1026" t="s">
        <v>754</v>
      </c>
      <c r="W152" s="1024" t="s">
        <v>1143</v>
      </c>
      <c r="X152" s="1024" t="str">
        <f>+W150</f>
        <v>Tercer Trimestre</v>
      </c>
      <c r="Y152" s="1025" t="s">
        <v>1137</v>
      </c>
      <c r="Z152" s="1393"/>
      <c r="AA152" s="1395"/>
      <c r="AB152" s="1393"/>
      <c r="AC152" s="1024" t="str">
        <f>+X152</f>
        <v>Tercer Trimestre</v>
      </c>
      <c r="AD152" s="1025" t="str">
        <f>+Y152</f>
        <v>Acumulado Corte 
30/09/2022</v>
      </c>
      <c r="AE152" s="1026" t="s">
        <v>754</v>
      </c>
      <c r="AF152" s="1024" t="s">
        <v>1143</v>
      </c>
      <c r="AG152" s="1024" t="s">
        <v>1171</v>
      </c>
      <c r="AH152" s="1025" t="s">
        <v>1139</v>
      </c>
      <c r="AI152" s="1393"/>
      <c r="AJ152" s="1395"/>
      <c r="AK152" s="1393"/>
      <c r="AL152" s="1024" t="str">
        <f>+AG152</f>
        <v>Cuarto Trimestre
31-12-2022</v>
      </c>
      <c r="AM152" s="1025" t="str">
        <f>+AH152</f>
        <v>Acumulado Corte 
31/12/2022</v>
      </c>
      <c r="AN152" s="1026" t="s">
        <v>754</v>
      </c>
      <c r="AO152" s="1097" t="s">
        <v>864</v>
      </c>
      <c r="AP152" s="1098"/>
      <c r="AQ152" s="1099" t="s">
        <v>865</v>
      </c>
      <c r="AR152" s="1100"/>
      <c r="AS152" s="1100"/>
      <c r="AT152" s="1101"/>
      <c r="AU152" s="1102" t="s">
        <v>717</v>
      </c>
      <c r="AV152" s="1103"/>
      <c r="AW152" s="1393"/>
      <c r="AY152" s="589"/>
    </row>
    <row r="153" spans="2:53" ht="49.5" customHeight="1">
      <c r="B153" s="431">
        <f>1+B147</f>
        <v>77</v>
      </c>
      <c r="C153" s="432" t="str">
        <f>+'Rango indicadores'!D78</f>
        <v>13-RI-01</v>
      </c>
      <c r="D153" s="432" t="str">
        <f>+'Rango indicadores'!E78</f>
        <v>Porcentaje de procesos judiciales en los que se vincule o demande a la Entidad, objeto de representación oportuna</v>
      </c>
      <c r="E153" s="436">
        <f>+'Rango indicadores'!Q78</f>
        <v>1</v>
      </c>
      <c r="F153" s="464">
        <f>'1.Informe Seguimiento POA 2022'!O79</f>
        <v>1</v>
      </c>
      <c r="G153" s="464">
        <f>'1.Informe Seguimiento POA 2022'!O79</f>
        <v>1</v>
      </c>
      <c r="H153" s="790">
        <f>'1.Informe Seguimiento POA 2022'!P79</f>
        <v>1</v>
      </c>
      <c r="I153" s="790">
        <f>'1.Informe Seguimiento POA 2022'!P79</f>
        <v>1</v>
      </c>
      <c r="J153" s="790">
        <f t="shared" ref="J153:J157" si="271">I153</f>
        <v>1</v>
      </c>
      <c r="K153" s="449">
        <f t="shared" ref="K153" si="272">IF(AND(F153&gt;0),H153/F153,"No programado")</f>
        <v>1</v>
      </c>
      <c r="L153" s="449">
        <f t="shared" ref="L153" si="273">IF(AND(G153&gt;0),I153/G153,"No programado")</f>
        <v>1</v>
      </c>
      <c r="M153" s="435">
        <f>IF(AND(E153&gt;0,$J153&gt;0),J153/$E153,0)*0.25</f>
        <v>0.25</v>
      </c>
      <c r="N153" s="436">
        <f>+E153</f>
        <v>1</v>
      </c>
      <c r="O153" s="790">
        <f>+'1.Informe Seguimiento POA 2022'!Q79</f>
        <v>1</v>
      </c>
      <c r="P153" s="879">
        <f>IFERROR(AVERAGE(F153,O153),0)</f>
        <v>1</v>
      </c>
      <c r="Q153" s="790">
        <f>'1.Informe Seguimiento POA 2022'!R79</f>
        <v>1</v>
      </c>
      <c r="R153" s="436">
        <f>IFERROR(AVERAGE('1.Informe Seguimiento POA 2022'!P79,'1.Informe Seguimiento POA 2022'!R79),0)</f>
        <v>1</v>
      </c>
      <c r="S153" s="436">
        <f>IFERROR(IF(OR($N153="",$N153=0),0,ROUNDDOWN(AVERAGE($H153,Q153),3)),0)</f>
        <v>1</v>
      </c>
      <c r="T153" s="449">
        <f t="shared" ref="T153:T157" si="274">IF(AND(O153&gt;0),Q153/O153,"No programado")</f>
        <v>1</v>
      </c>
      <c r="U153" s="449">
        <f t="shared" ref="U153:U157" si="275">IF(AND(P153&gt;0),R153/P153,"No programado")</f>
        <v>1</v>
      </c>
      <c r="V153" s="435">
        <f>IF(AND(N153&gt;0,$S153&gt;0),S153/$N153,0)*0.5</f>
        <v>0.5</v>
      </c>
      <c r="W153" s="436">
        <f>+N153</f>
        <v>1</v>
      </c>
      <c r="X153" s="464">
        <f>+'1.Informe Seguimiento POA 2022'!S79</f>
        <v>1</v>
      </c>
      <c r="Y153" s="436">
        <f>IFERROR(AVERAGE('1.Informe Seguimiento POA 2022'!O79,'1.Informe Seguimiento POA 2022'!Q79,'1.Informe Seguimiento POA 2022'!S79),0)</f>
        <v>1</v>
      </c>
      <c r="Z153" s="436">
        <f>+'1.Informe Seguimiento POA 2022'!T79</f>
        <v>1</v>
      </c>
      <c r="AA153" s="436">
        <f>IFERROR(AVERAGE('1.Informe Seguimiento POA 2022'!R79,'1.Informe Seguimiento POA 2022'!P79,'1.Informe Seguimiento POA 2022'!T79),0)</f>
        <v>1</v>
      </c>
      <c r="AB153" s="436">
        <f>IFERROR(IF(OR($W153="",$W153=0),0,ROUNDDOWN(AVERAGE($H153,Q153,Z153),3)),0)</f>
        <v>1</v>
      </c>
      <c r="AC153" s="449">
        <f t="shared" ref="AC153:AC157" si="276">IF(AND(X153&gt;0),Z153/X153,"No programado")</f>
        <v>1</v>
      </c>
      <c r="AD153" s="449">
        <f t="shared" ref="AD153:AD157" si="277">IF(AND(Y153&gt;0),AA153/Y153,"No programado")</f>
        <v>1</v>
      </c>
      <c r="AE153" s="435">
        <f>IF(AND(W153&gt;0,$AB153&gt;0),AB153/$W153,0)*0.75</f>
        <v>0.75</v>
      </c>
      <c r="AF153" s="436">
        <f>+W153</f>
        <v>1</v>
      </c>
      <c r="AG153" s="436">
        <f>+'1.Informe Seguimiento POA 2022'!W79</f>
        <v>1</v>
      </c>
      <c r="AH153" s="436">
        <f>IFERROR(AVERAGE('1.Informe Seguimiento POA 2022'!O79,'1.Informe Seguimiento POA 2022'!Q79,'1.Informe Seguimiento POA 2022'!S79,'1.Informe Seguimiento POA 2022'!W79),0)</f>
        <v>1</v>
      </c>
      <c r="AI153" s="436">
        <f>+'1.Informe Seguimiento POA 2022'!V79</f>
        <v>1</v>
      </c>
      <c r="AJ153" s="436">
        <f>IFERROR(AVERAGE('1.Informe Seguimiento POA 2022'!P79,'1.Informe Seguimiento POA 2022'!R79,'1.Informe Seguimiento POA 2022'!T79,'1.Informe Seguimiento POA 2022'!V79),0)</f>
        <v>1</v>
      </c>
      <c r="AK153" s="436">
        <f>IFERROR(IF(OR($W153="",$W153=0),0,ROUNDDOWN(AVERAGE($H153,Q153,Z153,AI153),3)),0)</f>
        <v>1</v>
      </c>
      <c r="AL153" s="449">
        <f t="shared" ref="AL153:AL157" si="278">IF(AND(AG153&gt;0),AI153/AG153,"No programado")</f>
        <v>1</v>
      </c>
      <c r="AM153" s="449">
        <f t="shared" ref="AM153:AM157" si="279">IF(AND(AH153&gt;0),AJ153/AH153,"No programado")</f>
        <v>1</v>
      </c>
      <c r="AN153" s="435">
        <f>IF(AND(AF153&gt;0,$AK153&gt;0),AK153/$AF153,0)</f>
        <v>1</v>
      </c>
      <c r="AO153" s="439" t="str">
        <f>+'Rango indicadores'!H78</f>
        <v>Mayor o igual A:</v>
      </c>
      <c r="AP153" s="434">
        <f>+'Rango indicadores'!I78</f>
        <v>100</v>
      </c>
      <c r="AQ153" s="434" t="str">
        <f>+'Rango indicadores'!J78</f>
        <v>Desde (&gt;):</v>
      </c>
      <c r="AR153" s="434">
        <f>+'Rango indicadores'!K78</f>
        <v>90</v>
      </c>
      <c r="AS153" s="434" t="str">
        <f>+'Rango indicadores'!L78</f>
        <v>Hasta (&lt;):</v>
      </c>
      <c r="AT153" s="434">
        <f>+'Rango indicadores'!M78</f>
        <v>100</v>
      </c>
      <c r="AU153" s="434" t="str">
        <f>+'Rango indicadores'!N78</f>
        <v>Menor o Igual A:</v>
      </c>
      <c r="AV153" s="434">
        <f>+'Rango indicadores'!O78</f>
        <v>90</v>
      </c>
      <c r="AW153" s="523" t="s">
        <v>1175</v>
      </c>
      <c r="AY153" s="589"/>
    </row>
    <row r="154" spans="2:53" ht="49.5" customHeight="1">
      <c r="B154" s="431">
        <f>B153+1</f>
        <v>78</v>
      </c>
      <c r="C154" s="432" t="str">
        <f>+'Rango indicadores'!D79</f>
        <v>13-RI-02</v>
      </c>
      <c r="D154" s="432" t="str">
        <f>+'Rango indicadores'!E79</f>
        <v xml:space="preserve">Porcentaje de acciones de tutela en las cuales se defienda judicialmente a la Entidad oportunamente </v>
      </c>
      <c r="E154" s="436">
        <f>+'Rango indicadores'!Q79</f>
        <v>1</v>
      </c>
      <c r="F154" s="464">
        <f>'1.Informe Seguimiento POA 2022'!O80</f>
        <v>1</v>
      </c>
      <c r="G154" s="464">
        <f>'1.Informe Seguimiento POA 2022'!O80</f>
        <v>1</v>
      </c>
      <c r="H154" s="790">
        <f>'1.Informe Seguimiento POA 2022'!P80</f>
        <v>1</v>
      </c>
      <c r="I154" s="790">
        <f>'1.Informe Seguimiento POA 2022'!P80</f>
        <v>1</v>
      </c>
      <c r="J154" s="790">
        <f t="shared" si="271"/>
        <v>1</v>
      </c>
      <c r="K154" s="449">
        <f t="shared" ref="K154:K157" si="280">IF(AND(F154&gt;0),H154/F154,"No programado")</f>
        <v>1</v>
      </c>
      <c r="L154" s="449">
        <f t="shared" ref="L154:L157" si="281">IF(AND(G154&gt;0),I154/G154,"No programado")</f>
        <v>1</v>
      </c>
      <c r="M154" s="435">
        <f t="shared" ref="M154:M157" si="282">IF(AND(E154&gt;0,$J154&gt;0),J154/$E154,0)*0.25</f>
        <v>0.25</v>
      </c>
      <c r="N154" s="436">
        <f t="shared" ref="N154:N157" si="283">+E154</f>
        <v>1</v>
      </c>
      <c r="O154" s="790">
        <f>+'1.Informe Seguimiento POA 2022'!Q80</f>
        <v>1</v>
      </c>
      <c r="P154" s="879">
        <f t="shared" ref="P154:P157" si="284">IFERROR(AVERAGE(F154,O154),0)</f>
        <v>1</v>
      </c>
      <c r="Q154" s="790">
        <f>'1.Informe Seguimiento POA 2022'!R80</f>
        <v>1</v>
      </c>
      <c r="R154" s="436">
        <f>IFERROR(AVERAGE('1.Informe Seguimiento POA 2022'!P80,'1.Informe Seguimiento POA 2022'!R80),0)</f>
        <v>1</v>
      </c>
      <c r="S154" s="436">
        <f t="shared" ref="S154:S157" si="285">IFERROR(IF(OR($N154="",$N154=0),0,ROUNDDOWN(AVERAGE($H154,Q154),3)),0)</f>
        <v>1</v>
      </c>
      <c r="T154" s="449">
        <f t="shared" si="274"/>
        <v>1</v>
      </c>
      <c r="U154" s="449">
        <f t="shared" si="275"/>
        <v>1</v>
      </c>
      <c r="V154" s="435">
        <f>IF(AND(N154&gt;0,$S154&gt;0),S154/$N154,0)*0.5</f>
        <v>0.5</v>
      </c>
      <c r="W154" s="436">
        <f t="shared" ref="W154:W157" si="286">+N154</f>
        <v>1</v>
      </c>
      <c r="X154" s="464">
        <f>+'1.Informe Seguimiento POA 2022'!S80</f>
        <v>1</v>
      </c>
      <c r="Y154" s="436">
        <f>IFERROR(AVERAGE('1.Informe Seguimiento POA 2022'!O80,'1.Informe Seguimiento POA 2022'!Q80,'1.Informe Seguimiento POA 2022'!S80),0)</f>
        <v>1</v>
      </c>
      <c r="Z154" s="436">
        <f>+'1.Informe Seguimiento POA 2022'!T80</f>
        <v>1</v>
      </c>
      <c r="AA154" s="436">
        <f>IFERROR(AVERAGE('1.Informe Seguimiento POA 2022'!R80,'1.Informe Seguimiento POA 2022'!P80,'1.Informe Seguimiento POA 2022'!T80),0)</f>
        <v>1</v>
      </c>
      <c r="AB154" s="436">
        <f t="shared" ref="AB154:AB157" si="287">IFERROR(IF(OR($W154="",$W154=0),0,ROUNDDOWN(AVERAGE($H154,Q154,Z154),3)),0)</f>
        <v>1</v>
      </c>
      <c r="AC154" s="449">
        <f t="shared" si="276"/>
        <v>1</v>
      </c>
      <c r="AD154" s="449">
        <f t="shared" si="277"/>
        <v>1</v>
      </c>
      <c r="AE154" s="435">
        <f>IF(AND(W154&gt;0,$AB154&gt;0),AB154/$W154,0)*0.75</f>
        <v>0.75</v>
      </c>
      <c r="AF154" s="436">
        <f t="shared" ref="AF154:AF157" si="288">+W154</f>
        <v>1</v>
      </c>
      <c r="AG154" s="436">
        <f>+'1.Informe Seguimiento POA 2022'!W80</f>
        <v>1</v>
      </c>
      <c r="AH154" s="436">
        <f>IFERROR(AVERAGE('1.Informe Seguimiento POA 2022'!O80,'1.Informe Seguimiento POA 2022'!Q80,'1.Informe Seguimiento POA 2022'!S80,'1.Informe Seguimiento POA 2022'!W80),0)</f>
        <v>1</v>
      </c>
      <c r="AI154" s="436">
        <f>+'1.Informe Seguimiento POA 2022'!V80</f>
        <v>1</v>
      </c>
      <c r="AJ154" s="436">
        <f>IFERROR(AVERAGE('1.Informe Seguimiento POA 2022'!P80,'1.Informe Seguimiento POA 2022'!R80,'1.Informe Seguimiento POA 2022'!T80,'1.Informe Seguimiento POA 2022'!V80),0)</f>
        <v>1</v>
      </c>
      <c r="AK154" s="436">
        <f t="shared" ref="AK154:AK157" si="289">IFERROR(IF(OR($W154="",$W154=0),0,ROUNDDOWN(AVERAGE($H154,Q154,Z154,AI154),3)),0)</f>
        <v>1</v>
      </c>
      <c r="AL154" s="449">
        <f t="shared" si="278"/>
        <v>1</v>
      </c>
      <c r="AM154" s="449">
        <f t="shared" si="279"/>
        <v>1</v>
      </c>
      <c r="AN154" s="435">
        <f>IF(AND(AF154&gt;0,$AK154&gt;0),AK154/$AF154,0)</f>
        <v>1</v>
      </c>
      <c r="AO154" s="439" t="str">
        <f>+'Rango indicadores'!H79</f>
        <v>Mayor o igual A:</v>
      </c>
      <c r="AP154" s="434">
        <f>+'Rango indicadores'!I79</f>
        <v>100</v>
      </c>
      <c r="AQ154" s="434" t="str">
        <f>+'Rango indicadores'!J79</f>
        <v>Desde (&gt;):</v>
      </c>
      <c r="AR154" s="434">
        <f>+'Rango indicadores'!K79</f>
        <v>90</v>
      </c>
      <c r="AS154" s="434" t="str">
        <f>+'Rango indicadores'!L79</f>
        <v>Hasta (&lt;):</v>
      </c>
      <c r="AT154" s="434">
        <f>+'Rango indicadores'!M79</f>
        <v>100</v>
      </c>
      <c r="AU154" s="434" t="str">
        <f>+'Rango indicadores'!N79</f>
        <v>Menor o Igual A:</v>
      </c>
      <c r="AV154" s="434">
        <f>+'Rango indicadores'!O79</f>
        <v>90</v>
      </c>
      <c r="AW154" s="523" t="s">
        <v>1175</v>
      </c>
      <c r="AY154" s="589"/>
    </row>
    <row r="155" spans="2:53" ht="49.5" customHeight="1">
      <c r="B155" s="431">
        <f t="shared" ref="B155:B157" si="290">B154+1</f>
        <v>79</v>
      </c>
      <c r="C155" s="432" t="str">
        <f>+'Rango indicadores'!D80</f>
        <v>13-RI-03</v>
      </c>
      <c r="D155" s="432" t="str">
        <f>+'Rango indicadores'!E80</f>
        <v>Porcentaje de conceptos de competencia de la dependencia emitidos oportunamente</v>
      </c>
      <c r="E155" s="436">
        <f>+'Rango indicadores'!Q80</f>
        <v>1</v>
      </c>
      <c r="F155" s="464">
        <f>'1.Informe Seguimiento POA 2022'!O81</f>
        <v>1</v>
      </c>
      <c r="G155" s="464">
        <f>'1.Informe Seguimiento POA 2022'!O81</f>
        <v>1</v>
      </c>
      <c r="H155" s="790">
        <f>'1.Informe Seguimiento POA 2022'!P81</f>
        <v>1</v>
      </c>
      <c r="I155" s="790">
        <f>'1.Informe Seguimiento POA 2022'!P81</f>
        <v>1</v>
      </c>
      <c r="J155" s="790">
        <f t="shared" si="271"/>
        <v>1</v>
      </c>
      <c r="K155" s="449">
        <f t="shared" si="280"/>
        <v>1</v>
      </c>
      <c r="L155" s="449">
        <f t="shared" si="281"/>
        <v>1</v>
      </c>
      <c r="M155" s="435">
        <f t="shared" si="282"/>
        <v>0.25</v>
      </c>
      <c r="N155" s="436">
        <f t="shared" si="283"/>
        <v>1</v>
      </c>
      <c r="O155" s="790">
        <f>+'1.Informe Seguimiento POA 2022'!Q81</f>
        <v>1</v>
      </c>
      <c r="P155" s="879">
        <f t="shared" si="284"/>
        <v>1</v>
      </c>
      <c r="Q155" s="790">
        <f>'1.Informe Seguimiento POA 2022'!R81</f>
        <v>1</v>
      </c>
      <c r="R155" s="436">
        <f>IFERROR(AVERAGE('1.Informe Seguimiento POA 2022'!P81,'1.Informe Seguimiento POA 2022'!R81),0)</f>
        <v>1</v>
      </c>
      <c r="S155" s="436">
        <f t="shared" si="285"/>
        <v>1</v>
      </c>
      <c r="T155" s="449">
        <f t="shared" si="274"/>
        <v>1</v>
      </c>
      <c r="U155" s="449">
        <f t="shared" si="275"/>
        <v>1</v>
      </c>
      <c r="V155" s="435">
        <f>IF(AND(N155&gt;0,$S155&gt;0),S155/$N155,0)*0.5</f>
        <v>0.5</v>
      </c>
      <c r="W155" s="436">
        <f t="shared" si="286"/>
        <v>1</v>
      </c>
      <c r="X155" s="464">
        <f>+'1.Informe Seguimiento POA 2022'!S81</f>
        <v>1</v>
      </c>
      <c r="Y155" s="436">
        <f>IFERROR(AVERAGE('1.Informe Seguimiento POA 2022'!O81,'1.Informe Seguimiento POA 2022'!Q81,'1.Informe Seguimiento POA 2022'!S81),0)</f>
        <v>1</v>
      </c>
      <c r="Z155" s="436">
        <f>+'1.Informe Seguimiento POA 2022'!T81</f>
        <v>1</v>
      </c>
      <c r="AA155" s="436">
        <f>IFERROR(AVERAGE('1.Informe Seguimiento POA 2022'!R81,'1.Informe Seguimiento POA 2022'!P81,'1.Informe Seguimiento POA 2022'!T81),0)</f>
        <v>1</v>
      </c>
      <c r="AB155" s="436">
        <f t="shared" si="287"/>
        <v>1</v>
      </c>
      <c r="AC155" s="449">
        <f t="shared" si="276"/>
        <v>1</v>
      </c>
      <c r="AD155" s="449">
        <f t="shared" si="277"/>
        <v>1</v>
      </c>
      <c r="AE155" s="435">
        <f>IF(AND(W155&gt;0,$AB155&gt;0),AB155/$W155,0)*0.75</f>
        <v>0.75</v>
      </c>
      <c r="AF155" s="436">
        <f t="shared" si="288"/>
        <v>1</v>
      </c>
      <c r="AG155" s="436">
        <f>+'1.Informe Seguimiento POA 2022'!W81</f>
        <v>1</v>
      </c>
      <c r="AH155" s="436">
        <f>IFERROR(AVERAGE('1.Informe Seguimiento POA 2022'!O81,'1.Informe Seguimiento POA 2022'!Q81,'1.Informe Seguimiento POA 2022'!S81,'1.Informe Seguimiento POA 2022'!W81),0)</f>
        <v>1</v>
      </c>
      <c r="AI155" s="436">
        <f>+'1.Informe Seguimiento POA 2022'!V81</f>
        <v>1</v>
      </c>
      <c r="AJ155" s="436">
        <f>IFERROR(AVERAGE('1.Informe Seguimiento POA 2022'!P81,'1.Informe Seguimiento POA 2022'!R81,'1.Informe Seguimiento POA 2022'!T81,'1.Informe Seguimiento POA 2022'!V81),0)</f>
        <v>1</v>
      </c>
      <c r="AK155" s="436">
        <f t="shared" si="289"/>
        <v>1</v>
      </c>
      <c r="AL155" s="449">
        <f t="shared" si="278"/>
        <v>1</v>
      </c>
      <c r="AM155" s="449">
        <f t="shared" si="279"/>
        <v>1</v>
      </c>
      <c r="AN155" s="435">
        <f>IF(AND(AF155&gt;0,$AK155&gt;0),AK155/$AF155,0)</f>
        <v>1</v>
      </c>
      <c r="AO155" s="439" t="str">
        <f>+'Rango indicadores'!H80</f>
        <v>Mayor o igual A:</v>
      </c>
      <c r="AP155" s="434">
        <f>+'Rango indicadores'!I80</f>
        <v>100</v>
      </c>
      <c r="AQ155" s="434" t="str">
        <f>+'Rango indicadores'!J80</f>
        <v>Desde (&gt;):</v>
      </c>
      <c r="AR155" s="434">
        <f>+'Rango indicadores'!K80</f>
        <v>90</v>
      </c>
      <c r="AS155" s="434" t="str">
        <f>+'Rango indicadores'!L80</f>
        <v>Hasta (&lt;):</v>
      </c>
      <c r="AT155" s="434">
        <f>+'Rango indicadores'!M80</f>
        <v>100</v>
      </c>
      <c r="AU155" s="434" t="str">
        <f>+'Rango indicadores'!N80</f>
        <v>Menor o Igual A:</v>
      </c>
      <c r="AV155" s="434">
        <f>+'Rango indicadores'!O80</f>
        <v>90</v>
      </c>
      <c r="AW155" s="523" t="s">
        <v>1175</v>
      </c>
      <c r="AY155" s="589"/>
    </row>
    <row r="156" spans="2:53" ht="49.5" customHeight="1">
      <c r="B156" s="431">
        <f t="shared" si="290"/>
        <v>80</v>
      </c>
      <c r="C156" s="432" t="str">
        <f>+'Rango indicadores'!D81</f>
        <v>13-RI-04</v>
      </c>
      <c r="D156" s="432" t="str">
        <f>+'Rango indicadores'!E81</f>
        <v>Porcentaje de reportes de la base de datos de sanciones disciplinarias registrados</v>
      </c>
      <c r="E156" s="436">
        <f>+'Rango indicadores'!Q81</f>
        <v>1</v>
      </c>
      <c r="F156" s="464">
        <f>'1.Informe Seguimiento POA 2022'!O82</f>
        <v>1</v>
      </c>
      <c r="G156" s="464">
        <f>'1.Informe Seguimiento POA 2022'!O82</f>
        <v>1</v>
      </c>
      <c r="H156" s="790">
        <f>'1.Informe Seguimiento POA 2022'!P82</f>
        <v>1</v>
      </c>
      <c r="I156" s="790">
        <f>'1.Informe Seguimiento POA 2022'!P82</f>
        <v>1</v>
      </c>
      <c r="J156" s="790">
        <f t="shared" si="271"/>
        <v>1</v>
      </c>
      <c r="K156" s="449">
        <f t="shared" si="280"/>
        <v>1</v>
      </c>
      <c r="L156" s="449">
        <f t="shared" si="281"/>
        <v>1</v>
      </c>
      <c r="M156" s="435">
        <f t="shared" si="282"/>
        <v>0.25</v>
      </c>
      <c r="N156" s="436">
        <f t="shared" si="283"/>
        <v>1</v>
      </c>
      <c r="O156" s="790">
        <f>+'1.Informe Seguimiento POA 2022'!Q82</f>
        <v>1</v>
      </c>
      <c r="P156" s="879">
        <f t="shared" si="284"/>
        <v>1</v>
      </c>
      <c r="Q156" s="790">
        <f>'1.Informe Seguimiento POA 2022'!R82</f>
        <v>1</v>
      </c>
      <c r="R156" s="436">
        <f>IFERROR(AVERAGE('1.Informe Seguimiento POA 2022'!P82,'1.Informe Seguimiento POA 2022'!R82),0)</f>
        <v>1</v>
      </c>
      <c r="S156" s="436">
        <f t="shared" si="285"/>
        <v>1</v>
      </c>
      <c r="T156" s="449">
        <f t="shared" si="274"/>
        <v>1</v>
      </c>
      <c r="U156" s="449">
        <f t="shared" si="275"/>
        <v>1</v>
      </c>
      <c r="V156" s="435">
        <f>IF(AND(N156&gt;0,$S156&gt;0),S156/$N156,0)*0.5</f>
        <v>0.5</v>
      </c>
      <c r="W156" s="436">
        <f t="shared" si="286"/>
        <v>1</v>
      </c>
      <c r="X156" s="464">
        <f>+'1.Informe Seguimiento POA 2022'!S82</f>
        <v>1</v>
      </c>
      <c r="Y156" s="436">
        <f>IFERROR(AVERAGE('1.Informe Seguimiento POA 2022'!O82,'1.Informe Seguimiento POA 2022'!Q82,'1.Informe Seguimiento POA 2022'!S82),0)</f>
        <v>1</v>
      </c>
      <c r="Z156" s="436">
        <f>+'1.Informe Seguimiento POA 2022'!T82</f>
        <v>1</v>
      </c>
      <c r="AA156" s="436">
        <f>IFERROR(AVERAGE('1.Informe Seguimiento POA 2022'!R82,'1.Informe Seguimiento POA 2022'!P82,'1.Informe Seguimiento POA 2022'!T82),0)</f>
        <v>1</v>
      </c>
      <c r="AB156" s="436">
        <f t="shared" si="287"/>
        <v>1</v>
      </c>
      <c r="AC156" s="449">
        <f t="shared" si="276"/>
        <v>1</v>
      </c>
      <c r="AD156" s="449">
        <f t="shared" si="277"/>
        <v>1</v>
      </c>
      <c r="AE156" s="435">
        <f>IF(AND(W156&gt;0,$AB156&gt;0),AB156/$W156,0)*0.75</f>
        <v>0.75</v>
      </c>
      <c r="AF156" s="436">
        <f t="shared" si="288"/>
        <v>1</v>
      </c>
      <c r="AG156" s="436">
        <f>+'1.Informe Seguimiento POA 2022'!W82</f>
        <v>1</v>
      </c>
      <c r="AH156" s="436">
        <f>IFERROR(AVERAGE('1.Informe Seguimiento POA 2022'!O82,'1.Informe Seguimiento POA 2022'!Q82,'1.Informe Seguimiento POA 2022'!S82,'1.Informe Seguimiento POA 2022'!W82),0)</f>
        <v>1</v>
      </c>
      <c r="AI156" s="436">
        <f>+'1.Informe Seguimiento POA 2022'!V82</f>
        <v>1</v>
      </c>
      <c r="AJ156" s="436">
        <f>IFERROR(AVERAGE('1.Informe Seguimiento POA 2022'!P82,'1.Informe Seguimiento POA 2022'!R82,'1.Informe Seguimiento POA 2022'!T82,'1.Informe Seguimiento POA 2022'!V82),0)</f>
        <v>1</v>
      </c>
      <c r="AK156" s="436">
        <f t="shared" si="289"/>
        <v>1</v>
      </c>
      <c r="AL156" s="449">
        <f t="shared" si="278"/>
        <v>1</v>
      </c>
      <c r="AM156" s="449">
        <f t="shared" si="279"/>
        <v>1</v>
      </c>
      <c r="AN156" s="435">
        <f>IF(AND(AF156&gt;0,$AK156&gt;0),AK156/$AF156,0)</f>
        <v>1</v>
      </c>
      <c r="AO156" s="439" t="str">
        <f>+'Rango indicadores'!H81</f>
        <v>Mayor o igual A:</v>
      </c>
      <c r="AP156" s="434">
        <f>+'Rango indicadores'!I81</f>
        <v>100</v>
      </c>
      <c r="AQ156" s="434" t="str">
        <f>+'Rango indicadores'!J81</f>
        <v>Desde (&gt;):</v>
      </c>
      <c r="AR156" s="434">
        <f>+'Rango indicadores'!K81</f>
        <v>90</v>
      </c>
      <c r="AS156" s="434" t="str">
        <f>+'Rango indicadores'!L81</f>
        <v>Hasta (&lt;):</v>
      </c>
      <c r="AT156" s="434">
        <f>+'Rango indicadores'!M81</f>
        <v>100</v>
      </c>
      <c r="AU156" s="434" t="str">
        <f>+'Rango indicadores'!N81</f>
        <v>Menor o Igual A:</v>
      </c>
      <c r="AV156" s="434">
        <f>+'Rango indicadores'!O81</f>
        <v>90</v>
      </c>
      <c r="AW156" s="523" t="s">
        <v>1175</v>
      </c>
      <c r="AY156" s="589"/>
    </row>
    <row r="157" spans="2:53" ht="49.5" customHeight="1">
      <c r="B157" s="431">
        <f t="shared" si="290"/>
        <v>81</v>
      </c>
      <c r="C157" s="432" t="str">
        <f>+'Rango indicadores'!D82</f>
        <v>13-RI-05</v>
      </c>
      <c r="D157" s="432" t="str">
        <f>+'Rango indicadores'!E82</f>
        <v>Porcentaje de antecedentes disciplinarios expedidos</v>
      </c>
      <c r="E157" s="436">
        <f>+'Rango indicadores'!Q82</f>
        <v>1</v>
      </c>
      <c r="F157" s="464">
        <f>'1.Informe Seguimiento POA 2022'!O83</f>
        <v>1</v>
      </c>
      <c r="G157" s="464">
        <f>'1.Informe Seguimiento POA 2022'!O83</f>
        <v>1</v>
      </c>
      <c r="H157" s="790">
        <f>'1.Informe Seguimiento POA 2022'!P83</f>
        <v>1</v>
      </c>
      <c r="I157" s="790">
        <f>'1.Informe Seguimiento POA 2022'!P83</f>
        <v>1</v>
      </c>
      <c r="J157" s="790">
        <f t="shared" si="271"/>
        <v>1</v>
      </c>
      <c r="K157" s="449">
        <f t="shared" si="280"/>
        <v>1</v>
      </c>
      <c r="L157" s="449">
        <f t="shared" si="281"/>
        <v>1</v>
      </c>
      <c r="M157" s="435">
        <f t="shared" si="282"/>
        <v>0.25</v>
      </c>
      <c r="N157" s="436">
        <f t="shared" si="283"/>
        <v>1</v>
      </c>
      <c r="O157" s="790">
        <f>+'1.Informe Seguimiento POA 2022'!Q83</f>
        <v>1</v>
      </c>
      <c r="P157" s="879">
        <f t="shared" si="284"/>
        <v>1</v>
      </c>
      <c r="Q157" s="790">
        <f>'1.Informe Seguimiento POA 2022'!R83</f>
        <v>1</v>
      </c>
      <c r="R157" s="436">
        <f>IFERROR(AVERAGE('1.Informe Seguimiento POA 2022'!P83,'1.Informe Seguimiento POA 2022'!R83),0)</f>
        <v>1</v>
      </c>
      <c r="S157" s="436">
        <f t="shared" si="285"/>
        <v>1</v>
      </c>
      <c r="T157" s="449">
        <f t="shared" si="274"/>
        <v>1</v>
      </c>
      <c r="U157" s="449">
        <f t="shared" si="275"/>
        <v>1</v>
      </c>
      <c r="V157" s="435">
        <f>IF(AND(N157&gt;0,$S157&gt;0),S157/$N157,0)*0.5</f>
        <v>0.5</v>
      </c>
      <c r="W157" s="436">
        <f t="shared" si="286"/>
        <v>1</v>
      </c>
      <c r="X157" s="464">
        <f>+'1.Informe Seguimiento POA 2022'!S83</f>
        <v>1</v>
      </c>
      <c r="Y157" s="436">
        <f>IFERROR(AVERAGE('1.Informe Seguimiento POA 2022'!O83,'1.Informe Seguimiento POA 2022'!Q83,'1.Informe Seguimiento POA 2022'!S83),0)</f>
        <v>1</v>
      </c>
      <c r="Z157" s="436">
        <f>+'1.Informe Seguimiento POA 2022'!T83</f>
        <v>1</v>
      </c>
      <c r="AA157" s="436">
        <f>IFERROR(AVERAGE('1.Informe Seguimiento POA 2022'!R83,'1.Informe Seguimiento POA 2022'!P83,'1.Informe Seguimiento POA 2022'!T83),0)</f>
        <v>1</v>
      </c>
      <c r="AB157" s="436">
        <f t="shared" si="287"/>
        <v>1</v>
      </c>
      <c r="AC157" s="449">
        <f t="shared" si="276"/>
        <v>1</v>
      </c>
      <c r="AD157" s="449">
        <f t="shared" si="277"/>
        <v>1</v>
      </c>
      <c r="AE157" s="435">
        <f>IF(AND(W157&gt;0,$AB157&gt;0),AB157/$W157,0)*0.75</f>
        <v>0.75</v>
      </c>
      <c r="AF157" s="436">
        <f t="shared" si="288"/>
        <v>1</v>
      </c>
      <c r="AG157" s="436">
        <f>+'1.Informe Seguimiento POA 2022'!W83</f>
        <v>1</v>
      </c>
      <c r="AH157" s="436">
        <f>IFERROR(AVERAGE('1.Informe Seguimiento POA 2022'!O83,'1.Informe Seguimiento POA 2022'!Q83,'1.Informe Seguimiento POA 2022'!S83,'1.Informe Seguimiento POA 2022'!W83),0)</f>
        <v>1</v>
      </c>
      <c r="AI157" s="436">
        <f>+'1.Informe Seguimiento POA 2022'!V83</f>
        <v>1</v>
      </c>
      <c r="AJ157" s="436">
        <f>IFERROR(AVERAGE('1.Informe Seguimiento POA 2022'!P83,'1.Informe Seguimiento POA 2022'!R83,'1.Informe Seguimiento POA 2022'!T83,'1.Informe Seguimiento POA 2022'!V83),0)</f>
        <v>1</v>
      </c>
      <c r="AK157" s="436">
        <f t="shared" si="289"/>
        <v>1</v>
      </c>
      <c r="AL157" s="449">
        <f t="shared" si="278"/>
        <v>1</v>
      </c>
      <c r="AM157" s="449">
        <f t="shared" si="279"/>
        <v>1</v>
      </c>
      <c r="AN157" s="435">
        <f>IF(AND(AF157&gt;0,$AK157&gt;0),AK157/$AF157,0)</f>
        <v>1</v>
      </c>
      <c r="AO157" s="439" t="str">
        <f>+'Rango indicadores'!H82</f>
        <v>Mayor o igual A:</v>
      </c>
      <c r="AP157" s="434">
        <f>+'Rango indicadores'!I82</f>
        <v>100</v>
      </c>
      <c r="AQ157" s="434" t="str">
        <f>+'Rango indicadores'!J82</f>
        <v>Desde (&gt;):</v>
      </c>
      <c r="AR157" s="434">
        <f>+'Rango indicadores'!K82</f>
        <v>90</v>
      </c>
      <c r="AS157" s="434" t="str">
        <f>+'Rango indicadores'!L82</f>
        <v>Hasta (&lt;):</v>
      </c>
      <c r="AT157" s="434">
        <f>+'Rango indicadores'!M82</f>
        <v>100</v>
      </c>
      <c r="AU157" s="434" t="str">
        <f>+'Rango indicadores'!N82</f>
        <v>Menor o Igual A:</v>
      </c>
      <c r="AV157" s="434">
        <f>+'Rango indicadores'!O82</f>
        <v>90</v>
      </c>
      <c r="AW157" s="523" t="s">
        <v>1175</v>
      </c>
      <c r="AY157" s="589"/>
    </row>
    <row r="158" spans="2:53" ht="15.6">
      <c r="C158" s="1378" t="s">
        <v>866</v>
      </c>
      <c r="D158" s="1379"/>
      <c r="E158" s="1379"/>
      <c r="F158" s="1379"/>
      <c r="G158" s="1379"/>
      <c r="H158" s="1379"/>
      <c r="I158" s="1379"/>
      <c r="J158" s="1379"/>
      <c r="K158" s="437">
        <f>IFERROR(AVERAGE(K153:K157),0)</f>
        <v>1</v>
      </c>
      <c r="L158" s="437">
        <f>IFERROR(AVERAGE(L153:L157),0)</f>
        <v>1</v>
      </c>
      <c r="M158" s="437">
        <f>IFERROR(AVERAGE(M153:M157),0)</f>
        <v>0.25</v>
      </c>
      <c r="N158" s="880"/>
      <c r="O158" s="880"/>
      <c r="P158" s="880"/>
      <c r="Q158" s="880"/>
      <c r="R158" s="880"/>
      <c r="S158" s="880"/>
      <c r="T158" s="437">
        <f>IFERROR(AVERAGE(T153:T157),0)</f>
        <v>1</v>
      </c>
      <c r="U158" s="437">
        <f>IFERROR(AVERAGE(U153:U157),0)</f>
        <v>1</v>
      </c>
      <c r="V158" s="437">
        <f>IFERROR(AVERAGE(V153:V157),0)</f>
        <v>0.5</v>
      </c>
      <c r="W158" s="880"/>
      <c r="X158" s="880"/>
      <c r="Y158" s="880"/>
      <c r="Z158" s="880"/>
      <c r="AA158" s="880"/>
      <c r="AB158" s="880"/>
      <c r="AC158" s="437">
        <f>IFERROR(AVERAGE(AC153:AC157),0)</f>
        <v>1</v>
      </c>
      <c r="AD158" s="437">
        <f>IFERROR(AVERAGE(AD153:AD157),0)</f>
        <v>1</v>
      </c>
      <c r="AE158" s="437">
        <f>IFERROR(AVERAGE(AE153:AE157),0)</f>
        <v>0.75</v>
      </c>
      <c r="AF158" s="880"/>
      <c r="AG158" s="880"/>
      <c r="AH158" s="880"/>
      <c r="AI158" s="880"/>
      <c r="AJ158" s="880"/>
      <c r="AK158" s="881"/>
      <c r="AL158" s="437">
        <f>IFERROR(AVERAGE(AL153:AL157),0)</f>
        <v>1</v>
      </c>
      <c r="AM158" s="437">
        <f>IFERROR(AVERAGE(AM153:AM157),0)</f>
        <v>1</v>
      </c>
      <c r="AN158" s="437">
        <f>IFERROR(AVERAGE(AN153:AN157),0)</f>
        <v>1</v>
      </c>
      <c r="AO158" s="444"/>
      <c r="AP158" s="444"/>
      <c r="AQ158" s="444"/>
      <c r="AR158" s="444"/>
      <c r="AS158" s="444"/>
      <c r="AT158" s="444"/>
      <c r="AU158" s="444"/>
      <c r="AV158" s="444"/>
      <c r="AW158" s="529"/>
      <c r="AY158" s="589"/>
    </row>
    <row r="159" spans="2:53" ht="25.2" customHeight="1" thickBot="1">
      <c r="C159" s="456"/>
      <c r="D159" s="463"/>
      <c r="E159" s="456"/>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56"/>
      <c r="AK159" s="456"/>
      <c r="AL159" s="426"/>
      <c r="AM159" s="426"/>
      <c r="AN159" s="444"/>
      <c r="AO159" s="444"/>
      <c r="AP159" s="444"/>
      <c r="AQ159" s="444"/>
      <c r="AR159" s="444"/>
      <c r="AS159" s="444"/>
      <c r="AT159" s="444"/>
      <c r="AU159" s="444"/>
      <c r="AV159" s="444"/>
      <c r="AW159" s="529"/>
      <c r="AY159" s="589"/>
    </row>
    <row r="160" spans="2:53" s="427" customFormat="1" ht="16.2" thickBot="1">
      <c r="C160" s="430" t="s">
        <v>880</v>
      </c>
      <c r="D160" s="460"/>
      <c r="E160" s="1380" t="s">
        <v>1128</v>
      </c>
      <c r="F160" s="1381"/>
      <c r="G160" s="1381"/>
      <c r="H160" s="1381"/>
      <c r="I160" s="1381"/>
      <c r="J160" s="1381"/>
      <c r="K160" s="1381"/>
      <c r="L160" s="1381"/>
      <c r="M160" s="1382"/>
      <c r="N160" s="1383" t="s">
        <v>1129</v>
      </c>
      <c r="O160" s="1384"/>
      <c r="P160" s="1384"/>
      <c r="Q160" s="1384"/>
      <c r="R160" s="1384"/>
      <c r="S160" s="1384"/>
      <c r="T160" s="1384"/>
      <c r="U160" s="1384"/>
      <c r="V160" s="1385"/>
      <c r="W160" s="1386" t="s">
        <v>1130</v>
      </c>
      <c r="X160" s="1387"/>
      <c r="Y160" s="1387"/>
      <c r="Z160" s="1387"/>
      <c r="AA160" s="1387"/>
      <c r="AB160" s="1387"/>
      <c r="AC160" s="1387"/>
      <c r="AD160" s="1387"/>
      <c r="AE160" s="1388"/>
      <c r="AF160" s="1383" t="s">
        <v>1046</v>
      </c>
      <c r="AG160" s="1384"/>
      <c r="AH160" s="1384"/>
      <c r="AI160" s="1384"/>
      <c r="AJ160" s="1384"/>
      <c r="AK160" s="1384"/>
      <c r="AL160" s="1384"/>
      <c r="AM160" s="1384"/>
      <c r="AN160" s="1385"/>
      <c r="AW160" s="429"/>
      <c r="AY160" s="589"/>
      <c r="AZ160" s="413"/>
    </row>
    <row r="161" spans="2:52" ht="27" customHeight="1">
      <c r="C161" s="1393" t="str">
        <f>+$C$10</f>
        <v>Identificación del Indicador</v>
      </c>
      <c r="D161" s="1396" t="s">
        <v>861</v>
      </c>
      <c r="E161" s="1389" t="s">
        <v>862</v>
      </c>
      <c r="F161" s="1390"/>
      <c r="G161" s="1391"/>
      <c r="H161" s="1392" t="s">
        <v>1132</v>
      </c>
      <c r="I161" s="1394" t="s">
        <v>1136</v>
      </c>
      <c r="J161" s="1392" t="s">
        <v>863</v>
      </c>
      <c r="K161" s="1392" t="s">
        <v>857</v>
      </c>
      <c r="L161" s="1392"/>
      <c r="M161" s="1392"/>
      <c r="N161" s="1389" t="s">
        <v>862</v>
      </c>
      <c r="O161" s="1390"/>
      <c r="P161" s="1391"/>
      <c r="Q161" s="1392" t="s">
        <v>1141</v>
      </c>
      <c r="R161" s="1394" t="s">
        <v>1133</v>
      </c>
      <c r="S161" s="1392" t="s">
        <v>863</v>
      </c>
      <c r="T161" s="1392" t="s">
        <v>857</v>
      </c>
      <c r="U161" s="1392"/>
      <c r="V161" s="1392"/>
      <c r="W161" s="1389" t="s">
        <v>862</v>
      </c>
      <c r="X161" s="1390"/>
      <c r="Y161" s="1391"/>
      <c r="Z161" s="1392" t="s">
        <v>1142</v>
      </c>
      <c r="AA161" s="1394" t="s">
        <v>1138</v>
      </c>
      <c r="AB161" s="1392" t="s">
        <v>863</v>
      </c>
      <c r="AC161" s="1392" t="s">
        <v>857</v>
      </c>
      <c r="AD161" s="1392"/>
      <c r="AE161" s="1392"/>
      <c r="AF161" s="1389" t="s">
        <v>862</v>
      </c>
      <c r="AG161" s="1390"/>
      <c r="AH161" s="1391"/>
      <c r="AI161" s="1392" t="s">
        <v>1172</v>
      </c>
      <c r="AJ161" s="1394" t="s">
        <v>1173</v>
      </c>
      <c r="AK161" s="1392" t="s">
        <v>863</v>
      </c>
      <c r="AL161" s="1392" t="s">
        <v>857</v>
      </c>
      <c r="AM161" s="1392"/>
      <c r="AN161" s="1392"/>
      <c r="AO161" s="1398" t="s">
        <v>709</v>
      </c>
      <c r="AP161" s="1398"/>
      <c r="AQ161" s="1398"/>
      <c r="AR161" s="1398"/>
      <c r="AS161" s="1398"/>
      <c r="AT161" s="1398"/>
      <c r="AU161" s="1398"/>
      <c r="AV161" s="1398"/>
      <c r="AW161" s="1393" t="s">
        <v>882</v>
      </c>
      <c r="AY161" s="589"/>
    </row>
    <row r="162" spans="2:52" ht="46.2" customHeight="1">
      <c r="C162" s="1393"/>
      <c r="D162" s="1396"/>
      <c r="E162" s="1024" t="s">
        <v>1143</v>
      </c>
      <c r="F162" s="1024" t="str">
        <f>+E160</f>
        <v>Primer Trimestre</v>
      </c>
      <c r="G162" s="1025" t="s">
        <v>1135</v>
      </c>
      <c r="H162" s="1393"/>
      <c r="I162" s="1395"/>
      <c r="J162" s="1393"/>
      <c r="K162" s="1024" t="str">
        <f>+$D$6</f>
        <v>Cuarto Trimestre</v>
      </c>
      <c r="L162" s="1025" t="str">
        <f>+G162</f>
        <v>Acumulado
Corte 
31/03/2022</v>
      </c>
      <c r="M162" s="1026" t="s">
        <v>754</v>
      </c>
      <c r="N162" s="1024" t="s">
        <v>1143</v>
      </c>
      <c r="O162" s="1024" t="str">
        <f>+N160</f>
        <v>Segundo Trimestre</v>
      </c>
      <c r="P162" s="1025" t="s">
        <v>1134</v>
      </c>
      <c r="Q162" s="1393"/>
      <c r="R162" s="1395"/>
      <c r="S162" s="1393"/>
      <c r="T162" s="1024" t="str">
        <f>+O162</f>
        <v>Segundo Trimestre</v>
      </c>
      <c r="U162" s="1025" t="str">
        <f>+P162</f>
        <v>Acumulado Corte 
30/06/2022</v>
      </c>
      <c r="V162" s="1026" t="s">
        <v>754</v>
      </c>
      <c r="W162" s="1024" t="s">
        <v>1143</v>
      </c>
      <c r="X162" s="1024" t="str">
        <f>+W160</f>
        <v>Tercer Trimestre</v>
      </c>
      <c r="Y162" s="1025" t="s">
        <v>1137</v>
      </c>
      <c r="Z162" s="1393"/>
      <c r="AA162" s="1395"/>
      <c r="AB162" s="1393"/>
      <c r="AC162" s="1024" t="str">
        <f>+X162</f>
        <v>Tercer Trimestre</v>
      </c>
      <c r="AD162" s="1025" t="str">
        <f>+Y162</f>
        <v>Acumulado Corte 
30/09/2022</v>
      </c>
      <c r="AE162" s="1026" t="s">
        <v>754</v>
      </c>
      <c r="AF162" s="1024" t="s">
        <v>1143</v>
      </c>
      <c r="AG162" s="1024" t="s">
        <v>1171</v>
      </c>
      <c r="AH162" s="1025" t="s">
        <v>1139</v>
      </c>
      <c r="AI162" s="1393"/>
      <c r="AJ162" s="1395"/>
      <c r="AK162" s="1393"/>
      <c r="AL162" s="1024" t="str">
        <f>+AG162</f>
        <v>Cuarto Trimestre
31-12-2022</v>
      </c>
      <c r="AM162" s="1025" t="str">
        <f>+AH162</f>
        <v>Acumulado Corte 
31/12/2022</v>
      </c>
      <c r="AN162" s="1026" t="s">
        <v>754</v>
      </c>
      <c r="AO162" s="1097" t="s">
        <v>864</v>
      </c>
      <c r="AP162" s="1098"/>
      <c r="AQ162" s="1099" t="s">
        <v>865</v>
      </c>
      <c r="AR162" s="1100"/>
      <c r="AS162" s="1100"/>
      <c r="AT162" s="1101"/>
      <c r="AU162" s="1102" t="s">
        <v>717</v>
      </c>
      <c r="AV162" s="1103"/>
      <c r="AW162" s="1393"/>
      <c r="AY162" s="589"/>
    </row>
    <row r="163" spans="2:52" ht="56.25" customHeight="1">
      <c r="B163" s="431">
        <f>+B157+1</f>
        <v>82</v>
      </c>
      <c r="C163" s="432" t="str">
        <f>+'Rango indicadores'!D86</f>
        <v>15-RI-01</v>
      </c>
      <c r="D163" s="432" t="str">
        <f>+'Rango indicadores'!E86</f>
        <v>Medidas de preservación del orden interno emitidas</v>
      </c>
      <c r="E163" s="457">
        <f>+'Rango indicadores'!Q86</f>
        <v>52</v>
      </c>
      <c r="F163" s="446">
        <f>'1.Informe Seguimiento POA 2022'!O87</f>
        <v>6</v>
      </c>
      <c r="G163" s="446">
        <f>'1.Informe Seguimiento POA 2022'!O87</f>
        <v>6</v>
      </c>
      <c r="H163" s="446">
        <f>'1.Informe Seguimiento POA 2022'!P87</f>
        <v>26</v>
      </c>
      <c r="I163" s="446">
        <f>'1.Informe Seguimiento POA 2022'!P87</f>
        <v>26</v>
      </c>
      <c r="J163" s="446">
        <f t="shared" ref="J163:J165" si="291">I163</f>
        <v>26</v>
      </c>
      <c r="K163" s="449">
        <f t="shared" ref="K163" si="292">IF(AND(F163&gt;0),H163/F163,"No programado")</f>
        <v>4.333333333333333</v>
      </c>
      <c r="L163" s="449">
        <f t="shared" ref="L163" si="293">IF(AND(G163&gt;0),I163/G163,"No programado")</f>
        <v>4.333333333333333</v>
      </c>
      <c r="M163" s="435">
        <f t="shared" ref="M163" si="294">IF(AND(E163&gt;0,$J163&gt;0),J163/$E163,0)</f>
        <v>0.5</v>
      </c>
      <c r="N163" s="457">
        <f>E163</f>
        <v>52</v>
      </c>
      <c r="O163" s="446">
        <f>+'1.Informe Seguimiento POA 2022'!Q87</f>
        <v>6</v>
      </c>
      <c r="P163" s="446">
        <f>+'1.Informe Seguimiento POA 2022'!O87+'1.Informe Seguimiento POA 2022'!Q87</f>
        <v>12</v>
      </c>
      <c r="Q163" s="446">
        <f>+'1.Informe Seguimiento POA 2022'!R87</f>
        <v>14</v>
      </c>
      <c r="R163" s="446">
        <f>+'1.Informe Seguimiento POA 2022'!P87+'1.Informe Seguimiento POA 2022'!R87</f>
        <v>40</v>
      </c>
      <c r="S163" s="446">
        <f t="shared" ref="S163" si="295">H163+Q163</f>
        <v>40</v>
      </c>
      <c r="T163" s="449">
        <f t="shared" ref="T163:T165" si="296">IF(AND(O163&gt;0),Q163/O163,"No programado")</f>
        <v>2.3333333333333335</v>
      </c>
      <c r="U163" s="449">
        <f t="shared" ref="U163:U165" si="297">IF(AND(P163&gt;0),R163/P163,"No programado")</f>
        <v>3.3333333333333335</v>
      </c>
      <c r="V163" s="435">
        <f>IF(AND(N163&gt;0,$S163&gt;0),S163/$N163,0)</f>
        <v>0.76923076923076927</v>
      </c>
      <c r="W163" s="457">
        <f>N163</f>
        <v>52</v>
      </c>
      <c r="X163" s="446">
        <f>+'1.Informe Seguimiento POA 2022'!S87</f>
        <v>21</v>
      </c>
      <c r="Y163" s="446">
        <f>+'1.Informe Seguimiento POA 2022'!O87+'1.Informe Seguimiento POA 2022'!Q87+'1.Informe Seguimiento POA 2022'!S87</f>
        <v>33</v>
      </c>
      <c r="Z163" s="446">
        <f>+'1.Informe Seguimiento POA 2022'!T87</f>
        <v>16</v>
      </c>
      <c r="AA163" s="446">
        <f>+'1.Informe Seguimiento POA 2022'!R87+'1.Informe Seguimiento POA 2022'!T87+'1.Informe Seguimiento POA 2022'!P87</f>
        <v>56</v>
      </c>
      <c r="AB163" s="446">
        <f t="shared" ref="AB163" si="298">H163+Q163+Z163</f>
        <v>56</v>
      </c>
      <c r="AC163" s="449">
        <f t="shared" ref="AC163:AC165" si="299">IF(AND(X163&gt;0),Z163/X163,"No programado")</f>
        <v>0.76190476190476186</v>
      </c>
      <c r="AD163" s="449">
        <f t="shared" ref="AD163:AD165" si="300">IF(AND(Y163&gt;0),AA163/Y163,"No programado")</f>
        <v>1.696969696969697</v>
      </c>
      <c r="AE163" s="435">
        <f>IF(AND(W163&gt;0,$AB163&gt;0),AB163/$W163,0)</f>
        <v>1.0769230769230769</v>
      </c>
      <c r="AF163" s="457">
        <f>W163</f>
        <v>52</v>
      </c>
      <c r="AG163" s="457">
        <f>+'1.Informe Seguimiento POA 2022'!W87</f>
        <v>13</v>
      </c>
      <c r="AH163" s="457">
        <f>+'1.Informe Seguimiento POA 2022'!O87+'1.Informe Seguimiento POA 2022'!Q87+'1.Informe Seguimiento POA 2022'!S87+'1.Informe Seguimiento POA 2022'!W87</f>
        <v>46</v>
      </c>
      <c r="AI163" s="457">
        <f>+'1.Informe Seguimiento POA 2022'!V87</f>
        <v>13</v>
      </c>
      <c r="AJ163" s="457">
        <f>+'1.Informe Seguimiento POA 2022'!P87+'1.Informe Seguimiento POA 2022'!R87+'1.Informe Seguimiento POA 2022'!T87+'1.Informe Seguimiento POA 2022'!V87</f>
        <v>69</v>
      </c>
      <c r="AK163" s="446">
        <f t="shared" ref="AK163:AK165" si="301">H163+Q163+Z163+AI163</f>
        <v>69</v>
      </c>
      <c r="AL163" s="449">
        <f t="shared" ref="AL163:AL165" si="302">IF(AND(AG163&gt;0),AI163/AG163,"No programado")</f>
        <v>1</v>
      </c>
      <c r="AM163" s="449">
        <f t="shared" ref="AM163:AM165" si="303">IF(AND(AH163&gt;0),AJ163/AH163,"No programado")</f>
        <v>1.5</v>
      </c>
      <c r="AN163" s="435">
        <f>IF(AND(AF163&gt;0,$AK163&gt;0),AK163/$AF163,0)</f>
        <v>1.3269230769230769</v>
      </c>
      <c r="AO163" s="439" t="str">
        <f>+'Rango indicadores'!H86</f>
        <v>Mayor o igual A:</v>
      </c>
      <c r="AP163" s="434">
        <f>+'Rango indicadores'!I86</f>
        <v>100</v>
      </c>
      <c r="AQ163" s="434" t="str">
        <f>+'Rango indicadores'!J86</f>
        <v>Desde (&gt;):</v>
      </c>
      <c r="AR163" s="434">
        <f>+'Rango indicadores'!K86</f>
        <v>79</v>
      </c>
      <c r="AS163" s="434" t="str">
        <f>+'Rango indicadores'!L86</f>
        <v>Hasta (&lt;):</v>
      </c>
      <c r="AT163" s="434">
        <f>+'Rango indicadores'!M86</f>
        <v>100</v>
      </c>
      <c r="AU163" s="434" t="str">
        <f>+'Rango indicadores'!N86</f>
        <v>Menor o Igual A:</v>
      </c>
      <c r="AV163" s="434">
        <f>+'Rango indicadores'!O86</f>
        <v>79</v>
      </c>
      <c r="AW163" s="523" t="s">
        <v>1176</v>
      </c>
      <c r="AX163" s="616"/>
      <c r="AY163" s="589">
        <f t="shared" ref="AY163:AZ165" si="304">+X163-Z163</f>
        <v>5</v>
      </c>
      <c r="AZ163" s="589">
        <f t="shared" si="304"/>
        <v>-23</v>
      </c>
    </row>
    <row r="164" spans="2:52" ht="56.25" customHeight="1">
      <c r="B164" s="431">
        <f>B163+1</f>
        <v>83</v>
      </c>
      <c r="C164" s="432" t="str">
        <f>+'Rango indicadores'!D87</f>
        <v>15-RI-02</v>
      </c>
      <c r="D164" s="432" t="str">
        <f>+'Rango indicadores'!E87</f>
        <v>Jornadas de sensibilización realizadas</v>
      </c>
      <c r="E164" s="457">
        <f>+'Rango indicadores'!Q87</f>
        <v>6</v>
      </c>
      <c r="F164" s="446">
        <f>'1.Informe Seguimiento POA 2022'!O88</f>
        <v>0</v>
      </c>
      <c r="G164" s="446">
        <f>'1.Informe Seguimiento POA 2022'!O88</f>
        <v>0</v>
      </c>
      <c r="H164" s="446">
        <f>'1.Informe Seguimiento POA 2022'!P88</f>
        <v>1</v>
      </c>
      <c r="I164" s="446">
        <f>'1.Informe Seguimiento POA 2022'!P88</f>
        <v>1</v>
      </c>
      <c r="J164" s="446">
        <f t="shared" si="291"/>
        <v>1</v>
      </c>
      <c r="K164" s="449" t="str">
        <f t="shared" ref="K164:K165" si="305">IF(AND(F164&gt;0),H164/F164,"No programado")</f>
        <v>No programado</v>
      </c>
      <c r="L164" s="449" t="str">
        <f t="shared" ref="L164:L165" si="306">IF(AND(G164&gt;0),I164/G164,"No programado")</f>
        <v>No programado</v>
      </c>
      <c r="M164" s="435">
        <f t="shared" ref="M164:M165" si="307">IF(AND(E164&gt;0,$J164&gt;0),J164/$E164,0)</f>
        <v>0.16666666666666666</v>
      </c>
      <c r="N164" s="457">
        <f t="shared" ref="N164:N165" si="308">E164</f>
        <v>6</v>
      </c>
      <c r="O164" s="446">
        <f>+'1.Informe Seguimiento POA 2022'!Q88</f>
        <v>2</v>
      </c>
      <c r="P164" s="446">
        <f>+'1.Informe Seguimiento POA 2022'!O88+'1.Informe Seguimiento POA 2022'!Q88</f>
        <v>2</v>
      </c>
      <c r="Q164" s="446">
        <f>+'1.Informe Seguimiento POA 2022'!R88</f>
        <v>1</v>
      </c>
      <c r="R164" s="446">
        <f>+'1.Informe Seguimiento POA 2022'!P88+'1.Informe Seguimiento POA 2022'!R88</f>
        <v>2</v>
      </c>
      <c r="S164" s="446">
        <f t="shared" ref="S164:S165" si="309">H164+Q164</f>
        <v>2</v>
      </c>
      <c r="T164" s="449">
        <f t="shared" si="296"/>
        <v>0.5</v>
      </c>
      <c r="U164" s="449">
        <f t="shared" si="297"/>
        <v>1</v>
      </c>
      <c r="V164" s="435">
        <f>IF(AND(N164&gt;0,$S164&gt;0),S164/$N164,0)</f>
        <v>0.33333333333333331</v>
      </c>
      <c r="W164" s="457">
        <f t="shared" ref="W164:W165" si="310">N164</f>
        <v>6</v>
      </c>
      <c r="X164" s="446">
        <f>+'1.Informe Seguimiento POA 2022'!S88</f>
        <v>3</v>
      </c>
      <c r="Y164" s="446">
        <f>+'1.Informe Seguimiento POA 2022'!O88+'1.Informe Seguimiento POA 2022'!Q88+'1.Informe Seguimiento POA 2022'!S88</f>
        <v>5</v>
      </c>
      <c r="Z164" s="446">
        <f>+'1.Informe Seguimiento POA 2022'!T88</f>
        <v>2</v>
      </c>
      <c r="AA164" s="446">
        <f>+'1.Informe Seguimiento POA 2022'!R88+'1.Informe Seguimiento POA 2022'!T88+'1.Informe Seguimiento POA 2022'!P88</f>
        <v>4</v>
      </c>
      <c r="AB164" s="446">
        <f t="shared" ref="AB164:AB165" si="311">H164+Q164+Z164</f>
        <v>4</v>
      </c>
      <c r="AC164" s="449">
        <f t="shared" si="299"/>
        <v>0.66666666666666663</v>
      </c>
      <c r="AD164" s="449">
        <f t="shared" si="300"/>
        <v>0.8</v>
      </c>
      <c r="AE164" s="435">
        <f>IF(AND(W164&gt;0,$AB164&gt;0),AB164/$W164,0)</f>
        <v>0.66666666666666663</v>
      </c>
      <c r="AF164" s="457">
        <f t="shared" ref="AF164:AF165" si="312">W164</f>
        <v>6</v>
      </c>
      <c r="AG164" s="457">
        <f>+'1.Informe Seguimiento POA 2022'!W88</f>
        <v>1</v>
      </c>
      <c r="AH164" s="457">
        <f>+'1.Informe Seguimiento POA 2022'!O88+'1.Informe Seguimiento POA 2022'!Q88+'1.Informe Seguimiento POA 2022'!S88+'1.Informe Seguimiento POA 2022'!W88</f>
        <v>6</v>
      </c>
      <c r="AI164" s="457">
        <f>+'1.Informe Seguimiento POA 2022'!V88</f>
        <v>2</v>
      </c>
      <c r="AJ164" s="457">
        <f>+'1.Informe Seguimiento POA 2022'!P88+'1.Informe Seguimiento POA 2022'!R88+'1.Informe Seguimiento POA 2022'!T88+'1.Informe Seguimiento POA 2022'!V88</f>
        <v>6</v>
      </c>
      <c r="AK164" s="446">
        <f t="shared" si="301"/>
        <v>6</v>
      </c>
      <c r="AL164" s="449">
        <f t="shared" si="302"/>
        <v>2</v>
      </c>
      <c r="AM164" s="449">
        <f t="shared" si="303"/>
        <v>1</v>
      </c>
      <c r="AN164" s="435">
        <f>IF(AND(AF164&gt;0,$AK164&gt;0),AK164/$AF164,0)</f>
        <v>1</v>
      </c>
      <c r="AO164" s="439" t="str">
        <f>+'Rango indicadores'!H87</f>
        <v>Mayor o igual A:</v>
      </c>
      <c r="AP164" s="434">
        <f>+'Rango indicadores'!I87</f>
        <v>100</v>
      </c>
      <c r="AQ164" s="434" t="str">
        <f>+'Rango indicadores'!J87</f>
        <v>Desde (&gt;):</v>
      </c>
      <c r="AR164" s="434">
        <f>+'Rango indicadores'!K87</f>
        <v>99</v>
      </c>
      <c r="AS164" s="434" t="str">
        <f>+'Rango indicadores'!L87</f>
        <v>Hasta (&lt;):</v>
      </c>
      <c r="AT164" s="434">
        <f>+'Rango indicadores'!M87</f>
        <v>100</v>
      </c>
      <c r="AU164" s="434" t="str">
        <f>+'Rango indicadores'!N87</f>
        <v>Menor o Igual A:</v>
      </c>
      <c r="AV164" s="434">
        <f>+'Rango indicadores'!O87</f>
        <v>99</v>
      </c>
      <c r="AW164" s="523" t="s">
        <v>1174</v>
      </c>
      <c r="AX164" s="527"/>
      <c r="AY164" s="589">
        <f t="shared" si="304"/>
        <v>1</v>
      </c>
      <c r="AZ164" s="527"/>
    </row>
    <row r="165" spans="2:52" ht="56.25" customHeight="1">
      <c r="B165" s="431">
        <f t="shared" ref="B165" si="313">B164+1</f>
        <v>84</v>
      </c>
      <c r="C165" s="432" t="str">
        <f>+'Rango indicadores'!D88</f>
        <v>15-RI-03</v>
      </c>
      <c r="D165" s="432" t="str">
        <f>+'Rango indicadores'!E88</f>
        <v>Procesos disciplinarios con decisión de fondo proferida</v>
      </c>
      <c r="E165" s="457">
        <f>+'Rango indicadores'!Q88</f>
        <v>100</v>
      </c>
      <c r="F165" s="446">
        <f>'1.Informe Seguimiento POA 2022'!O89</f>
        <v>23</v>
      </c>
      <c r="G165" s="446">
        <f>'1.Informe Seguimiento POA 2022'!O89</f>
        <v>23</v>
      </c>
      <c r="H165" s="446">
        <f>'1.Informe Seguimiento POA 2022'!P89</f>
        <v>30</v>
      </c>
      <c r="I165" s="446">
        <f>'1.Informe Seguimiento POA 2022'!P89</f>
        <v>30</v>
      </c>
      <c r="J165" s="446">
        <f t="shared" si="291"/>
        <v>30</v>
      </c>
      <c r="K165" s="449">
        <f t="shared" si="305"/>
        <v>1.3043478260869565</v>
      </c>
      <c r="L165" s="449">
        <f t="shared" si="306"/>
        <v>1.3043478260869565</v>
      </c>
      <c r="M165" s="435">
        <f t="shared" si="307"/>
        <v>0.3</v>
      </c>
      <c r="N165" s="457">
        <f t="shared" si="308"/>
        <v>100</v>
      </c>
      <c r="O165" s="446">
        <f>+'1.Informe Seguimiento POA 2022'!Q89</f>
        <v>30</v>
      </c>
      <c r="P165" s="446">
        <f>+'1.Informe Seguimiento POA 2022'!O89+'1.Informe Seguimiento POA 2022'!Q89</f>
        <v>53</v>
      </c>
      <c r="Q165" s="446">
        <f>+'1.Informe Seguimiento POA 2022'!R89</f>
        <v>46</v>
      </c>
      <c r="R165" s="446">
        <f>+'1.Informe Seguimiento POA 2022'!P89+'1.Informe Seguimiento POA 2022'!R89</f>
        <v>76</v>
      </c>
      <c r="S165" s="446">
        <f t="shared" si="309"/>
        <v>76</v>
      </c>
      <c r="T165" s="449">
        <f t="shared" si="296"/>
        <v>1.5333333333333334</v>
      </c>
      <c r="U165" s="449">
        <f t="shared" si="297"/>
        <v>1.4339622641509433</v>
      </c>
      <c r="V165" s="435">
        <f>IF(AND(N165&gt;0,$S165&gt;0),S165/$N165,0)</f>
        <v>0.76</v>
      </c>
      <c r="W165" s="457">
        <f t="shared" si="310"/>
        <v>100</v>
      </c>
      <c r="X165" s="446">
        <f>+'1.Informe Seguimiento POA 2022'!S89</f>
        <v>30</v>
      </c>
      <c r="Y165" s="446">
        <f>+'1.Informe Seguimiento POA 2022'!O89+'1.Informe Seguimiento POA 2022'!Q89+'1.Informe Seguimiento POA 2022'!S89</f>
        <v>83</v>
      </c>
      <c r="Z165" s="446">
        <f>+'1.Informe Seguimiento POA 2022'!T89</f>
        <v>51</v>
      </c>
      <c r="AA165" s="446">
        <f>+'1.Informe Seguimiento POA 2022'!R89+'1.Informe Seguimiento POA 2022'!T89+'1.Informe Seguimiento POA 2022'!P89</f>
        <v>127</v>
      </c>
      <c r="AB165" s="446">
        <f t="shared" si="311"/>
        <v>127</v>
      </c>
      <c r="AC165" s="449">
        <f t="shared" si="299"/>
        <v>1.7</v>
      </c>
      <c r="AD165" s="449">
        <f t="shared" si="300"/>
        <v>1.5301204819277108</v>
      </c>
      <c r="AE165" s="435">
        <f>IF(AND(W165&gt;0,$AB165&gt;0),AB165/$W165,0)</f>
        <v>1.27</v>
      </c>
      <c r="AF165" s="457">
        <f t="shared" si="312"/>
        <v>100</v>
      </c>
      <c r="AG165" s="457">
        <f>+'1.Informe Seguimiento POA 2022'!W89</f>
        <v>12</v>
      </c>
      <c r="AH165" s="457">
        <f>+'1.Informe Seguimiento POA 2022'!O89+'1.Informe Seguimiento POA 2022'!Q89+'1.Informe Seguimiento POA 2022'!S89+'1.Informe Seguimiento POA 2022'!W89</f>
        <v>95</v>
      </c>
      <c r="AI165" s="457">
        <f>+'1.Informe Seguimiento POA 2022'!V89</f>
        <v>43</v>
      </c>
      <c r="AJ165" s="457">
        <f>+'1.Informe Seguimiento POA 2022'!P89+'1.Informe Seguimiento POA 2022'!R89+'1.Informe Seguimiento POA 2022'!T89+'1.Informe Seguimiento POA 2022'!V89</f>
        <v>170</v>
      </c>
      <c r="AK165" s="446">
        <f t="shared" si="301"/>
        <v>170</v>
      </c>
      <c r="AL165" s="449">
        <f t="shared" si="302"/>
        <v>3.5833333333333335</v>
      </c>
      <c r="AM165" s="449">
        <f t="shared" si="303"/>
        <v>1.7894736842105263</v>
      </c>
      <c r="AN165" s="435">
        <f>IF(AND(AF165&gt;0,$AK165&gt;0),AK165/$AF165,0)</f>
        <v>1.7</v>
      </c>
      <c r="AO165" s="439" t="str">
        <f>+'Rango indicadores'!H88</f>
        <v>Mayor o igual A:</v>
      </c>
      <c r="AP165" s="434">
        <f>+'Rango indicadores'!I88</f>
        <v>100</v>
      </c>
      <c r="AQ165" s="434" t="str">
        <f>+'Rango indicadores'!J88</f>
        <v>Desde (&gt;):</v>
      </c>
      <c r="AR165" s="434">
        <f>+'Rango indicadores'!K88</f>
        <v>70</v>
      </c>
      <c r="AS165" s="434" t="str">
        <f>+'Rango indicadores'!L88</f>
        <v>Hasta (&lt;):</v>
      </c>
      <c r="AT165" s="434">
        <f>+'Rango indicadores'!M88</f>
        <v>100</v>
      </c>
      <c r="AU165" s="434" t="str">
        <f>+'Rango indicadores'!N88</f>
        <v>Menor o Igual A:</v>
      </c>
      <c r="AV165" s="434">
        <f>+'Rango indicadores'!O88</f>
        <v>70</v>
      </c>
      <c r="AW165" s="523" t="s">
        <v>1176</v>
      </c>
      <c r="AX165" s="527"/>
      <c r="AY165" s="589">
        <f t="shared" si="304"/>
        <v>-21</v>
      </c>
      <c r="AZ165" s="589">
        <f t="shared" si="304"/>
        <v>-44</v>
      </c>
    </row>
    <row r="166" spans="2:52" ht="15.6">
      <c r="C166" s="1378" t="s">
        <v>866</v>
      </c>
      <c r="D166" s="1379"/>
      <c r="E166" s="1379"/>
      <c r="F166" s="1379"/>
      <c r="G166" s="1379"/>
      <c r="H166" s="1379"/>
      <c r="I166" s="1379"/>
      <c r="J166" s="1379"/>
      <c r="K166" s="437">
        <f>IFERROR(AVERAGE(K163:K165),0)</f>
        <v>2.8188405797101446</v>
      </c>
      <c r="L166" s="437">
        <f>IFERROR(AVERAGE(L163:L165),0)</f>
        <v>2.8188405797101446</v>
      </c>
      <c r="M166" s="437">
        <f>IFERROR(AVERAGE(M163:M165),0)</f>
        <v>0.32222222222222219</v>
      </c>
      <c r="N166" s="880"/>
      <c r="O166" s="880"/>
      <c r="P166" s="880"/>
      <c r="Q166" s="880"/>
      <c r="R166" s="880"/>
      <c r="S166" s="880"/>
      <c r="T166" s="437">
        <f>IFERROR(AVERAGE(T163:T165),0)</f>
        <v>1.4555555555555557</v>
      </c>
      <c r="U166" s="437">
        <f>IFERROR(AVERAGE(U163:U165),0)</f>
        <v>1.9224318658280923</v>
      </c>
      <c r="V166" s="437">
        <f>IFERROR(AVERAGE(V163:V165),0)</f>
        <v>0.62085470085470085</v>
      </c>
      <c r="W166" s="880"/>
      <c r="X166" s="880"/>
      <c r="Y166" s="880"/>
      <c r="Z166" s="880"/>
      <c r="AA166" s="880"/>
      <c r="AB166" s="880"/>
      <c r="AC166" s="437">
        <f>IFERROR(AVERAGE(AC163:AC165),0)</f>
        <v>1.0428571428571427</v>
      </c>
      <c r="AD166" s="437">
        <f>IFERROR(AVERAGE(AD163:AD165),0)</f>
        <v>1.3423633929658028</v>
      </c>
      <c r="AE166" s="437">
        <f>IFERROR(AVERAGE(AE163:AE165),0)</f>
        <v>1.0045299145299145</v>
      </c>
      <c r="AF166" s="880"/>
      <c r="AG166" s="880"/>
      <c r="AH166" s="880"/>
      <c r="AI166" s="880"/>
      <c r="AJ166" s="880"/>
      <c r="AK166" s="881"/>
      <c r="AL166" s="437">
        <f>IFERROR(AVERAGE(AL163:AL165),0)</f>
        <v>2.1944444444444446</v>
      </c>
      <c r="AM166" s="437">
        <f>IFERROR(AVERAGE(AM163:AM165),0)</f>
        <v>1.4298245614035088</v>
      </c>
      <c r="AN166" s="437">
        <f>IFERROR(AVERAGE(AN163:AN165),0)</f>
        <v>1.3423076923076922</v>
      </c>
      <c r="AO166" s="444"/>
      <c r="AP166" s="444"/>
      <c r="AQ166" s="444"/>
      <c r="AR166" s="444"/>
      <c r="AS166" s="444"/>
      <c r="AT166" s="444"/>
      <c r="AU166" s="444"/>
      <c r="AV166" s="444"/>
      <c r="AW166" s="529"/>
      <c r="AY166" s="589"/>
    </row>
    <row r="167" spans="2:52" s="427" customFormat="1" ht="23.4" customHeight="1" thickBot="1">
      <c r="D167" s="429"/>
      <c r="AW167" s="429"/>
      <c r="AY167" s="589"/>
      <c r="AZ167" s="413"/>
    </row>
    <row r="168" spans="2:52" s="427" customFormat="1" ht="16.2" thickBot="1">
      <c r="C168" s="430" t="s">
        <v>881</v>
      </c>
      <c r="D168" s="460"/>
      <c r="E168" s="1380" t="s">
        <v>1128</v>
      </c>
      <c r="F168" s="1381"/>
      <c r="G168" s="1381"/>
      <c r="H168" s="1381"/>
      <c r="I168" s="1381"/>
      <c r="J168" s="1381"/>
      <c r="K168" s="1381"/>
      <c r="L168" s="1381"/>
      <c r="M168" s="1382"/>
      <c r="N168" s="1383" t="s">
        <v>1129</v>
      </c>
      <c r="O168" s="1384"/>
      <c r="P168" s="1384"/>
      <c r="Q168" s="1384"/>
      <c r="R168" s="1384"/>
      <c r="S168" s="1384"/>
      <c r="T168" s="1384"/>
      <c r="U168" s="1384"/>
      <c r="V168" s="1385"/>
      <c r="W168" s="1386" t="s">
        <v>1130</v>
      </c>
      <c r="X168" s="1387"/>
      <c r="Y168" s="1387"/>
      <c r="Z168" s="1387"/>
      <c r="AA168" s="1387"/>
      <c r="AB168" s="1387"/>
      <c r="AC168" s="1387"/>
      <c r="AD168" s="1387"/>
      <c r="AE168" s="1388"/>
      <c r="AF168" s="1383" t="s">
        <v>1046</v>
      </c>
      <c r="AG168" s="1384"/>
      <c r="AH168" s="1384"/>
      <c r="AI168" s="1384"/>
      <c r="AJ168" s="1384"/>
      <c r="AK168" s="1384"/>
      <c r="AL168" s="1384"/>
      <c r="AM168" s="1384"/>
      <c r="AN168" s="1385"/>
      <c r="AW168" s="429"/>
      <c r="AY168" s="589"/>
      <c r="AZ168" s="413"/>
    </row>
    <row r="169" spans="2:52" ht="24.6" customHeight="1">
      <c r="C169" s="1393" t="str">
        <f>+$C$10</f>
        <v>Identificación del Indicador</v>
      </c>
      <c r="D169" s="1396" t="s">
        <v>861</v>
      </c>
      <c r="E169" s="1389" t="s">
        <v>862</v>
      </c>
      <c r="F169" s="1390"/>
      <c r="G169" s="1391"/>
      <c r="H169" s="1392" t="s">
        <v>1132</v>
      </c>
      <c r="I169" s="1394" t="s">
        <v>1136</v>
      </c>
      <c r="J169" s="1392" t="s">
        <v>863</v>
      </c>
      <c r="K169" s="1392" t="s">
        <v>857</v>
      </c>
      <c r="L169" s="1392"/>
      <c r="M169" s="1392"/>
      <c r="N169" s="1389" t="s">
        <v>862</v>
      </c>
      <c r="O169" s="1390"/>
      <c r="P169" s="1391"/>
      <c r="Q169" s="1392" t="s">
        <v>1141</v>
      </c>
      <c r="R169" s="1394" t="s">
        <v>1133</v>
      </c>
      <c r="S169" s="1392" t="s">
        <v>863</v>
      </c>
      <c r="T169" s="1392" t="s">
        <v>857</v>
      </c>
      <c r="U169" s="1392"/>
      <c r="V169" s="1392"/>
      <c r="W169" s="1389" t="s">
        <v>862</v>
      </c>
      <c r="X169" s="1390"/>
      <c r="Y169" s="1391"/>
      <c r="Z169" s="1392" t="s">
        <v>1142</v>
      </c>
      <c r="AA169" s="1394" t="s">
        <v>1138</v>
      </c>
      <c r="AB169" s="1392" t="s">
        <v>863</v>
      </c>
      <c r="AC169" s="1392" t="s">
        <v>857</v>
      </c>
      <c r="AD169" s="1392"/>
      <c r="AE169" s="1392"/>
      <c r="AF169" s="1389" t="s">
        <v>862</v>
      </c>
      <c r="AG169" s="1390"/>
      <c r="AH169" s="1391"/>
      <c r="AI169" s="1392" t="s">
        <v>1172</v>
      </c>
      <c r="AJ169" s="1394" t="s">
        <v>1173</v>
      </c>
      <c r="AK169" s="1392" t="s">
        <v>863</v>
      </c>
      <c r="AL169" s="1392" t="s">
        <v>857</v>
      </c>
      <c r="AM169" s="1392"/>
      <c r="AN169" s="1392"/>
      <c r="AO169" s="1398" t="s">
        <v>709</v>
      </c>
      <c r="AP169" s="1398"/>
      <c r="AQ169" s="1398"/>
      <c r="AR169" s="1398"/>
      <c r="AS169" s="1398"/>
      <c r="AT169" s="1398"/>
      <c r="AU169" s="1398"/>
      <c r="AV169" s="1398"/>
      <c r="AW169" s="1393" t="s">
        <v>882</v>
      </c>
      <c r="AY169" s="589"/>
    </row>
    <row r="170" spans="2:52" ht="50.4" customHeight="1">
      <c r="C170" s="1393"/>
      <c r="D170" s="1396"/>
      <c r="E170" s="1024" t="s">
        <v>1143</v>
      </c>
      <c r="F170" s="1024" t="str">
        <f>+E168</f>
        <v>Primer Trimestre</v>
      </c>
      <c r="G170" s="1025" t="s">
        <v>1135</v>
      </c>
      <c r="H170" s="1393"/>
      <c r="I170" s="1395"/>
      <c r="J170" s="1393"/>
      <c r="K170" s="1024" t="str">
        <f>+$D$6</f>
        <v>Cuarto Trimestre</v>
      </c>
      <c r="L170" s="1025" t="str">
        <f>+G170</f>
        <v>Acumulado
Corte 
31/03/2022</v>
      </c>
      <c r="M170" s="1026" t="s">
        <v>754</v>
      </c>
      <c r="N170" s="1024" t="s">
        <v>1143</v>
      </c>
      <c r="O170" s="1024" t="str">
        <f>+N168</f>
        <v>Segundo Trimestre</v>
      </c>
      <c r="P170" s="1025" t="s">
        <v>1134</v>
      </c>
      <c r="Q170" s="1393"/>
      <c r="R170" s="1395"/>
      <c r="S170" s="1393"/>
      <c r="T170" s="1024" t="str">
        <f>+O170</f>
        <v>Segundo Trimestre</v>
      </c>
      <c r="U170" s="1025" t="str">
        <f>+P170</f>
        <v>Acumulado Corte 
30/06/2022</v>
      </c>
      <c r="V170" s="1026" t="s">
        <v>754</v>
      </c>
      <c r="W170" s="1024" t="s">
        <v>1143</v>
      </c>
      <c r="X170" s="1024" t="str">
        <f>+W168</f>
        <v>Tercer Trimestre</v>
      </c>
      <c r="Y170" s="1025" t="s">
        <v>1137</v>
      </c>
      <c r="Z170" s="1393"/>
      <c r="AA170" s="1395"/>
      <c r="AB170" s="1393"/>
      <c r="AC170" s="1024" t="str">
        <f>+X170</f>
        <v>Tercer Trimestre</v>
      </c>
      <c r="AD170" s="1025" t="str">
        <f>+Y170</f>
        <v>Acumulado Corte 
30/09/2022</v>
      </c>
      <c r="AE170" s="1026" t="s">
        <v>754</v>
      </c>
      <c r="AF170" s="1024" t="s">
        <v>1143</v>
      </c>
      <c r="AG170" s="1024" t="s">
        <v>1171</v>
      </c>
      <c r="AH170" s="1025" t="s">
        <v>1139</v>
      </c>
      <c r="AI170" s="1393"/>
      <c r="AJ170" s="1395"/>
      <c r="AK170" s="1393"/>
      <c r="AL170" s="1024" t="str">
        <f>+AG170</f>
        <v>Cuarto Trimestre
31-12-2022</v>
      </c>
      <c r="AM170" s="1025" t="str">
        <f>+AH170</f>
        <v>Acumulado Corte 
31/12/2022</v>
      </c>
      <c r="AN170" s="1026" t="s">
        <v>754</v>
      </c>
      <c r="AO170" s="1097" t="s">
        <v>864</v>
      </c>
      <c r="AP170" s="1098"/>
      <c r="AQ170" s="1099" t="s">
        <v>865</v>
      </c>
      <c r="AR170" s="1100"/>
      <c r="AS170" s="1100"/>
      <c r="AT170" s="1101"/>
      <c r="AU170" s="1102" t="s">
        <v>717</v>
      </c>
      <c r="AV170" s="1103"/>
      <c r="AW170" s="1393"/>
      <c r="AY170" s="589"/>
    </row>
    <row r="171" spans="2:52" ht="36.75" customHeight="1">
      <c r="B171" s="431">
        <f>+B165+1</f>
        <v>85</v>
      </c>
      <c r="C171" s="432" t="str">
        <f>+'Rango indicadores'!D89</f>
        <v>16-RI-01</v>
      </c>
      <c r="D171" s="432" t="str">
        <f>+'Rango indicadores'!E89</f>
        <v>Programa anual de auditorías ejecutado.</v>
      </c>
      <c r="E171" s="457">
        <f>+'Rango indicadores'!Q89</f>
        <v>1</v>
      </c>
      <c r="F171" s="472">
        <f>'1.Informe Seguimiento POA 2022'!O90</f>
        <v>0.35</v>
      </c>
      <c r="G171" s="472">
        <f>'1.Informe Seguimiento POA 2022'!O90</f>
        <v>0.35</v>
      </c>
      <c r="H171" s="472">
        <f>'1.Informe Seguimiento POA 2022'!P90</f>
        <v>0.35</v>
      </c>
      <c r="I171" s="472">
        <f>'1.Informe Seguimiento POA 2022'!P90</f>
        <v>0.35</v>
      </c>
      <c r="J171" s="472">
        <f t="shared" ref="J171:J173" si="314">I171</f>
        <v>0.35</v>
      </c>
      <c r="K171" s="449">
        <f t="shared" ref="K171" si="315">IF(AND(F171&gt;0),H171/F171,"No programado")</f>
        <v>1</v>
      </c>
      <c r="L171" s="449">
        <f t="shared" ref="L171" si="316">IF(AND(G171&gt;0),I171/G171,"No programado")</f>
        <v>1</v>
      </c>
      <c r="M171" s="435">
        <f t="shared" ref="M171" si="317">IF(AND(E171&gt;0,$J171&gt;0),J171/$E171,0)</f>
        <v>0.35</v>
      </c>
      <c r="N171" s="457">
        <f t="shared" ref="N171" si="318">E171</f>
        <v>1</v>
      </c>
      <c r="O171" s="472">
        <f>+'1.Informe Seguimiento POA 2022'!Q90</f>
        <v>0.15</v>
      </c>
      <c r="P171" s="472">
        <f>+'1.Informe Seguimiento POA 2022'!O90+'1.Informe Seguimiento POA 2022'!Q90</f>
        <v>0.5</v>
      </c>
      <c r="Q171" s="472">
        <f>+'1.Informe Seguimiento POA 2022'!R90</f>
        <v>0.15</v>
      </c>
      <c r="R171" s="472">
        <f>+'1.Informe Seguimiento POA 2022'!P90+'1.Informe Seguimiento POA 2022'!R90</f>
        <v>0.5</v>
      </c>
      <c r="S171" s="472">
        <f t="shared" ref="S171" si="319">H171+Q171</f>
        <v>0.5</v>
      </c>
      <c r="T171" s="449">
        <f t="shared" ref="T171:T173" si="320">IF(AND(O171&gt;0),Q171/O171,"No programado")</f>
        <v>1</v>
      </c>
      <c r="U171" s="449">
        <f t="shared" ref="U171:U173" si="321">IF(AND(P171&gt;0),R171/P171,"No programado")</f>
        <v>1</v>
      </c>
      <c r="V171" s="435">
        <f>IF(AND(N171&gt;0,$S171&gt;0),S171/$N171,0)</f>
        <v>0.5</v>
      </c>
      <c r="W171" s="457">
        <f t="shared" ref="W171:W173" si="322">N171</f>
        <v>1</v>
      </c>
      <c r="X171" s="472">
        <f>+'1.Informe Seguimiento POA 2022'!S90</f>
        <v>0.44000000000000006</v>
      </c>
      <c r="Y171" s="472">
        <f>+'1.Informe Seguimiento POA 2022'!O90+'1.Informe Seguimiento POA 2022'!Q90+'1.Informe Seguimiento POA 2022'!S90</f>
        <v>0.94000000000000006</v>
      </c>
      <c r="Z171" s="472">
        <f>+'1.Informe Seguimiento POA 2022'!T90</f>
        <v>0.44000000000000006</v>
      </c>
      <c r="AA171" s="472">
        <f>+'1.Informe Seguimiento POA 2022'!R90+'1.Informe Seguimiento POA 2022'!T90+'1.Informe Seguimiento POA 2022'!P90</f>
        <v>0.94000000000000006</v>
      </c>
      <c r="AB171" s="472">
        <f t="shared" ref="AB171" si="323">H171+Q171+Z171</f>
        <v>0.94000000000000006</v>
      </c>
      <c r="AC171" s="449">
        <f t="shared" ref="AC171:AC173" si="324">IF(AND(X171&gt;0),Z171/X171,"No programado")</f>
        <v>1</v>
      </c>
      <c r="AD171" s="449">
        <f t="shared" ref="AD171:AD173" si="325">IF(AND(Y171&gt;0),AA171/Y171,"No programado")</f>
        <v>1</v>
      </c>
      <c r="AE171" s="435">
        <f>IF(AND(W171&gt;0,$AB171&gt;0),AB171/$W171,0)</f>
        <v>0.94000000000000006</v>
      </c>
      <c r="AF171" s="457">
        <f t="shared" ref="AF171:AF173" si="326">W171</f>
        <v>1</v>
      </c>
      <c r="AG171" s="472">
        <f>+'1.Informe Seguimiento POA 2022'!W90</f>
        <v>0.06</v>
      </c>
      <c r="AH171" s="472">
        <f>+'1.Informe Seguimiento POA 2022'!O90+'1.Informe Seguimiento POA 2022'!Q90+'1.Informe Seguimiento POA 2022'!S90+'1.Informe Seguimiento POA 2022'!W90</f>
        <v>1</v>
      </c>
      <c r="AI171" s="472">
        <f>+'1.Informe Seguimiento POA 2022'!V90</f>
        <v>0.06</v>
      </c>
      <c r="AJ171" s="472">
        <f>+'1.Informe Seguimiento POA 2022'!P90+'1.Informe Seguimiento POA 2022'!R90+'1.Informe Seguimiento POA 2022'!T90+'1.Informe Seguimiento POA 2022'!V90</f>
        <v>1</v>
      </c>
      <c r="AK171" s="446">
        <f t="shared" ref="AK171:AK173" si="327">H171+Q171+Z171+AI171</f>
        <v>1</v>
      </c>
      <c r="AL171" s="439">
        <f t="shared" ref="AL171:AM173" si="328">IF(AND(AG171&gt;0),AI171/AG171,"No programado")</f>
        <v>1</v>
      </c>
      <c r="AM171" s="439">
        <f>IF(AND(AH171&gt;0),AJ171/AH171,"No programado")</f>
        <v>1</v>
      </c>
      <c r="AN171" s="435">
        <f>IF(AND(AF171&gt;0,$AK171&gt;0),AK171/$AF171,0)</f>
        <v>1</v>
      </c>
      <c r="AO171" s="439" t="str">
        <f>+'Rango indicadores'!H89</f>
        <v>Mayor o igual A:</v>
      </c>
      <c r="AP171" s="434">
        <f>+'Rango indicadores'!I89</f>
        <v>90</v>
      </c>
      <c r="AQ171" s="434" t="str">
        <f>+'Rango indicadores'!J89</f>
        <v>Desde (&gt;):</v>
      </c>
      <c r="AR171" s="434">
        <f>+'Rango indicadores'!K89</f>
        <v>69</v>
      </c>
      <c r="AS171" s="434" t="str">
        <f>+'Rango indicadores'!L89</f>
        <v>Hasta (&lt;):</v>
      </c>
      <c r="AT171" s="434">
        <f>+'Rango indicadores'!M89</f>
        <v>90</v>
      </c>
      <c r="AU171" s="434" t="str">
        <f>+'Rango indicadores'!N89</f>
        <v>Menor o Igual A:</v>
      </c>
      <c r="AV171" s="434">
        <f>+'Rango indicadores'!O89</f>
        <v>69</v>
      </c>
      <c r="AW171" s="523" t="s">
        <v>1175</v>
      </c>
      <c r="AX171" s="527"/>
      <c r="AY171" s="589"/>
      <c r="AZ171" s="527"/>
    </row>
    <row r="172" spans="2:52" ht="36.75" customHeight="1">
      <c r="B172" s="431">
        <f>B171+1</f>
        <v>86</v>
      </c>
      <c r="C172" s="432" t="str">
        <f>+'Rango indicadores'!D90</f>
        <v>16-RI-02</v>
      </c>
      <c r="D172" s="432" t="str">
        <f>+'Rango indicadores'!E90</f>
        <v>Estrategia de Sensibilización acerca de la Cultura del Control realizada</v>
      </c>
      <c r="E172" s="457">
        <f>+'Rango indicadores'!Q90</f>
        <v>1</v>
      </c>
      <c r="F172" s="472">
        <f>'1.Informe Seguimiento POA 2022'!O91</f>
        <v>0</v>
      </c>
      <c r="G172" s="472">
        <f>'1.Informe Seguimiento POA 2022'!O91</f>
        <v>0</v>
      </c>
      <c r="H172" s="472">
        <f>'1.Informe Seguimiento POA 2022'!P91</f>
        <v>0</v>
      </c>
      <c r="I172" s="472">
        <f>'1.Informe Seguimiento POA 2022'!P91</f>
        <v>0</v>
      </c>
      <c r="J172" s="472">
        <f t="shared" si="314"/>
        <v>0</v>
      </c>
      <c r="K172" s="449" t="str">
        <f t="shared" ref="K172:K173" si="329">IF(AND(F172&gt;0),H172/F172,"No programado")</f>
        <v>No programado</v>
      </c>
      <c r="L172" s="449" t="str">
        <f t="shared" ref="L172:L173" si="330">IF(AND(G172&gt;0),I172/G172,"No programado")</f>
        <v>No programado</v>
      </c>
      <c r="M172" s="435">
        <f t="shared" ref="M172:M173" si="331">IF(AND(E172&gt;0,$J172&gt;0),J172/$E172,0)</f>
        <v>0</v>
      </c>
      <c r="N172" s="457">
        <f t="shared" ref="N172:N173" si="332">E172</f>
        <v>1</v>
      </c>
      <c r="O172" s="472">
        <f>+'1.Informe Seguimiento POA 2022'!Q91</f>
        <v>0</v>
      </c>
      <c r="P172" s="472">
        <f>+'1.Informe Seguimiento POA 2022'!O91+'1.Informe Seguimiento POA 2022'!Q91</f>
        <v>0</v>
      </c>
      <c r="Q172" s="472">
        <f>+'1.Informe Seguimiento POA 2022'!R91</f>
        <v>0</v>
      </c>
      <c r="R172" s="472">
        <f>+'1.Informe Seguimiento POA 2022'!P91+'1.Informe Seguimiento POA 2022'!R91</f>
        <v>0</v>
      </c>
      <c r="S172" s="472">
        <f t="shared" ref="S172:S173" si="333">H172+Q172</f>
        <v>0</v>
      </c>
      <c r="T172" s="449" t="str">
        <f t="shared" si="320"/>
        <v>No programado</v>
      </c>
      <c r="U172" s="449" t="str">
        <f t="shared" si="321"/>
        <v>No programado</v>
      </c>
      <c r="V172" s="435">
        <f>IF(AND(N172&gt;0,$S172&gt;0),S172/$N172,0)</f>
        <v>0</v>
      </c>
      <c r="W172" s="457">
        <f t="shared" si="322"/>
        <v>1</v>
      </c>
      <c r="X172" s="472">
        <f>+'1.Informe Seguimiento POA 2022'!S91</f>
        <v>0</v>
      </c>
      <c r="Y172" s="472">
        <f>+'1.Informe Seguimiento POA 2022'!O91+'1.Informe Seguimiento POA 2022'!Q91+'1.Informe Seguimiento POA 2022'!S91</f>
        <v>0</v>
      </c>
      <c r="Z172" s="472">
        <f>+'1.Informe Seguimiento POA 2022'!T91</f>
        <v>0</v>
      </c>
      <c r="AA172" s="472">
        <f>+'1.Informe Seguimiento POA 2022'!R91+'1.Informe Seguimiento POA 2022'!T91+'1.Informe Seguimiento POA 2022'!P91</f>
        <v>0</v>
      </c>
      <c r="AB172" s="472">
        <f t="shared" ref="AB172:AB173" si="334">H172+Q172+Z172</f>
        <v>0</v>
      </c>
      <c r="AC172" s="449" t="str">
        <f t="shared" si="324"/>
        <v>No programado</v>
      </c>
      <c r="AD172" s="449" t="str">
        <f t="shared" si="325"/>
        <v>No programado</v>
      </c>
      <c r="AE172" s="435">
        <f>IF(AND(W172&gt;0,$AB172&gt;0),AB172/$W172,0)</f>
        <v>0</v>
      </c>
      <c r="AF172" s="457">
        <f t="shared" si="326"/>
        <v>1</v>
      </c>
      <c r="AG172" s="472">
        <f>+'1.Informe Seguimiento POA 2022'!W91</f>
        <v>1</v>
      </c>
      <c r="AH172" s="472">
        <f>+'1.Informe Seguimiento POA 2022'!O91+'1.Informe Seguimiento POA 2022'!Q91+'1.Informe Seguimiento POA 2022'!S91+'1.Informe Seguimiento POA 2022'!W91</f>
        <v>1</v>
      </c>
      <c r="AI172" s="472">
        <f>+'1.Informe Seguimiento POA 2022'!V91</f>
        <v>1</v>
      </c>
      <c r="AJ172" s="472">
        <f>+'1.Informe Seguimiento POA 2022'!P91+'1.Informe Seguimiento POA 2022'!R91+'1.Informe Seguimiento POA 2022'!T91+'1.Informe Seguimiento POA 2022'!V91</f>
        <v>1</v>
      </c>
      <c r="AK172" s="446">
        <f t="shared" si="327"/>
        <v>1</v>
      </c>
      <c r="AL172" s="440">
        <f t="shared" si="328"/>
        <v>1</v>
      </c>
      <c r="AM172" s="440">
        <f t="shared" si="328"/>
        <v>1</v>
      </c>
      <c r="AN172" s="435">
        <f>IF(AND(AF172&gt;0,$AK172&gt;0),AK172/$AF172,0)</f>
        <v>1</v>
      </c>
      <c r="AO172" s="439" t="str">
        <f>+'Rango indicadores'!H90</f>
        <v>Mayor o igual A:</v>
      </c>
      <c r="AP172" s="434">
        <f>+'Rango indicadores'!I90</f>
        <v>90</v>
      </c>
      <c r="AQ172" s="434" t="str">
        <f>+'Rango indicadores'!J90</f>
        <v>Desde (&gt;):</v>
      </c>
      <c r="AR172" s="434">
        <f>+'Rango indicadores'!K90</f>
        <v>69</v>
      </c>
      <c r="AS172" s="434" t="str">
        <f>+'Rango indicadores'!L90</f>
        <v>Hasta (&lt;):</v>
      </c>
      <c r="AT172" s="434">
        <f>+'Rango indicadores'!M90</f>
        <v>90</v>
      </c>
      <c r="AU172" s="434" t="str">
        <f>+'Rango indicadores'!N90</f>
        <v>Menor o Igual A:</v>
      </c>
      <c r="AV172" s="434">
        <f>+'Rango indicadores'!O90</f>
        <v>69</v>
      </c>
      <c r="AW172" s="523" t="s">
        <v>1175</v>
      </c>
      <c r="AX172" s="527"/>
      <c r="AY172" s="589"/>
      <c r="AZ172" s="527"/>
    </row>
    <row r="173" spans="2:52" ht="36.75" customHeight="1">
      <c r="B173" s="431">
        <f t="shared" ref="B173" si="335">B172+1</f>
        <v>87</v>
      </c>
      <c r="C173" s="432" t="str">
        <f>+'Rango indicadores'!D91</f>
        <v>16-RI-03</v>
      </c>
      <c r="D173" s="432" t="str">
        <f>+'Rango indicadores'!E91</f>
        <v>Sensibilización a Directivos y Referentes de Gestión sobre la Séptima Dimensión del MIPG realizada</v>
      </c>
      <c r="E173" s="457">
        <f>+'Rango indicadores'!Q91</f>
        <v>1</v>
      </c>
      <c r="F173" s="472">
        <f>'1.Informe Seguimiento POA 2022'!O92</f>
        <v>0</v>
      </c>
      <c r="G173" s="472">
        <f>'1.Informe Seguimiento POA 2022'!O92</f>
        <v>0</v>
      </c>
      <c r="H173" s="472">
        <f>'1.Informe Seguimiento POA 2022'!P92</f>
        <v>0</v>
      </c>
      <c r="I173" s="472">
        <f>'1.Informe Seguimiento POA 2022'!P92</f>
        <v>0</v>
      </c>
      <c r="J173" s="472">
        <f t="shared" si="314"/>
        <v>0</v>
      </c>
      <c r="K173" s="449" t="str">
        <f t="shared" si="329"/>
        <v>No programado</v>
      </c>
      <c r="L173" s="449" t="str">
        <f t="shared" si="330"/>
        <v>No programado</v>
      </c>
      <c r="M173" s="435">
        <f t="shared" si="331"/>
        <v>0</v>
      </c>
      <c r="N173" s="457">
        <f t="shared" si="332"/>
        <v>1</v>
      </c>
      <c r="O173" s="472">
        <f>+'1.Informe Seguimiento POA 2022'!Q92</f>
        <v>1</v>
      </c>
      <c r="P173" s="472">
        <f>+'1.Informe Seguimiento POA 2022'!O92+'1.Informe Seguimiento POA 2022'!Q92</f>
        <v>1</v>
      </c>
      <c r="Q173" s="472">
        <f>+'1.Informe Seguimiento POA 2022'!R92</f>
        <v>1</v>
      </c>
      <c r="R173" s="472">
        <f>+'1.Informe Seguimiento POA 2022'!P92+'1.Informe Seguimiento POA 2022'!R92</f>
        <v>1</v>
      </c>
      <c r="S173" s="472">
        <f t="shared" si="333"/>
        <v>1</v>
      </c>
      <c r="T173" s="449">
        <f t="shared" si="320"/>
        <v>1</v>
      </c>
      <c r="U173" s="449">
        <f t="shared" si="321"/>
        <v>1</v>
      </c>
      <c r="V173" s="435">
        <f>IF(AND(N173&gt;0,$S173&gt;0),S173/$N173,0)</f>
        <v>1</v>
      </c>
      <c r="W173" s="457">
        <f t="shared" si="322"/>
        <v>1</v>
      </c>
      <c r="X173" s="472">
        <f>+'1.Informe Seguimiento POA 2022'!S92</f>
        <v>0</v>
      </c>
      <c r="Y173" s="472">
        <f>+'1.Informe Seguimiento POA 2022'!O92+'1.Informe Seguimiento POA 2022'!Q92+'1.Informe Seguimiento POA 2022'!S92</f>
        <v>1</v>
      </c>
      <c r="Z173" s="472">
        <f>+'1.Informe Seguimiento POA 2022'!T92</f>
        <v>0</v>
      </c>
      <c r="AA173" s="472">
        <f>+'1.Informe Seguimiento POA 2022'!R92+'1.Informe Seguimiento POA 2022'!T92+'1.Informe Seguimiento POA 2022'!P92</f>
        <v>1</v>
      </c>
      <c r="AB173" s="472">
        <f t="shared" si="334"/>
        <v>1</v>
      </c>
      <c r="AC173" s="449" t="str">
        <f t="shared" si="324"/>
        <v>No programado</v>
      </c>
      <c r="AD173" s="449">
        <f t="shared" si="325"/>
        <v>1</v>
      </c>
      <c r="AE173" s="435">
        <f>IF(AND(W173&gt;0,$AB173&gt;0),AB173/$W173,0)</f>
        <v>1</v>
      </c>
      <c r="AF173" s="457">
        <f t="shared" si="326"/>
        <v>1</v>
      </c>
      <c r="AG173" s="472">
        <f>+'1.Informe Seguimiento POA 2022'!W92</f>
        <v>0</v>
      </c>
      <c r="AH173" s="472">
        <f>+'1.Informe Seguimiento POA 2022'!O92+'1.Informe Seguimiento POA 2022'!Q92+'1.Informe Seguimiento POA 2022'!S92+'1.Informe Seguimiento POA 2022'!W92</f>
        <v>1</v>
      </c>
      <c r="AI173" s="472">
        <f>+'1.Informe Seguimiento POA 2022'!V92</f>
        <v>0</v>
      </c>
      <c r="AJ173" s="472">
        <f>+'1.Informe Seguimiento POA 2022'!P92+'1.Informe Seguimiento POA 2022'!R92+'1.Informe Seguimiento POA 2022'!T92+'1.Informe Seguimiento POA 2022'!V92</f>
        <v>1</v>
      </c>
      <c r="AK173" s="446">
        <f t="shared" si="327"/>
        <v>1</v>
      </c>
      <c r="AL173" s="440" t="str">
        <f t="shared" si="328"/>
        <v>No programado</v>
      </c>
      <c r="AM173" s="440">
        <f t="shared" si="328"/>
        <v>1</v>
      </c>
      <c r="AN173" s="435">
        <f>IF(AND(AF173&gt;0,$AK173&gt;0),AK173/$AF173,0)</f>
        <v>1</v>
      </c>
      <c r="AO173" s="439" t="str">
        <f>+'Rango indicadores'!H91</f>
        <v>Mayor o igual A:</v>
      </c>
      <c r="AP173" s="434">
        <f>+'Rango indicadores'!I91</f>
        <v>90</v>
      </c>
      <c r="AQ173" s="434" t="str">
        <f>+'Rango indicadores'!J91</f>
        <v>Desde (&gt;):</v>
      </c>
      <c r="AR173" s="434">
        <f>+'Rango indicadores'!K91</f>
        <v>69</v>
      </c>
      <c r="AS173" s="434" t="str">
        <f>+'Rango indicadores'!L91</f>
        <v>Hasta (&lt;):</v>
      </c>
      <c r="AT173" s="434">
        <f>+'Rango indicadores'!M91</f>
        <v>90</v>
      </c>
      <c r="AU173" s="434" t="str">
        <f>+'Rango indicadores'!N91</f>
        <v>Menor o Igual A:</v>
      </c>
      <c r="AV173" s="434">
        <f>+'Rango indicadores'!O91</f>
        <v>69</v>
      </c>
      <c r="AW173" s="523" t="s">
        <v>1175</v>
      </c>
      <c r="AX173" s="527"/>
      <c r="AY173" s="589"/>
      <c r="AZ173" s="527"/>
    </row>
    <row r="174" spans="2:52" ht="15.6">
      <c r="C174" s="1378" t="s">
        <v>866</v>
      </c>
      <c r="D174" s="1379"/>
      <c r="E174" s="1379"/>
      <c r="F174" s="1379"/>
      <c r="G174" s="1379"/>
      <c r="H174" s="1379"/>
      <c r="I174" s="1379"/>
      <c r="J174" s="1379"/>
      <c r="K174" s="437">
        <f>IFERROR(AVERAGE(K171:K173),0)</f>
        <v>1</v>
      </c>
      <c r="L174" s="437">
        <f>IFERROR(AVERAGE(L171:L173),0)</f>
        <v>1</v>
      </c>
      <c r="M174" s="437">
        <f>IFERROR(AVERAGE(M171:M173),0)</f>
        <v>0.11666666666666665</v>
      </c>
      <c r="N174" s="880"/>
      <c r="O174" s="880"/>
      <c r="P174" s="880"/>
      <c r="Q174" s="880"/>
      <c r="R174" s="880"/>
      <c r="S174" s="880"/>
      <c r="T174" s="437">
        <f>IFERROR(AVERAGE(T171:T173),0)</f>
        <v>1</v>
      </c>
      <c r="U174" s="437">
        <f>IFERROR(AVERAGE(U171:U173),0)</f>
        <v>1</v>
      </c>
      <c r="V174" s="437">
        <f>IFERROR(AVERAGE(V171:V173),0)</f>
        <v>0.5</v>
      </c>
      <c r="W174" s="880"/>
      <c r="X174" s="880"/>
      <c r="Y174" s="880"/>
      <c r="Z174" s="880"/>
      <c r="AA174" s="880"/>
      <c r="AB174" s="880"/>
      <c r="AC174" s="437">
        <f>IFERROR(AVERAGE(AC171:AC173),0)</f>
        <v>1</v>
      </c>
      <c r="AD174" s="437">
        <f>IFERROR(AVERAGE(AD171:AD173),0)</f>
        <v>1</v>
      </c>
      <c r="AE174" s="437">
        <f>IFERROR(AVERAGE(AE171:AE173),0)</f>
        <v>0.64666666666666661</v>
      </c>
      <c r="AF174" s="880"/>
      <c r="AG174" s="880"/>
      <c r="AH174" s="880"/>
      <c r="AI174" s="880"/>
      <c r="AJ174" s="880"/>
      <c r="AK174" s="881"/>
      <c r="AL174" s="437">
        <f>IFERROR(AVERAGE(AL171:AL173),0)</f>
        <v>1</v>
      </c>
      <c r="AM174" s="437">
        <f>IFERROR(AVERAGE(AM171:AM173),0)</f>
        <v>1</v>
      </c>
      <c r="AN174" s="437">
        <f>IFERROR(AVERAGE(AN171:AN173),0)</f>
        <v>1</v>
      </c>
      <c r="AO174" s="444"/>
      <c r="AP174" s="444"/>
      <c r="AQ174" s="444"/>
      <c r="AR174" s="444"/>
      <c r="AS174" s="444"/>
      <c r="AT174" s="444"/>
      <c r="AU174" s="444"/>
      <c r="AV174" s="444"/>
      <c r="AW174" s="529"/>
    </row>
    <row r="175" spans="2:52" s="427" customFormat="1">
      <c r="D175" s="429"/>
      <c r="AW175" s="429"/>
      <c r="AY175" s="413"/>
      <c r="AZ175" s="413"/>
    </row>
    <row r="176" spans="2:52">
      <c r="C176" s="413" t="s">
        <v>1161</v>
      </c>
      <c r="E176" s="413"/>
      <c r="F176" s="413"/>
      <c r="G176" s="413"/>
      <c r="H176" s="413"/>
      <c r="I176" s="413"/>
      <c r="J176" s="413"/>
      <c r="K176" s="413"/>
      <c r="L176" s="413"/>
      <c r="M176" s="413"/>
      <c r="N176" s="413"/>
      <c r="O176" s="413"/>
      <c r="P176" s="413"/>
      <c r="Q176" s="413"/>
      <c r="R176" s="413"/>
      <c r="S176" s="413"/>
      <c r="T176" s="413"/>
      <c r="U176" s="413"/>
      <c r="V176" s="413"/>
      <c r="W176" s="413"/>
      <c r="X176" s="413"/>
      <c r="Y176" s="413"/>
      <c r="Z176" s="413"/>
      <c r="AA176" s="413"/>
      <c r="AB176" s="413"/>
      <c r="AC176" s="413"/>
      <c r="AD176" s="413"/>
      <c r="AE176" s="413"/>
      <c r="AF176" s="413"/>
    </row>
    <row r="177" spans="5:32"/>
    <row r="178" spans="5:32">
      <c r="E178" s="413"/>
      <c r="F178" s="413"/>
      <c r="G178" s="413"/>
      <c r="H178" s="413"/>
      <c r="I178" s="413"/>
      <c r="J178" s="413"/>
      <c r="K178" s="413"/>
      <c r="L178" s="413"/>
      <c r="M178" s="413"/>
      <c r="N178" s="413"/>
      <c r="O178" s="413"/>
      <c r="P178" s="413"/>
      <c r="Q178" s="413"/>
      <c r="R178" s="413"/>
      <c r="S178" s="413"/>
      <c r="T178" s="413"/>
      <c r="U178" s="413"/>
      <c r="V178" s="413"/>
      <c r="W178" s="413"/>
      <c r="X178" s="413"/>
      <c r="Y178" s="413"/>
      <c r="Z178" s="413"/>
      <c r="AA178" s="413"/>
      <c r="AB178" s="413"/>
      <c r="AC178" s="413"/>
      <c r="AD178" s="413"/>
      <c r="AE178" s="413"/>
      <c r="AF178" s="413"/>
    </row>
    <row r="179" spans="5:32">
      <c r="E179" s="413"/>
      <c r="F179" s="413"/>
      <c r="G179" s="413"/>
      <c r="H179" s="413"/>
      <c r="I179" s="413"/>
      <c r="J179" s="413"/>
      <c r="K179" s="413"/>
      <c r="L179" s="413"/>
      <c r="M179" s="413"/>
      <c r="N179" s="413"/>
      <c r="O179" s="413"/>
      <c r="P179" s="413"/>
      <c r="Q179" s="413"/>
      <c r="R179" s="413"/>
      <c r="S179" s="413"/>
      <c r="T179" s="413"/>
      <c r="U179" s="413"/>
      <c r="V179" s="413"/>
      <c r="W179" s="413"/>
      <c r="X179" s="413"/>
      <c r="Y179" s="413"/>
      <c r="Z179" s="413"/>
      <c r="AA179" s="413"/>
      <c r="AB179" s="413"/>
      <c r="AC179" s="413"/>
      <c r="AD179" s="413"/>
      <c r="AE179" s="413"/>
      <c r="AF179" s="413"/>
    </row>
    <row r="180" spans="5:32">
      <c r="E180" s="413"/>
      <c r="F180" s="413"/>
      <c r="G180" s="413"/>
      <c r="H180" s="413"/>
      <c r="I180" s="413"/>
      <c r="J180" s="413"/>
      <c r="K180" s="413"/>
      <c r="L180" s="413"/>
      <c r="M180" s="413"/>
      <c r="N180" s="413"/>
      <c r="O180" s="413"/>
      <c r="P180" s="413"/>
      <c r="Q180" s="413"/>
      <c r="R180" s="413"/>
      <c r="S180" s="413"/>
      <c r="T180" s="413"/>
      <c r="U180" s="413"/>
      <c r="V180" s="413"/>
      <c r="W180" s="413"/>
      <c r="X180" s="413"/>
      <c r="Y180" s="413"/>
      <c r="Z180" s="413"/>
      <c r="AA180" s="413"/>
      <c r="AB180" s="413"/>
      <c r="AC180" s="413"/>
      <c r="AD180" s="413"/>
      <c r="AE180" s="413"/>
      <c r="AF180" s="413"/>
    </row>
    <row r="181" spans="5:32">
      <c r="E181" s="413"/>
      <c r="F181" s="413"/>
      <c r="G181" s="413"/>
      <c r="H181" s="413"/>
      <c r="I181" s="413"/>
      <c r="J181" s="413"/>
      <c r="K181" s="413"/>
      <c r="L181" s="413"/>
      <c r="M181" s="413"/>
      <c r="N181" s="413"/>
      <c r="O181" s="413"/>
      <c r="P181" s="413"/>
      <c r="Q181" s="413"/>
      <c r="R181" s="413"/>
      <c r="S181" s="413"/>
      <c r="T181" s="413"/>
      <c r="U181" s="413"/>
      <c r="V181" s="413"/>
      <c r="W181" s="413"/>
      <c r="X181" s="413"/>
      <c r="Y181" s="413"/>
      <c r="Z181" s="413"/>
      <c r="AA181" s="413"/>
      <c r="AB181" s="413"/>
      <c r="AC181" s="413"/>
      <c r="AD181" s="413"/>
      <c r="AE181" s="413"/>
      <c r="AF181" s="413"/>
    </row>
    <row r="182" spans="5:32">
      <c r="E182" s="413"/>
      <c r="F182" s="413"/>
      <c r="G182" s="413"/>
      <c r="H182" s="413"/>
      <c r="I182" s="413"/>
      <c r="J182" s="413"/>
      <c r="K182" s="413"/>
      <c r="L182" s="413"/>
      <c r="M182" s="413"/>
      <c r="N182" s="413"/>
      <c r="O182" s="413"/>
      <c r="P182" s="413"/>
      <c r="Q182" s="413"/>
      <c r="R182" s="413"/>
      <c r="S182" s="413"/>
      <c r="T182" s="413"/>
      <c r="U182" s="413"/>
      <c r="V182" s="413"/>
      <c r="W182" s="413"/>
      <c r="X182" s="413"/>
      <c r="Y182" s="413"/>
      <c r="Z182" s="413"/>
      <c r="AA182" s="413"/>
      <c r="AB182" s="413"/>
      <c r="AC182" s="413"/>
      <c r="AD182" s="413"/>
      <c r="AE182" s="413"/>
      <c r="AF182" s="413"/>
    </row>
    <row r="183" spans="5:32">
      <c r="E183" s="413"/>
      <c r="F183" s="413"/>
      <c r="G183" s="413"/>
      <c r="H183" s="413"/>
      <c r="I183" s="413"/>
      <c r="J183" s="413"/>
      <c r="K183" s="413"/>
      <c r="L183" s="413"/>
      <c r="M183" s="413"/>
      <c r="N183" s="413"/>
      <c r="O183" s="413"/>
      <c r="P183" s="413"/>
      <c r="Q183" s="413"/>
      <c r="R183" s="413"/>
      <c r="S183" s="413"/>
      <c r="T183" s="413"/>
      <c r="U183" s="413"/>
      <c r="V183" s="413"/>
      <c r="W183" s="413"/>
      <c r="X183" s="413"/>
      <c r="Y183" s="413"/>
      <c r="Z183" s="413"/>
      <c r="AA183" s="413"/>
      <c r="AB183" s="413"/>
      <c r="AC183" s="413"/>
      <c r="AD183" s="413"/>
      <c r="AE183" s="413"/>
      <c r="AF183" s="413"/>
    </row>
    <row r="184" spans="5:32">
      <c r="E184" s="413"/>
      <c r="F184" s="413"/>
      <c r="G184" s="413"/>
      <c r="H184" s="413"/>
      <c r="I184" s="413"/>
      <c r="J184" s="413"/>
      <c r="K184" s="413"/>
      <c r="L184" s="413"/>
      <c r="M184" s="413"/>
      <c r="N184" s="413"/>
      <c r="O184" s="413"/>
      <c r="P184" s="413"/>
      <c r="Q184" s="413"/>
      <c r="R184" s="413"/>
      <c r="S184" s="413"/>
      <c r="T184" s="413"/>
      <c r="U184" s="413"/>
      <c r="V184" s="413"/>
      <c r="W184" s="413"/>
      <c r="X184" s="413"/>
      <c r="Y184" s="413"/>
      <c r="Z184" s="413"/>
      <c r="AA184" s="413"/>
      <c r="AB184" s="413"/>
      <c r="AC184" s="413"/>
      <c r="AD184" s="413"/>
      <c r="AE184" s="413"/>
      <c r="AF184" s="413"/>
    </row>
    <row r="185" spans="5:32"/>
    <row r="186" spans="5:32"/>
    <row r="187" spans="5:32"/>
    <row r="188" spans="5:32"/>
    <row r="189" spans="5:32"/>
    <row r="190" spans="5:32"/>
    <row r="191" spans="5:32"/>
    <row r="192" spans="5: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sheetData>
  <sheetProtection algorithmName="SHA-512" hashValue="FagXtWk/FMCMaupQplj1HkGTSNGyyVCrZMFllUM1qBx/GgCnjKHlBaLbiIBefrOk/tilGJRO9SiWdoAbawB9eA==" saltValue="toQXe9gQHVNE0xzYFo/nMQ==" spinCount="100000" sheet="1" objects="1" scenarios="1"/>
  <mergeCells count="518">
    <mergeCell ref="AF10:AH10"/>
    <mergeCell ref="H10:H11"/>
    <mergeCell ref="I10:I11"/>
    <mergeCell ref="J10:J11"/>
    <mergeCell ref="Q10:Q11"/>
    <mergeCell ref="R10:R11"/>
    <mergeCell ref="S10:S11"/>
    <mergeCell ref="T10:V10"/>
    <mergeCell ref="W9:AE9"/>
    <mergeCell ref="Z10:Z11"/>
    <mergeCell ref="AA10:AA11"/>
    <mergeCell ref="AB10:AB11"/>
    <mergeCell ref="AC10:AE10"/>
    <mergeCell ref="E168:M168"/>
    <mergeCell ref="N168:V168"/>
    <mergeCell ref="W168:AE168"/>
    <mergeCell ref="AF168:AN168"/>
    <mergeCell ref="E169:G169"/>
    <mergeCell ref="H169:H170"/>
    <mergeCell ref="I169:I170"/>
    <mergeCell ref="J169:J170"/>
    <mergeCell ref="K169:M169"/>
    <mergeCell ref="N169:P169"/>
    <mergeCell ref="T169:V169"/>
    <mergeCell ref="AL169:AN169"/>
    <mergeCell ref="AO169:AV169"/>
    <mergeCell ref="AW169:AW170"/>
    <mergeCell ref="AO170:AP170"/>
    <mergeCell ref="AQ170:AT170"/>
    <mergeCell ref="AU170:AV170"/>
    <mergeCell ref="C169:C170"/>
    <mergeCell ref="AI169:AI170"/>
    <mergeCell ref="AJ169:AJ170"/>
    <mergeCell ref="AK169:AK170"/>
    <mergeCell ref="D169:D170"/>
    <mergeCell ref="W169:Y169"/>
    <mergeCell ref="Z169:Z170"/>
    <mergeCell ref="AA169:AA170"/>
    <mergeCell ref="AB169:AB170"/>
    <mergeCell ref="AC169:AE169"/>
    <mergeCell ref="AF169:AH169"/>
    <mergeCell ref="Q169:Q170"/>
    <mergeCell ref="R169:R170"/>
    <mergeCell ref="S169:S170"/>
    <mergeCell ref="E160:M160"/>
    <mergeCell ref="N160:V160"/>
    <mergeCell ref="W160:AE160"/>
    <mergeCell ref="AF160:AN160"/>
    <mergeCell ref="E161:G161"/>
    <mergeCell ref="H161:H162"/>
    <mergeCell ref="I161:I162"/>
    <mergeCell ref="J161:J162"/>
    <mergeCell ref="K161:M161"/>
    <mergeCell ref="N161:P161"/>
    <mergeCell ref="Q161:Q162"/>
    <mergeCell ref="AL161:AN161"/>
    <mergeCell ref="AO161:AV161"/>
    <mergeCell ref="AW161:AW162"/>
    <mergeCell ref="AO162:AP162"/>
    <mergeCell ref="AQ162:AT162"/>
    <mergeCell ref="AU162:AV162"/>
    <mergeCell ref="C161:C162"/>
    <mergeCell ref="AI161:AI162"/>
    <mergeCell ref="AJ161:AJ162"/>
    <mergeCell ref="AK161:AK162"/>
    <mergeCell ref="D161:D162"/>
    <mergeCell ref="AF161:AH161"/>
    <mergeCell ref="R161:R162"/>
    <mergeCell ref="S161:S162"/>
    <mergeCell ref="T161:V161"/>
    <mergeCell ref="W161:Y161"/>
    <mergeCell ref="Z161:Z162"/>
    <mergeCell ref="AA161:AA162"/>
    <mergeCell ref="AB161:AB162"/>
    <mergeCell ref="AC161:AE161"/>
    <mergeCell ref="E150:M150"/>
    <mergeCell ref="N150:V150"/>
    <mergeCell ref="W150:AE150"/>
    <mergeCell ref="AF150:AN150"/>
    <mergeCell ref="E151:G151"/>
    <mergeCell ref="H151:H152"/>
    <mergeCell ref="I151:I152"/>
    <mergeCell ref="J151:J152"/>
    <mergeCell ref="K151:M151"/>
    <mergeCell ref="N151:P151"/>
    <mergeCell ref="Q151:Q152"/>
    <mergeCell ref="R151:R152"/>
    <mergeCell ref="AL151:AN151"/>
    <mergeCell ref="AO151:AV151"/>
    <mergeCell ref="AW151:AW152"/>
    <mergeCell ref="AO152:AP152"/>
    <mergeCell ref="AQ152:AT152"/>
    <mergeCell ref="AU152:AV152"/>
    <mergeCell ref="C151:C152"/>
    <mergeCell ref="AI151:AI152"/>
    <mergeCell ref="AJ151:AJ152"/>
    <mergeCell ref="AK151:AK152"/>
    <mergeCell ref="D151:D152"/>
    <mergeCell ref="S151:S152"/>
    <mergeCell ref="T151:V151"/>
    <mergeCell ref="W151:Y151"/>
    <mergeCell ref="Z151:Z152"/>
    <mergeCell ref="AA151:AA152"/>
    <mergeCell ref="AB151:AB152"/>
    <mergeCell ref="AC151:AE151"/>
    <mergeCell ref="AF151:AH151"/>
    <mergeCell ref="E141:M141"/>
    <mergeCell ref="N141:V141"/>
    <mergeCell ref="W141:AE141"/>
    <mergeCell ref="AF141:AN141"/>
    <mergeCell ref="E142:G142"/>
    <mergeCell ref="H142:H143"/>
    <mergeCell ref="I142:I143"/>
    <mergeCell ref="J142:J143"/>
    <mergeCell ref="K142:M142"/>
    <mergeCell ref="N142:P142"/>
    <mergeCell ref="Q142:Q143"/>
    <mergeCell ref="R142:R143"/>
    <mergeCell ref="AL142:AN142"/>
    <mergeCell ref="AO142:AV142"/>
    <mergeCell ref="AW142:AW143"/>
    <mergeCell ref="AO143:AP143"/>
    <mergeCell ref="AQ143:AT143"/>
    <mergeCell ref="AU143:AV143"/>
    <mergeCell ref="C142:C143"/>
    <mergeCell ref="AI142:AI143"/>
    <mergeCell ref="AJ142:AJ143"/>
    <mergeCell ref="AK142:AK143"/>
    <mergeCell ref="D142:D143"/>
    <mergeCell ref="S142:S143"/>
    <mergeCell ref="T142:V142"/>
    <mergeCell ref="W142:Y142"/>
    <mergeCell ref="Z142:Z143"/>
    <mergeCell ref="AA142:AA143"/>
    <mergeCell ref="AB142:AB143"/>
    <mergeCell ref="AC142:AE142"/>
    <mergeCell ref="AF142:AH142"/>
    <mergeCell ref="E132:M132"/>
    <mergeCell ref="N132:V132"/>
    <mergeCell ref="W132:AE132"/>
    <mergeCell ref="AF132:AN132"/>
    <mergeCell ref="E133:G133"/>
    <mergeCell ref="H133:H134"/>
    <mergeCell ref="I133:I134"/>
    <mergeCell ref="J133:J134"/>
    <mergeCell ref="K133:M133"/>
    <mergeCell ref="N133:P133"/>
    <mergeCell ref="Q133:Q134"/>
    <mergeCell ref="AL133:AN133"/>
    <mergeCell ref="AO133:AV133"/>
    <mergeCell ref="AW133:AW134"/>
    <mergeCell ref="AO134:AP134"/>
    <mergeCell ref="AQ134:AT134"/>
    <mergeCell ref="AU134:AV134"/>
    <mergeCell ref="C133:C134"/>
    <mergeCell ref="AI133:AI134"/>
    <mergeCell ref="AJ133:AJ134"/>
    <mergeCell ref="AK133:AK134"/>
    <mergeCell ref="D133:D134"/>
    <mergeCell ref="R133:R134"/>
    <mergeCell ref="S133:S134"/>
    <mergeCell ref="T133:V133"/>
    <mergeCell ref="W133:Y133"/>
    <mergeCell ref="Z133:Z134"/>
    <mergeCell ref="AA133:AA134"/>
    <mergeCell ref="AB133:AB134"/>
    <mergeCell ref="AC133:AE133"/>
    <mergeCell ref="AF133:AH133"/>
    <mergeCell ref="E124:M124"/>
    <mergeCell ref="N124:V124"/>
    <mergeCell ref="W124:AE124"/>
    <mergeCell ref="AF124:AN124"/>
    <mergeCell ref="E125:G125"/>
    <mergeCell ref="H125:H126"/>
    <mergeCell ref="I125:I126"/>
    <mergeCell ref="J125:J126"/>
    <mergeCell ref="K125:M125"/>
    <mergeCell ref="N125:P125"/>
    <mergeCell ref="Q125:Q126"/>
    <mergeCell ref="R125:R126"/>
    <mergeCell ref="AL125:AN125"/>
    <mergeCell ref="AO125:AV125"/>
    <mergeCell ref="AW125:AW126"/>
    <mergeCell ref="AO126:AP126"/>
    <mergeCell ref="AQ126:AT126"/>
    <mergeCell ref="AU126:AV126"/>
    <mergeCell ref="C125:C126"/>
    <mergeCell ref="AI125:AI126"/>
    <mergeCell ref="AJ125:AJ126"/>
    <mergeCell ref="AK125:AK126"/>
    <mergeCell ref="D125:D126"/>
    <mergeCell ref="AO118:AV118"/>
    <mergeCell ref="AW118:AW119"/>
    <mergeCell ref="AO119:AP119"/>
    <mergeCell ref="AQ119:AT119"/>
    <mergeCell ref="AU119:AV119"/>
    <mergeCell ref="C118:C119"/>
    <mergeCell ref="AI118:AI119"/>
    <mergeCell ref="AJ118:AJ119"/>
    <mergeCell ref="AK118:AK119"/>
    <mergeCell ref="D118:D119"/>
    <mergeCell ref="E118:G118"/>
    <mergeCell ref="H118:H119"/>
    <mergeCell ref="I118:I119"/>
    <mergeCell ref="J118:J119"/>
    <mergeCell ref="K118:M118"/>
    <mergeCell ref="N118:P118"/>
    <mergeCell ref="Q118:Q119"/>
    <mergeCell ref="R118:R119"/>
    <mergeCell ref="S118:S119"/>
    <mergeCell ref="T118:V118"/>
    <mergeCell ref="W118:Y118"/>
    <mergeCell ref="Z118:Z119"/>
    <mergeCell ref="AA118:AA119"/>
    <mergeCell ref="AB118:AB119"/>
    <mergeCell ref="AO105:AV105"/>
    <mergeCell ref="AW105:AW106"/>
    <mergeCell ref="AO106:AP106"/>
    <mergeCell ref="AQ106:AT106"/>
    <mergeCell ref="AU106:AV106"/>
    <mergeCell ref="C105:C106"/>
    <mergeCell ref="AI105:AI106"/>
    <mergeCell ref="AJ105:AJ106"/>
    <mergeCell ref="AK105:AK106"/>
    <mergeCell ref="D105:D106"/>
    <mergeCell ref="E105:G105"/>
    <mergeCell ref="H105:H106"/>
    <mergeCell ref="I105:I106"/>
    <mergeCell ref="J105:J106"/>
    <mergeCell ref="K105:M105"/>
    <mergeCell ref="N105:P105"/>
    <mergeCell ref="Q105:Q106"/>
    <mergeCell ref="R105:R106"/>
    <mergeCell ref="AL105:AN105"/>
    <mergeCell ref="AO92:AV92"/>
    <mergeCell ref="AW92:AW93"/>
    <mergeCell ref="AO93:AP93"/>
    <mergeCell ref="AQ93:AT93"/>
    <mergeCell ref="AU93:AV93"/>
    <mergeCell ref="C92:C93"/>
    <mergeCell ref="AI92:AI93"/>
    <mergeCell ref="AJ92:AJ93"/>
    <mergeCell ref="D92:D93"/>
    <mergeCell ref="E92:G92"/>
    <mergeCell ref="H92:H93"/>
    <mergeCell ref="I92:I93"/>
    <mergeCell ref="J92:J93"/>
    <mergeCell ref="K92:M92"/>
    <mergeCell ref="N92:P92"/>
    <mergeCell ref="Q92:Q93"/>
    <mergeCell ref="R92:R93"/>
    <mergeCell ref="S92:S93"/>
    <mergeCell ref="T92:V92"/>
    <mergeCell ref="W92:Y92"/>
    <mergeCell ref="Z92:Z93"/>
    <mergeCell ref="AA92:AA93"/>
    <mergeCell ref="AB92:AB93"/>
    <mergeCell ref="AC92:AE92"/>
    <mergeCell ref="AO80:AV80"/>
    <mergeCell ref="AW80:AW81"/>
    <mergeCell ref="AO81:AP81"/>
    <mergeCell ref="AQ81:AT81"/>
    <mergeCell ref="AU81:AV81"/>
    <mergeCell ref="C80:C81"/>
    <mergeCell ref="AI80:AI81"/>
    <mergeCell ref="AJ80:AJ81"/>
    <mergeCell ref="D80:D81"/>
    <mergeCell ref="E80:G80"/>
    <mergeCell ref="H80:H81"/>
    <mergeCell ref="I80:I81"/>
    <mergeCell ref="J80:J81"/>
    <mergeCell ref="K80:M80"/>
    <mergeCell ref="N80:P80"/>
    <mergeCell ref="Q80:Q81"/>
    <mergeCell ref="R80:R81"/>
    <mergeCell ref="AK80:AK81"/>
    <mergeCell ref="AL80:AN80"/>
    <mergeCell ref="AO55:AV55"/>
    <mergeCell ref="AW55:AW56"/>
    <mergeCell ref="AO56:AP56"/>
    <mergeCell ref="AQ56:AT56"/>
    <mergeCell ref="AU56:AV56"/>
    <mergeCell ref="C55:C56"/>
    <mergeCell ref="AI55:AI56"/>
    <mergeCell ref="AJ55:AJ56"/>
    <mergeCell ref="AK55:AK56"/>
    <mergeCell ref="D55:D56"/>
    <mergeCell ref="E55:G55"/>
    <mergeCell ref="H55:H56"/>
    <mergeCell ref="I55:I56"/>
    <mergeCell ref="J55:J56"/>
    <mergeCell ref="K55:M55"/>
    <mergeCell ref="N55:P55"/>
    <mergeCell ref="Q55:Q56"/>
    <mergeCell ref="R55:R56"/>
    <mergeCell ref="S55:S56"/>
    <mergeCell ref="T55:V55"/>
    <mergeCell ref="W55:Y55"/>
    <mergeCell ref="Z55:Z56"/>
    <mergeCell ref="AA55:AA56"/>
    <mergeCell ref="AB55:AB56"/>
    <mergeCell ref="AO47:AV47"/>
    <mergeCell ref="AW47:AW48"/>
    <mergeCell ref="AO48:AP48"/>
    <mergeCell ref="AQ48:AT48"/>
    <mergeCell ref="AU48:AV48"/>
    <mergeCell ref="C47:C48"/>
    <mergeCell ref="AI47:AI48"/>
    <mergeCell ref="AJ47:AJ48"/>
    <mergeCell ref="AK47:AK48"/>
    <mergeCell ref="D47:D48"/>
    <mergeCell ref="E47:G47"/>
    <mergeCell ref="H47:H48"/>
    <mergeCell ref="I47:I48"/>
    <mergeCell ref="J47:J48"/>
    <mergeCell ref="K47:M47"/>
    <mergeCell ref="N47:P47"/>
    <mergeCell ref="Q47:Q48"/>
    <mergeCell ref="R47:R48"/>
    <mergeCell ref="AL47:AN47"/>
    <mergeCell ref="AO40:AV40"/>
    <mergeCell ref="AW40:AW41"/>
    <mergeCell ref="AO41:AP41"/>
    <mergeCell ref="AQ41:AT41"/>
    <mergeCell ref="AU41:AV41"/>
    <mergeCell ref="C40:C41"/>
    <mergeCell ref="AI40:AI41"/>
    <mergeCell ref="AJ40:AJ41"/>
    <mergeCell ref="AK40:AK41"/>
    <mergeCell ref="D40:D41"/>
    <mergeCell ref="AO28:AV28"/>
    <mergeCell ref="AW28:AW29"/>
    <mergeCell ref="AO29:AP29"/>
    <mergeCell ref="AQ29:AT29"/>
    <mergeCell ref="AU29:AV29"/>
    <mergeCell ref="C28:C29"/>
    <mergeCell ref="AI28:AI29"/>
    <mergeCell ref="AJ28:AJ29"/>
    <mergeCell ref="AK28:AK29"/>
    <mergeCell ref="D28:D29"/>
    <mergeCell ref="E28:G28"/>
    <mergeCell ref="H28:H29"/>
    <mergeCell ref="I28:I29"/>
    <mergeCell ref="J28:J29"/>
    <mergeCell ref="K28:M28"/>
    <mergeCell ref="N28:P28"/>
    <mergeCell ref="Q28:Q29"/>
    <mergeCell ref="R28:R29"/>
    <mergeCell ref="S28:S29"/>
    <mergeCell ref="T28:V28"/>
    <mergeCell ref="W28:Y28"/>
    <mergeCell ref="Z28:Z29"/>
    <mergeCell ref="AA28:AA29"/>
    <mergeCell ref="AB28:AB29"/>
    <mergeCell ref="N18:V18"/>
    <mergeCell ref="W18:AE18"/>
    <mergeCell ref="AF18:AN18"/>
    <mergeCell ref="E19:G19"/>
    <mergeCell ref="H19:H20"/>
    <mergeCell ref="I19:I20"/>
    <mergeCell ref="J19:J20"/>
    <mergeCell ref="K19:M19"/>
    <mergeCell ref="N19:P19"/>
    <mergeCell ref="Q19:Q20"/>
    <mergeCell ref="R19:R20"/>
    <mergeCell ref="AL19:AN19"/>
    <mergeCell ref="AO19:AV19"/>
    <mergeCell ref="AW19:AW20"/>
    <mergeCell ref="AO20:AP20"/>
    <mergeCell ref="AQ20:AT20"/>
    <mergeCell ref="AU20:AV20"/>
    <mergeCell ref="C19:C20"/>
    <mergeCell ref="AI19:AI20"/>
    <mergeCell ref="AJ19:AJ20"/>
    <mergeCell ref="AK19:AK20"/>
    <mergeCell ref="D19:D20"/>
    <mergeCell ref="S19:S20"/>
    <mergeCell ref="T19:V19"/>
    <mergeCell ref="W19:Y19"/>
    <mergeCell ref="Z19:Z20"/>
    <mergeCell ref="AA19:AA20"/>
    <mergeCell ref="AB19:AB20"/>
    <mergeCell ref="AC19:AE19"/>
    <mergeCell ref="AF19:AH19"/>
    <mergeCell ref="D10:D11"/>
    <mergeCell ref="AL10:AN10"/>
    <mergeCell ref="C2:C6"/>
    <mergeCell ref="AO10:AV10"/>
    <mergeCell ref="AW10:AW11"/>
    <mergeCell ref="AO11:AP11"/>
    <mergeCell ref="AQ11:AT11"/>
    <mergeCell ref="AU11:AV11"/>
    <mergeCell ref="C10:C11"/>
    <mergeCell ref="AI10:AI11"/>
    <mergeCell ref="AJ10:AJ11"/>
    <mergeCell ref="AK10:AK11"/>
    <mergeCell ref="D2:AK2"/>
    <mergeCell ref="D3:AK3"/>
    <mergeCell ref="D5:AK5"/>
    <mergeCell ref="D6:AK6"/>
    <mergeCell ref="E10:G10"/>
    <mergeCell ref="N10:P10"/>
    <mergeCell ref="D4:AK4"/>
    <mergeCell ref="W10:Y10"/>
    <mergeCell ref="AF9:AN9"/>
    <mergeCell ref="K10:M10"/>
    <mergeCell ref="E9:M9"/>
    <mergeCell ref="N9:V9"/>
    <mergeCell ref="AC28:AE28"/>
    <mergeCell ref="AF28:AH28"/>
    <mergeCell ref="N27:V27"/>
    <mergeCell ref="W27:AE27"/>
    <mergeCell ref="AF27:AN27"/>
    <mergeCell ref="S47:S48"/>
    <mergeCell ref="T47:V47"/>
    <mergeCell ref="W47:Y47"/>
    <mergeCell ref="Z47:Z48"/>
    <mergeCell ref="AA47:AA48"/>
    <mergeCell ref="AB47:AB48"/>
    <mergeCell ref="AC47:AE47"/>
    <mergeCell ref="AF47:AH47"/>
    <mergeCell ref="AL28:AN28"/>
    <mergeCell ref="AL40:AN40"/>
    <mergeCell ref="N46:V46"/>
    <mergeCell ref="W46:AE46"/>
    <mergeCell ref="AF46:AN46"/>
    <mergeCell ref="AC55:AE55"/>
    <mergeCell ref="AF55:AH55"/>
    <mergeCell ref="N54:V54"/>
    <mergeCell ref="W54:AE54"/>
    <mergeCell ref="AF54:AN54"/>
    <mergeCell ref="S80:S81"/>
    <mergeCell ref="T80:V80"/>
    <mergeCell ref="W80:Y80"/>
    <mergeCell ref="Z80:Z81"/>
    <mergeCell ref="AA80:AA81"/>
    <mergeCell ref="AB80:AB81"/>
    <mergeCell ref="AC80:AE80"/>
    <mergeCell ref="AF80:AH80"/>
    <mergeCell ref="AL55:AN55"/>
    <mergeCell ref="N79:V79"/>
    <mergeCell ref="W79:AE79"/>
    <mergeCell ref="AF79:AN79"/>
    <mergeCell ref="AF92:AH92"/>
    <mergeCell ref="N91:V91"/>
    <mergeCell ref="W91:AE91"/>
    <mergeCell ref="AF91:AN91"/>
    <mergeCell ref="S105:S106"/>
    <mergeCell ref="T105:V105"/>
    <mergeCell ref="W105:Y105"/>
    <mergeCell ref="Z105:Z106"/>
    <mergeCell ref="AA105:AA106"/>
    <mergeCell ref="AB105:AB106"/>
    <mergeCell ref="AC105:AE105"/>
    <mergeCell ref="AF105:AH105"/>
    <mergeCell ref="AK92:AK93"/>
    <mergeCell ref="AL92:AN92"/>
    <mergeCell ref="N104:V104"/>
    <mergeCell ref="W104:AE104"/>
    <mergeCell ref="AF104:AN104"/>
    <mergeCell ref="AC118:AE118"/>
    <mergeCell ref="AF118:AH118"/>
    <mergeCell ref="N117:V117"/>
    <mergeCell ref="W117:AE117"/>
    <mergeCell ref="AF117:AN117"/>
    <mergeCell ref="S125:S126"/>
    <mergeCell ref="T125:V125"/>
    <mergeCell ref="W125:Y125"/>
    <mergeCell ref="Z125:Z126"/>
    <mergeCell ref="AA125:AA126"/>
    <mergeCell ref="AB125:AB126"/>
    <mergeCell ref="AC125:AE125"/>
    <mergeCell ref="AF125:AH125"/>
    <mergeCell ref="AL118:AN118"/>
    <mergeCell ref="E39:M39"/>
    <mergeCell ref="N39:V39"/>
    <mergeCell ref="W39:AE39"/>
    <mergeCell ref="AF39:AN39"/>
    <mergeCell ref="E40:G40"/>
    <mergeCell ref="H40:H41"/>
    <mergeCell ref="I40:I41"/>
    <mergeCell ref="J40:J41"/>
    <mergeCell ref="K40:M40"/>
    <mergeCell ref="N40:P40"/>
    <mergeCell ref="Q40:Q41"/>
    <mergeCell ref="R40:R41"/>
    <mergeCell ref="S40:S41"/>
    <mergeCell ref="T40:V40"/>
    <mergeCell ref="W40:Y40"/>
    <mergeCell ref="Z40:Z41"/>
    <mergeCell ref="AA40:AA41"/>
    <mergeCell ref="AB40:AB41"/>
    <mergeCell ref="AC40:AE40"/>
    <mergeCell ref="AF40:AH40"/>
    <mergeCell ref="C122:J122"/>
    <mergeCell ref="C130:J130"/>
    <mergeCell ref="C139:J139"/>
    <mergeCell ref="C148:J148"/>
    <mergeCell ref="C158:J158"/>
    <mergeCell ref="C166:J166"/>
    <mergeCell ref="C174:J174"/>
    <mergeCell ref="C16:J16"/>
    <mergeCell ref="C25:J25"/>
    <mergeCell ref="C37:J37"/>
    <mergeCell ref="C44:J44"/>
    <mergeCell ref="C52:J52"/>
    <mergeCell ref="C77:J77"/>
    <mergeCell ref="C89:J89"/>
    <mergeCell ref="C102:J102"/>
    <mergeCell ref="C115:J115"/>
    <mergeCell ref="E18:M18"/>
    <mergeCell ref="E27:M27"/>
    <mergeCell ref="E46:M46"/>
    <mergeCell ref="E54:M54"/>
    <mergeCell ref="E79:M79"/>
    <mergeCell ref="E91:M91"/>
    <mergeCell ref="E104:M104"/>
    <mergeCell ref="E117:M117"/>
  </mergeCells>
  <conditionalFormatting sqref="AL14:AN14">
    <cfRule type="cellIs" dxfId="753" priority="815" operator="lessThanOrEqual">
      <formula>0.85</formula>
    </cfRule>
    <cfRule type="cellIs" dxfId="752" priority="823" operator="between">
      <formula>0.8500000000001</formula>
      <formula>0.95</formula>
    </cfRule>
    <cfRule type="cellIs" dxfId="751" priority="1087" operator="between">
      <formula>0.95</formula>
      <formula>1</formula>
    </cfRule>
  </conditionalFormatting>
  <conditionalFormatting sqref="T21:U24">
    <cfRule type="cellIs" dxfId="750" priority="949" operator="greaterThan">
      <formula>1</formula>
    </cfRule>
  </conditionalFormatting>
  <conditionalFormatting sqref="K13:M13 M12:M15">
    <cfRule type="cellIs" dxfId="749" priority="922" operator="between">
      <formula>0.95001</formula>
      <formula>1</formula>
    </cfRule>
  </conditionalFormatting>
  <conditionalFormatting sqref="K12:M15">
    <cfRule type="cellIs" dxfId="748" priority="920" operator="equal">
      <formula>"No programado"</formula>
    </cfRule>
    <cfRule type="cellIs" dxfId="747" priority="924" operator="greaterThan">
      <formula>1</formula>
    </cfRule>
  </conditionalFormatting>
  <conditionalFormatting sqref="K12:M13 M13:M15">
    <cfRule type="cellIs" dxfId="746" priority="918" operator="between">
      <formula>0.8</formula>
      <formula>0.95</formula>
    </cfRule>
    <cfRule type="cellIs" dxfId="745" priority="921" operator="lessThan">
      <formula>0.8</formula>
    </cfRule>
  </conditionalFormatting>
  <conditionalFormatting sqref="K14:M14">
    <cfRule type="cellIs" dxfId="744" priority="916" operator="between">
      <formula>0.95</formula>
      <formula>1</formula>
    </cfRule>
    <cfRule type="cellIs" dxfId="743" priority="919" operator="lessThanOrEqual">
      <formula>0.85</formula>
    </cfRule>
    <cfRule type="cellIs" dxfId="742" priority="923" operator="between">
      <formula>0.85000000000001</formula>
      <formula>0.94999999999</formula>
    </cfRule>
  </conditionalFormatting>
  <conditionalFormatting sqref="K12:L12">
    <cfRule type="cellIs" dxfId="741" priority="917" operator="between">
      <formula>0.9500000001</formula>
      <formula>1</formula>
    </cfRule>
  </conditionalFormatting>
  <conditionalFormatting sqref="K15:M15">
    <cfRule type="cellIs" dxfId="740" priority="913" operator="lessThanOrEqual">
      <formula>0.8</formula>
    </cfRule>
    <cfRule type="cellIs" dxfId="739" priority="914" operator="between">
      <formula>0.800000000001</formula>
      <formula>0.999999999999999</formula>
    </cfRule>
    <cfRule type="cellIs" dxfId="738" priority="915" operator="equal">
      <formula>1</formula>
    </cfRule>
  </conditionalFormatting>
  <conditionalFormatting sqref="AC12:AD13">
    <cfRule type="cellIs" dxfId="737" priority="893" operator="between">
      <formula>0.9500000001</formula>
      <formula>1</formula>
    </cfRule>
    <cfRule type="cellIs" dxfId="736" priority="894" operator="between">
      <formula>0.8</formula>
      <formula>0.95</formula>
    </cfRule>
  </conditionalFormatting>
  <conditionalFormatting sqref="AC14:AD14">
    <cfRule type="cellIs" dxfId="735" priority="892" operator="between">
      <formula>0.95</formula>
      <formula>1</formula>
    </cfRule>
    <cfRule type="cellIs" dxfId="734" priority="895" operator="lessThanOrEqual">
      <formula>0.85</formula>
    </cfRule>
  </conditionalFormatting>
  <conditionalFormatting sqref="K21:L24">
    <cfRule type="cellIs" dxfId="733" priority="884" operator="equal">
      <formula>"No programado"</formula>
    </cfRule>
    <cfRule type="cellIs" dxfId="732" priority="885" operator="lessThanOrEqual">
      <formula>0.6</formula>
    </cfRule>
    <cfRule type="cellIs" dxfId="731" priority="886" operator="between">
      <formula>0.600000000001</formula>
      <formula>0.99999999999999</formula>
    </cfRule>
    <cfRule type="cellIs" dxfId="730" priority="887" operator="equal">
      <formula>1</formula>
    </cfRule>
  </conditionalFormatting>
  <conditionalFormatting sqref="K21:L24">
    <cfRule type="cellIs" dxfId="729" priority="888" operator="greaterThan">
      <formula>1</formula>
    </cfRule>
  </conditionalFormatting>
  <conditionalFormatting sqref="K49:L51">
    <cfRule type="cellIs" dxfId="728" priority="869" operator="equal">
      <formula>"No programado"</formula>
    </cfRule>
    <cfRule type="cellIs" dxfId="727" priority="870" operator="between">
      <formula>0.7</formula>
      <formula>0.8999999999999</formula>
    </cfRule>
    <cfRule type="cellIs" dxfId="726" priority="871" operator="lessThan">
      <formula>0.7</formula>
    </cfRule>
    <cfRule type="cellIs" dxfId="725" priority="872" operator="between">
      <formula>0.90000000000001</formula>
      <formula>1</formula>
    </cfRule>
    <cfRule type="cellIs" dxfId="724" priority="873" operator="greaterThan">
      <formula>1</formula>
    </cfRule>
  </conditionalFormatting>
  <conditionalFormatting sqref="L69 K70:L76 K57:L68">
    <cfRule type="cellIs" dxfId="723" priority="859" operator="equal">
      <formula>"No programado"</formula>
    </cfRule>
    <cfRule type="cellIs" dxfId="722" priority="862" operator="greaterThan">
      <formula>1</formula>
    </cfRule>
  </conditionalFormatting>
  <conditionalFormatting sqref="K59:L59">
    <cfRule type="cellIs" dxfId="721" priority="864" operator="between">
      <formula>0.7</formula>
      <formula>0.8</formula>
    </cfRule>
    <cfRule type="cellIs" dxfId="720" priority="866" operator="lessThan">
      <formula>0.7</formula>
    </cfRule>
    <cfRule type="cellIs" dxfId="719" priority="867" operator="between">
      <formula>0.80000000000001</formula>
      <formula>1</formula>
    </cfRule>
  </conditionalFormatting>
  <conditionalFormatting sqref="K63:L67">
    <cfRule type="cellIs" dxfId="718" priority="863" operator="between">
      <formula>0.95</formula>
      <formula>1</formula>
    </cfRule>
    <cfRule type="cellIs" dxfId="717" priority="865" operator="between">
      <formula>0.90000000001</formula>
      <formula>0.94999999999</formula>
    </cfRule>
    <cfRule type="cellIs" dxfId="716" priority="868" operator="lessThanOrEqual">
      <formula>90</formula>
    </cfRule>
  </conditionalFormatting>
  <conditionalFormatting sqref="K68:L68 L69 K70:L76">
    <cfRule type="cellIs" dxfId="715" priority="858" operator="between">
      <formula>0.8</formula>
      <formula>0.85</formula>
    </cfRule>
    <cfRule type="cellIs" dxfId="714" priority="860" operator="lessThan">
      <formula>0.8</formula>
    </cfRule>
    <cfRule type="cellIs" dxfId="713" priority="861" operator="between">
      <formula>0.850000000001</formula>
      <formula>1</formula>
    </cfRule>
  </conditionalFormatting>
  <conditionalFormatting sqref="K58:L58 K60:L62">
    <cfRule type="cellIs" dxfId="712" priority="855" operator="lessThan">
      <formula>0.8</formula>
    </cfRule>
    <cfRule type="cellIs" dxfId="711" priority="856" operator="between">
      <formula>0.8</formula>
      <formula>0.85</formula>
    </cfRule>
    <cfRule type="cellIs" dxfId="710" priority="857" operator="between">
      <formula>0.85000000001</formula>
      <formula>1</formula>
    </cfRule>
  </conditionalFormatting>
  <conditionalFormatting sqref="K57:L57">
    <cfRule type="cellIs" dxfId="709" priority="852" operator="between">
      <formula>0.8000000001</formula>
      <formula>0.84999999999999</formula>
    </cfRule>
    <cfRule type="cellIs" dxfId="708" priority="853" operator="between">
      <formula>0.850000001</formula>
      <formula>1</formula>
    </cfRule>
    <cfRule type="cellIs" dxfId="707" priority="854" operator="lessThan">
      <formula>0.8</formula>
    </cfRule>
  </conditionalFormatting>
  <conditionalFormatting sqref="K69">
    <cfRule type="cellIs" dxfId="706" priority="848" operator="equal">
      <formula>"No programado"</formula>
    </cfRule>
    <cfRule type="cellIs" dxfId="705" priority="851" operator="greaterThan">
      <formula>1</formula>
    </cfRule>
  </conditionalFormatting>
  <conditionalFormatting sqref="K69">
    <cfRule type="cellIs" dxfId="704" priority="847" operator="between">
      <formula>0.8</formula>
      <formula>0.85</formula>
    </cfRule>
    <cfRule type="cellIs" dxfId="703" priority="849" operator="lessThan">
      <formula>0.8</formula>
    </cfRule>
    <cfRule type="cellIs" dxfId="702" priority="850" operator="between">
      <formula>0.850000000001</formula>
      <formula>1</formula>
    </cfRule>
  </conditionalFormatting>
  <conditionalFormatting sqref="M21:M24">
    <cfRule type="cellIs" dxfId="701" priority="812" operator="between">
      <formula>0.95001</formula>
      <formula>1</formula>
    </cfRule>
  </conditionalFormatting>
  <conditionalFormatting sqref="M21:M24">
    <cfRule type="cellIs" dxfId="700" priority="810" operator="equal">
      <formula>"No programado"</formula>
    </cfRule>
    <cfRule type="cellIs" dxfId="699" priority="813" operator="greaterThan">
      <formula>1</formula>
    </cfRule>
  </conditionalFormatting>
  <conditionalFormatting sqref="M21:M24">
    <cfRule type="cellIs" dxfId="698" priority="809" operator="between">
      <formula>0.8</formula>
      <formula>0.95</formula>
    </cfRule>
    <cfRule type="cellIs" dxfId="697" priority="811" operator="lessThan">
      <formula>0.8</formula>
    </cfRule>
  </conditionalFormatting>
  <conditionalFormatting sqref="M21:M24">
    <cfRule type="cellIs" dxfId="696" priority="806" operator="lessThanOrEqual">
      <formula>0.8</formula>
    </cfRule>
    <cfRule type="cellIs" dxfId="695" priority="807" operator="between">
      <formula>0.800000000001</formula>
      <formula>0.999999999999999</formula>
    </cfRule>
    <cfRule type="cellIs" dxfId="694" priority="808" operator="equal">
      <formula>1</formula>
    </cfRule>
  </conditionalFormatting>
  <conditionalFormatting sqref="M30:M36">
    <cfRule type="cellIs" dxfId="693" priority="780" operator="between">
      <formula>0.95001</formula>
      <formula>1</formula>
    </cfRule>
  </conditionalFormatting>
  <conditionalFormatting sqref="M30:M36">
    <cfRule type="cellIs" dxfId="692" priority="778" operator="equal">
      <formula>"No programado"</formula>
    </cfRule>
    <cfRule type="cellIs" dxfId="691" priority="781" operator="greaterThan">
      <formula>1</formula>
    </cfRule>
  </conditionalFormatting>
  <conditionalFormatting sqref="M30:M36">
    <cfRule type="cellIs" dxfId="690" priority="777" operator="between">
      <formula>0.8</formula>
      <formula>0.95</formula>
    </cfRule>
    <cfRule type="cellIs" dxfId="689" priority="779" operator="lessThan">
      <formula>0.8</formula>
    </cfRule>
  </conditionalFormatting>
  <conditionalFormatting sqref="M42:M43">
    <cfRule type="cellIs" dxfId="688" priority="760" operator="between">
      <formula>0.95001</formula>
      <formula>1</formula>
    </cfRule>
  </conditionalFormatting>
  <conditionalFormatting sqref="M42:M43">
    <cfRule type="cellIs" dxfId="687" priority="758" operator="equal">
      <formula>"No programado"</formula>
    </cfRule>
    <cfRule type="cellIs" dxfId="686" priority="761" operator="greaterThan">
      <formula>1</formula>
    </cfRule>
  </conditionalFormatting>
  <conditionalFormatting sqref="M42:M43">
    <cfRule type="cellIs" dxfId="685" priority="757" operator="between">
      <formula>0.8</formula>
      <formula>0.95</formula>
    </cfRule>
    <cfRule type="cellIs" dxfId="684" priority="759" operator="lessThan">
      <formula>0.8</formula>
    </cfRule>
  </conditionalFormatting>
  <conditionalFormatting sqref="M49:M51">
    <cfRule type="cellIs" dxfId="683" priority="740" operator="between">
      <formula>0.95001</formula>
      <formula>1</formula>
    </cfRule>
  </conditionalFormatting>
  <conditionalFormatting sqref="M49:M51">
    <cfRule type="cellIs" dxfId="682" priority="738" operator="equal">
      <formula>"No programado"</formula>
    </cfRule>
    <cfRule type="cellIs" dxfId="681" priority="741" operator="greaterThan">
      <formula>1</formula>
    </cfRule>
  </conditionalFormatting>
  <conditionalFormatting sqref="M49:M51">
    <cfRule type="cellIs" dxfId="680" priority="737" operator="between">
      <formula>0.8</formula>
      <formula>0.95</formula>
    </cfRule>
    <cfRule type="cellIs" dxfId="679" priority="739" operator="lessThan">
      <formula>0.8</formula>
    </cfRule>
  </conditionalFormatting>
  <conditionalFormatting sqref="M57:M76">
    <cfRule type="cellIs" dxfId="678" priority="720" operator="between">
      <formula>0.95001</formula>
      <formula>1</formula>
    </cfRule>
  </conditionalFormatting>
  <conditionalFormatting sqref="M57:M76">
    <cfRule type="cellIs" dxfId="677" priority="718" operator="equal">
      <formula>"No programado"</formula>
    </cfRule>
    <cfRule type="cellIs" dxfId="676" priority="721" operator="greaterThan">
      <formula>1</formula>
    </cfRule>
  </conditionalFormatting>
  <conditionalFormatting sqref="M57:M76">
    <cfRule type="cellIs" dxfId="675" priority="717" operator="between">
      <formula>0.8</formula>
      <formula>0.95</formula>
    </cfRule>
    <cfRule type="cellIs" dxfId="674" priority="719" operator="lessThan">
      <formula>0.8</formula>
    </cfRule>
  </conditionalFormatting>
  <conditionalFormatting sqref="AM69 AL70:AM76 AL57:AM68">
    <cfRule type="cellIs" dxfId="673" priority="653" operator="equal">
      <formula>"No programado"</formula>
    </cfRule>
    <cfRule type="cellIs" dxfId="672" priority="656" operator="greaterThan">
      <formula>1</formula>
    </cfRule>
  </conditionalFormatting>
  <conditionalFormatting sqref="AL59:AM59">
    <cfRule type="cellIs" dxfId="671" priority="658" operator="between">
      <formula>0.7</formula>
      <formula>0.8</formula>
    </cfRule>
    <cfRule type="cellIs" dxfId="670" priority="660" operator="lessThan">
      <formula>0.7</formula>
    </cfRule>
    <cfRule type="cellIs" dxfId="669" priority="661" operator="between">
      <formula>0.80000000000001</formula>
      <formula>1</formula>
    </cfRule>
  </conditionalFormatting>
  <conditionalFormatting sqref="AL63:AM67">
    <cfRule type="cellIs" dxfId="668" priority="657" operator="between">
      <formula>0.95</formula>
      <formula>1</formula>
    </cfRule>
    <cfRule type="cellIs" dxfId="667" priority="659" operator="between">
      <formula>0.90000000001</formula>
      <formula>0.94999999999</formula>
    </cfRule>
    <cfRule type="cellIs" dxfId="666" priority="662" operator="lessThanOrEqual">
      <formula>90</formula>
    </cfRule>
  </conditionalFormatting>
  <conditionalFormatting sqref="AL68:AM68 AM69 AL70:AM76">
    <cfRule type="cellIs" dxfId="665" priority="652" operator="between">
      <formula>0.8</formula>
      <formula>0.85</formula>
    </cfRule>
    <cfRule type="cellIs" dxfId="664" priority="654" operator="lessThan">
      <formula>0.8</formula>
    </cfRule>
    <cfRule type="cellIs" dxfId="663" priority="655" operator="between">
      <formula>0.850000000001</formula>
      <formula>1</formula>
    </cfRule>
  </conditionalFormatting>
  <conditionalFormatting sqref="AL58:AM58 AL60:AM62">
    <cfRule type="cellIs" dxfId="662" priority="649" operator="lessThan">
      <formula>0.8</formula>
    </cfRule>
    <cfRule type="cellIs" dxfId="661" priority="650" operator="between">
      <formula>0.8</formula>
      <formula>0.85</formula>
    </cfRule>
    <cfRule type="cellIs" dxfId="660" priority="651" operator="between">
      <formula>0.85000000001</formula>
      <formula>1</formula>
    </cfRule>
  </conditionalFormatting>
  <conditionalFormatting sqref="AL57:AM57">
    <cfRule type="cellIs" dxfId="659" priority="646" operator="between">
      <formula>0.8000000001</formula>
      <formula>0.84999999999999</formula>
    </cfRule>
    <cfRule type="cellIs" dxfId="658" priority="647" operator="between">
      <formula>0.850000001</formula>
      <formula>1</formula>
    </cfRule>
    <cfRule type="cellIs" dxfId="657" priority="648" operator="lessThan">
      <formula>0.8</formula>
    </cfRule>
  </conditionalFormatting>
  <conditionalFormatting sqref="AL69">
    <cfRule type="cellIs" dxfId="656" priority="642" operator="equal">
      <formula>"No programado"</formula>
    </cfRule>
    <cfRule type="cellIs" dxfId="655" priority="645" operator="greaterThan">
      <formula>1</formula>
    </cfRule>
  </conditionalFormatting>
  <conditionalFormatting sqref="AL69">
    <cfRule type="cellIs" dxfId="654" priority="641" operator="between">
      <formula>0.8</formula>
      <formula>0.85</formula>
    </cfRule>
    <cfRule type="cellIs" dxfId="653" priority="643" operator="lessThan">
      <formula>0.8</formula>
    </cfRule>
    <cfRule type="cellIs" dxfId="652" priority="644" operator="between">
      <formula>0.850000000001</formula>
      <formula>1</formula>
    </cfRule>
  </conditionalFormatting>
  <conditionalFormatting sqref="AN57:AN61 AN63:AN66 AN68:AN76">
    <cfRule type="cellIs" dxfId="651" priority="639" operator="between">
      <formula>0.95001</formula>
      <formula>1</formula>
    </cfRule>
  </conditionalFormatting>
  <conditionalFormatting sqref="AN57:AN61 AN63:AN66 AN68:AN76">
    <cfRule type="cellIs" dxfId="650" priority="637" operator="equal">
      <formula>"No programado"</formula>
    </cfRule>
    <cfRule type="cellIs" dxfId="649" priority="640" operator="greaterThan">
      <formula>1</formula>
    </cfRule>
  </conditionalFormatting>
  <conditionalFormatting sqref="AN57:AN61 AN63:AN66 AN68:AN76">
    <cfRule type="cellIs" dxfId="648" priority="636" operator="between">
      <formula>0.8</formula>
      <formula>0.95</formula>
    </cfRule>
    <cfRule type="cellIs" dxfId="647" priority="638" operator="lessThan">
      <formula>0.8</formula>
    </cfRule>
  </conditionalFormatting>
  <conditionalFormatting sqref="K82:L88">
    <cfRule type="cellIs" dxfId="646" priority="620" operator="equal">
      <formula>"No programado"</formula>
    </cfRule>
    <cfRule type="cellIs" dxfId="645" priority="621" operator="greaterThan">
      <formula>1</formula>
    </cfRule>
  </conditionalFormatting>
  <conditionalFormatting sqref="K84:L84">
    <cfRule type="cellIs" dxfId="644" priority="633" operator="between">
      <formula>0.53000001</formula>
      <formula>0.7699999999999</formula>
    </cfRule>
    <cfRule type="cellIs" dxfId="643" priority="634" operator="lessThan">
      <formula>0.53</formula>
    </cfRule>
    <cfRule type="cellIs" dxfId="642" priority="635" operator="between">
      <formula>0.7700000000001</formula>
      <formula>1</formula>
    </cfRule>
  </conditionalFormatting>
  <conditionalFormatting sqref="K87:L88 K83:L83">
    <cfRule type="cellIs" dxfId="641" priority="628" operator="between">
      <formula>0.69</formula>
      <formula>0.9</formula>
    </cfRule>
    <cfRule type="cellIs" dxfId="640" priority="629" operator="between">
      <formula>0.770000001</formula>
      <formula>1</formula>
    </cfRule>
    <cfRule type="cellIs" dxfId="639" priority="632" operator="lessThan">
      <formula>69</formula>
    </cfRule>
  </conditionalFormatting>
  <conditionalFormatting sqref="K86:L86">
    <cfRule type="cellIs" dxfId="638" priority="625" operator="between">
      <formula>0.57</formula>
      <formula>0.84999999999</formula>
    </cfRule>
    <cfRule type="cellIs" dxfId="637" priority="626" operator="between">
      <formula>0.85000001</formula>
      <formula>1</formula>
    </cfRule>
    <cfRule type="cellIs" dxfId="636" priority="627" operator="lessThan">
      <formula>0.57</formula>
    </cfRule>
  </conditionalFormatting>
  <conditionalFormatting sqref="K85:L85">
    <cfRule type="cellIs" dxfId="635" priority="622" operator="between">
      <formula>"0.45000001"</formula>
      <formula>0.799999999</formula>
    </cfRule>
    <cfRule type="cellIs" dxfId="634" priority="623" operator="between">
      <formula>0.8000000001</formula>
      <formula>1</formula>
    </cfRule>
    <cfRule type="cellIs" dxfId="633" priority="631" operator="lessThan">
      <formula>0.45</formula>
    </cfRule>
  </conditionalFormatting>
  <conditionalFormatting sqref="K82:L82">
    <cfRule type="cellIs" dxfId="632" priority="619" operator="between">
      <formula>0.66000000001</formula>
      <formula>0.944444444444444</formula>
    </cfRule>
    <cfRule type="cellIs" dxfId="631" priority="624" operator="between">
      <formula>0.900000000001</formula>
      <formula>1</formula>
    </cfRule>
    <cfRule type="cellIs" dxfId="630" priority="630" operator="lessThan">
      <formula>0.66</formula>
    </cfRule>
  </conditionalFormatting>
  <conditionalFormatting sqref="K85:L85">
    <cfRule type="cellIs" dxfId="629" priority="616" operator="between">
      <formula>0.53000001</formula>
      <formula>0.7699999999999</formula>
    </cfRule>
    <cfRule type="cellIs" dxfId="628" priority="617" operator="lessThan">
      <formula>0.53</formula>
    </cfRule>
    <cfRule type="cellIs" dxfId="627" priority="618" operator="between">
      <formula>0.7700000000001</formula>
      <formula>1</formula>
    </cfRule>
  </conditionalFormatting>
  <conditionalFormatting sqref="M82:M88">
    <cfRule type="cellIs" dxfId="626" priority="614" operator="between">
      <formula>0.95001</formula>
      <formula>1</formula>
    </cfRule>
  </conditionalFormatting>
  <conditionalFormatting sqref="M82:M88">
    <cfRule type="cellIs" dxfId="625" priority="612" operator="equal">
      <formula>"No programado"</formula>
    </cfRule>
    <cfRule type="cellIs" dxfId="624" priority="615" operator="greaterThan">
      <formula>1</formula>
    </cfRule>
  </conditionalFormatting>
  <conditionalFormatting sqref="M82:M88">
    <cfRule type="cellIs" dxfId="623" priority="611" operator="between">
      <formula>0.8</formula>
      <formula>0.95</formula>
    </cfRule>
    <cfRule type="cellIs" dxfId="622" priority="613" operator="lessThan">
      <formula>0.8</formula>
    </cfRule>
  </conditionalFormatting>
  <conditionalFormatting sqref="AL87:AN88 AL82:AN83">
    <cfRule type="cellIs" dxfId="621" priority="552" operator="between">
      <formula>0.9000000001</formula>
      <formula>1</formula>
    </cfRule>
  </conditionalFormatting>
  <conditionalFormatting sqref="K94:L101">
    <cfRule type="cellIs" dxfId="620" priority="531" operator="equal">
      <formula>"No programado"</formula>
    </cfRule>
    <cfRule type="cellIs" dxfId="619" priority="532" operator="greaterThan">
      <formula>1</formula>
    </cfRule>
  </conditionalFormatting>
  <conditionalFormatting sqref="K94:L101">
    <cfRule type="cellIs" dxfId="618" priority="533" operator="between">
      <formula>0.69</formula>
      <formula>0.9</formula>
    </cfRule>
    <cfRule type="cellIs" dxfId="617" priority="534" operator="between">
      <formula>0.770000001</formula>
      <formula>1</formula>
    </cfRule>
    <cfRule type="cellIs" dxfId="616" priority="535" operator="lessThan">
      <formula>69</formula>
    </cfRule>
  </conditionalFormatting>
  <conditionalFormatting sqref="M94:M101">
    <cfRule type="cellIs" dxfId="615" priority="529" operator="between">
      <formula>0.95001</formula>
      <formula>1</formula>
    </cfRule>
  </conditionalFormatting>
  <conditionalFormatting sqref="M94:M101">
    <cfRule type="cellIs" dxfId="614" priority="527" operator="equal">
      <formula>"No programado"</formula>
    </cfRule>
    <cfRule type="cellIs" dxfId="613" priority="530" operator="greaterThan">
      <formula>1</formula>
    </cfRule>
  </conditionalFormatting>
  <conditionalFormatting sqref="M94:M101">
    <cfRule type="cellIs" dxfId="612" priority="526" operator="between">
      <formula>0.8</formula>
      <formula>0.95</formula>
    </cfRule>
    <cfRule type="cellIs" dxfId="611" priority="528" operator="lessThan">
      <formula>0.8</formula>
    </cfRule>
  </conditionalFormatting>
  <conditionalFormatting sqref="T96:V101">
    <cfRule type="cellIs" dxfId="610" priority="100" operator="between">
      <formula>0.9</formula>
      <formula>1</formula>
    </cfRule>
    <cfRule type="cellIs" dxfId="609" priority="101" operator="between">
      <formula>0.65</formula>
      <formula>0.9</formula>
    </cfRule>
    <cfRule type="cellIs" dxfId="608" priority="102" operator="equal">
      <formula>"No programado"</formula>
    </cfRule>
    <cfRule type="cellIs" dxfId="607" priority="103" operator="greaterThan">
      <formula>1</formula>
    </cfRule>
    <cfRule type="cellIs" dxfId="606" priority="518" operator="lessThan">
      <formula>0.65</formula>
    </cfRule>
  </conditionalFormatting>
  <conditionalFormatting sqref="K107:L114">
    <cfRule type="cellIs" dxfId="605" priority="491" operator="equal">
      <formula>"No programado"</formula>
    </cfRule>
    <cfRule type="cellIs" dxfId="604" priority="492" operator="greaterThan">
      <formula>1</formula>
    </cfRule>
  </conditionalFormatting>
  <conditionalFormatting sqref="K107:L114">
    <cfRule type="cellIs" dxfId="603" priority="493" operator="between">
      <formula>0.69</formula>
      <formula>0.9</formula>
    </cfRule>
    <cfRule type="cellIs" dxfId="602" priority="494" operator="between">
      <formula>0.770000001</formula>
      <formula>1</formula>
    </cfRule>
    <cfRule type="cellIs" dxfId="601" priority="495" operator="lessThan">
      <formula>69</formula>
    </cfRule>
  </conditionalFormatting>
  <conditionalFormatting sqref="M107:M114">
    <cfRule type="cellIs" dxfId="600" priority="489" operator="between">
      <formula>0.95001</formula>
      <formula>1</formula>
    </cfRule>
  </conditionalFormatting>
  <conditionalFormatting sqref="M107:M114">
    <cfRule type="cellIs" dxfId="599" priority="487" operator="equal">
      <formula>"No programado"</formula>
    </cfRule>
    <cfRule type="cellIs" dxfId="598" priority="490" operator="greaterThan">
      <formula>1</formula>
    </cfRule>
  </conditionalFormatting>
  <conditionalFormatting sqref="M107:M114">
    <cfRule type="cellIs" dxfId="597" priority="486" operator="between">
      <formula>0.8</formula>
      <formula>0.95</formula>
    </cfRule>
    <cfRule type="cellIs" dxfId="596" priority="488" operator="lessThan">
      <formula>0.8</formula>
    </cfRule>
  </conditionalFormatting>
  <conditionalFormatting sqref="AL107:AN107 AL109:AN113">
    <cfRule type="cellIs" dxfId="595" priority="460" operator="between">
      <formula>0.9</formula>
      <formula>1</formula>
    </cfRule>
  </conditionalFormatting>
  <conditionalFormatting sqref="K120:L121">
    <cfRule type="cellIs" dxfId="594" priority="451" operator="equal">
      <formula>"No programado"</formula>
    </cfRule>
    <cfRule type="cellIs" dxfId="593" priority="452" operator="greaterThan">
      <formula>1</formula>
    </cfRule>
  </conditionalFormatting>
  <conditionalFormatting sqref="K120:L121">
    <cfRule type="cellIs" dxfId="592" priority="453" operator="between">
      <formula>0.69</formula>
      <formula>0.9</formula>
    </cfRule>
    <cfRule type="cellIs" dxfId="591" priority="454" operator="between">
      <formula>0.770000001</formula>
      <formula>1</formula>
    </cfRule>
    <cfRule type="cellIs" dxfId="590" priority="455" operator="lessThan">
      <formula>69</formula>
    </cfRule>
  </conditionalFormatting>
  <conditionalFormatting sqref="M120:M121">
    <cfRule type="cellIs" dxfId="589" priority="449" operator="between">
      <formula>0.95001</formula>
      <formula>1</formula>
    </cfRule>
  </conditionalFormatting>
  <conditionalFormatting sqref="M120:M121">
    <cfRule type="cellIs" dxfId="588" priority="447" operator="equal">
      <formula>"No programado"</formula>
    </cfRule>
    <cfRule type="cellIs" dxfId="587" priority="450" operator="greaterThan">
      <formula>1</formula>
    </cfRule>
  </conditionalFormatting>
  <conditionalFormatting sqref="M120:M121">
    <cfRule type="cellIs" dxfId="586" priority="446" operator="between">
      <formula>0.8</formula>
      <formula>0.95</formula>
    </cfRule>
    <cfRule type="cellIs" dxfId="585" priority="448" operator="lessThan">
      <formula>0.8</formula>
    </cfRule>
  </conditionalFormatting>
  <conditionalFormatting sqref="AL120:AM121">
    <cfRule type="cellIs" dxfId="584" priority="423" operator="lessThanOrEqual">
      <formula>0.95</formula>
    </cfRule>
  </conditionalFormatting>
  <conditionalFormatting sqref="K127:L129">
    <cfRule type="cellIs" dxfId="583" priority="411" operator="equal">
      <formula>"No programado"</formula>
    </cfRule>
    <cfRule type="cellIs" dxfId="582" priority="412" operator="greaterThan">
      <formula>1</formula>
    </cfRule>
  </conditionalFormatting>
  <conditionalFormatting sqref="K127:L129">
    <cfRule type="cellIs" dxfId="581" priority="413" operator="between">
      <formula>0.69</formula>
      <formula>0.9</formula>
    </cfRule>
    <cfRule type="cellIs" dxfId="580" priority="414" operator="between">
      <formula>0.770000001</formula>
      <formula>1</formula>
    </cfRule>
    <cfRule type="cellIs" dxfId="579" priority="415" operator="lessThan">
      <formula>69</formula>
    </cfRule>
  </conditionalFormatting>
  <conditionalFormatting sqref="M127:M129">
    <cfRule type="cellIs" dxfId="578" priority="409" operator="between">
      <formula>0.95001</formula>
      <formula>1</formula>
    </cfRule>
  </conditionalFormatting>
  <conditionalFormatting sqref="M127:M129">
    <cfRule type="cellIs" dxfId="577" priority="407" operator="equal">
      <formula>"No programado"</formula>
    </cfRule>
    <cfRule type="cellIs" dxfId="576" priority="410" operator="greaterThan">
      <formula>1</formula>
    </cfRule>
  </conditionalFormatting>
  <conditionalFormatting sqref="M127:M129">
    <cfRule type="cellIs" dxfId="575" priority="406" operator="between">
      <formula>0.8</formula>
      <formula>0.95</formula>
    </cfRule>
    <cfRule type="cellIs" dxfId="574" priority="408" operator="lessThan">
      <formula>0.8</formula>
    </cfRule>
  </conditionalFormatting>
  <conditionalFormatting sqref="K135:L135">
    <cfRule type="cellIs" dxfId="573" priority="371" operator="equal">
      <formula>"No programado"</formula>
    </cfRule>
    <cfRule type="cellIs" dxfId="572" priority="372" operator="greaterThan">
      <formula>1</formula>
    </cfRule>
  </conditionalFormatting>
  <conditionalFormatting sqref="K135:L135">
    <cfRule type="cellIs" dxfId="571" priority="373" operator="between">
      <formula>0.69</formula>
      <formula>0.9</formula>
    </cfRule>
    <cfRule type="cellIs" dxfId="570" priority="374" operator="between">
      <formula>0.770000001</formula>
      <formula>1</formula>
    </cfRule>
    <cfRule type="cellIs" dxfId="569" priority="375" operator="lessThan">
      <formula>69</formula>
    </cfRule>
  </conditionalFormatting>
  <conditionalFormatting sqref="M135">
    <cfRule type="cellIs" dxfId="568" priority="369" operator="between">
      <formula>0.95001</formula>
      <formula>1</formula>
    </cfRule>
  </conditionalFormatting>
  <conditionalFormatting sqref="M135">
    <cfRule type="cellIs" dxfId="567" priority="367" operator="equal">
      <formula>"No programado"</formula>
    </cfRule>
    <cfRule type="cellIs" dxfId="566" priority="370" operator="greaterThan">
      <formula>1</formula>
    </cfRule>
  </conditionalFormatting>
  <conditionalFormatting sqref="M135">
    <cfRule type="cellIs" dxfId="565" priority="366" operator="between">
      <formula>0.8</formula>
      <formula>0.95</formula>
    </cfRule>
    <cfRule type="cellIs" dxfId="564" priority="368" operator="lessThan">
      <formula>0.8</formula>
    </cfRule>
  </conditionalFormatting>
  <conditionalFormatting sqref="K136:L138">
    <cfRule type="cellIs" dxfId="563" priority="361" operator="equal">
      <formula>"No programado"</formula>
    </cfRule>
    <cfRule type="cellIs" dxfId="562" priority="362" operator="greaterThan">
      <formula>1</formula>
    </cfRule>
  </conditionalFormatting>
  <conditionalFormatting sqref="K136:L138">
    <cfRule type="cellIs" dxfId="561" priority="363" operator="between">
      <formula>0.69</formula>
      <formula>0.9</formula>
    </cfRule>
    <cfRule type="cellIs" dxfId="560" priority="364" operator="between">
      <formula>0.770000001</formula>
      <formula>1</formula>
    </cfRule>
    <cfRule type="cellIs" dxfId="559" priority="365" operator="lessThan">
      <formula>69</formula>
    </cfRule>
  </conditionalFormatting>
  <conditionalFormatting sqref="M136:M138">
    <cfRule type="cellIs" dxfId="558" priority="359" operator="between">
      <formula>0.95001</formula>
      <formula>1</formula>
    </cfRule>
  </conditionalFormatting>
  <conditionalFormatting sqref="M136:M138">
    <cfRule type="cellIs" dxfId="557" priority="357" operator="equal">
      <formula>"No programado"</formula>
    </cfRule>
    <cfRule type="cellIs" dxfId="556" priority="360" operator="greaterThan">
      <formula>1</formula>
    </cfRule>
  </conditionalFormatting>
  <conditionalFormatting sqref="M136:M138">
    <cfRule type="cellIs" dxfId="555" priority="356" operator="between">
      <formula>0.8</formula>
      <formula>0.95</formula>
    </cfRule>
    <cfRule type="cellIs" dxfId="554" priority="358" operator="lessThan">
      <formula>0.8</formula>
    </cfRule>
  </conditionalFormatting>
  <conditionalFormatting sqref="K144:L147">
    <cfRule type="cellIs" dxfId="553" priority="291" operator="equal">
      <formula>"No programado"</formula>
    </cfRule>
    <cfRule type="cellIs" dxfId="552" priority="292" operator="greaterThan">
      <formula>1</formula>
    </cfRule>
  </conditionalFormatting>
  <conditionalFormatting sqref="K144:L147">
    <cfRule type="cellIs" dxfId="551" priority="293" operator="between">
      <formula>0.69</formula>
      <formula>0.9</formula>
    </cfRule>
    <cfRule type="cellIs" dxfId="550" priority="294" operator="between">
      <formula>0.770000001</formula>
      <formula>1</formula>
    </cfRule>
    <cfRule type="cellIs" dxfId="549" priority="295" operator="lessThan">
      <formula>69</formula>
    </cfRule>
  </conditionalFormatting>
  <conditionalFormatting sqref="M144:M147">
    <cfRule type="cellIs" dxfId="548" priority="289" operator="between">
      <formula>0.95001</formula>
      <formula>1</formula>
    </cfRule>
  </conditionalFormatting>
  <conditionalFormatting sqref="M144:M147">
    <cfRule type="cellIs" dxfId="547" priority="287" operator="equal">
      <formula>"No programado"</formula>
    </cfRule>
    <cfRule type="cellIs" dxfId="546" priority="290" operator="greaterThan">
      <formula>1</formula>
    </cfRule>
  </conditionalFormatting>
  <conditionalFormatting sqref="M144:M147">
    <cfRule type="cellIs" dxfId="545" priority="286" operator="between">
      <formula>0.8</formula>
      <formula>0.95</formula>
    </cfRule>
    <cfRule type="cellIs" dxfId="544" priority="288" operator="lessThan">
      <formula>0.8</formula>
    </cfRule>
  </conditionalFormatting>
  <conditionalFormatting sqref="K153:L157">
    <cfRule type="cellIs" dxfId="543" priority="261" operator="equal">
      <formula>"No programado"</formula>
    </cfRule>
    <cfRule type="cellIs" dxfId="542" priority="262" operator="greaterThan">
      <formula>1</formula>
    </cfRule>
  </conditionalFormatting>
  <conditionalFormatting sqref="K153:L157">
    <cfRule type="cellIs" dxfId="541" priority="263" operator="between">
      <formula>0.69</formula>
      <formula>0.9</formula>
    </cfRule>
    <cfRule type="cellIs" dxfId="540" priority="264" operator="between">
      <formula>0.770000001</formula>
      <formula>1</formula>
    </cfRule>
    <cfRule type="cellIs" dxfId="539" priority="265" operator="lessThan">
      <formula>69</formula>
    </cfRule>
  </conditionalFormatting>
  <conditionalFormatting sqref="M153:M157">
    <cfRule type="cellIs" dxfId="538" priority="259" operator="between">
      <formula>0.95001</formula>
      <formula>1</formula>
    </cfRule>
  </conditionalFormatting>
  <conditionalFormatting sqref="M153:M157">
    <cfRule type="cellIs" dxfId="537" priority="257" operator="equal">
      <formula>"No programado"</formula>
    </cfRule>
    <cfRule type="cellIs" dxfId="536" priority="260" operator="greaterThan">
      <formula>1</formula>
    </cfRule>
  </conditionalFormatting>
  <conditionalFormatting sqref="M153:M157">
    <cfRule type="cellIs" dxfId="535" priority="256" operator="between">
      <formula>0.8</formula>
      <formula>0.95</formula>
    </cfRule>
    <cfRule type="cellIs" dxfId="534" priority="258" operator="lessThan">
      <formula>0.8</formula>
    </cfRule>
  </conditionalFormatting>
  <conditionalFormatting sqref="AE153:AE157">
    <cfRule type="cellIs" dxfId="533" priority="238" operator="between">
      <formula>0.90000001</formula>
      <formula>0.999999999999</formula>
    </cfRule>
  </conditionalFormatting>
  <conditionalFormatting sqref="K163:L165">
    <cfRule type="cellIs" dxfId="532" priority="231" operator="equal">
      <formula>"No programado"</formula>
    </cfRule>
    <cfRule type="cellIs" dxfId="531" priority="232" operator="greaterThan">
      <formula>1</formula>
    </cfRule>
  </conditionalFormatting>
  <conditionalFormatting sqref="K163:L165">
    <cfRule type="cellIs" dxfId="530" priority="233" operator="between">
      <formula>0.69</formula>
      <formula>0.9</formula>
    </cfRule>
    <cfRule type="cellIs" dxfId="529" priority="234" operator="between">
      <formula>0.770000001</formula>
      <formula>1</formula>
    </cfRule>
    <cfRule type="cellIs" dxfId="528" priority="235" operator="lessThan">
      <formula>69</formula>
    </cfRule>
  </conditionalFormatting>
  <conditionalFormatting sqref="M163:M165">
    <cfRule type="cellIs" dxfId="527" priority="229" operator="between">
      <formula>0.95001</formula>
      <formula>1</formula>
    </cfRule>
  </conditionalFormatting>
  <conditionalFormatting sqref="M163:M165">
    <cfRule type="cellIs" dxfId="526" priority="227" operator="equal">
      <formula>"No programado"</formula>
    </cfRule>
    <cfRule type="cellIs" dxfId="525" priority="230" operator="greaterThan">
      <formula>1</formula>
    </cfRule>
  </conditionalFormatting>
  <conditionalFormatting sqref="M163:M165">
    <cfRule type="cellIs" dxfId="524" priority="226" operator="between">
      <formula>0.8</formula>
      <formula>0.95</formula>
    </cfRule>
    <cfRule type="cellIs" dxfId="523" priority="228" operator="lessThan">
      <formula>0.8</formula>
    </cfRule>
  </conditionalFormatting>
  <conditionalFormatting sqref="T164:V164">
    <cfRule type="cellIs" dxfId="522" priority="223" operator="between">
      <formula>0.99</formula>
      <formula>0.9999999999999</formula>
    </cfRule>
    <cfRule type="cellIs" dxfId="521" priority="224" operator="equal">
      <formula>1</formula>
    </cfRule>
    <cfRule type="cellIs" dxfId="520" priority="225" operator="lessThanOrEqual">
      <formula>0.69</formula>
    </cfRule>
  </conditionalFormatting>
  <conditionalFormatting sqref="K171:L173">
    <cfRule type="cellIs" dxfId="519" priority="201" operator="equal">
      <formula>"No programado"</formula>
    </cfRule>
    <cfRule type="cellIs" dxfId="518" priority="202" operator="greaterThan">
      <formula>1</formula>
    </cfRule>
  </conditionalFormatting>
  <conditionalFormatting sqref="K171:L173">
    <cfRule type="cellIs" dxfId="517" priority="203" operator="between">
      <formula>0.69</formula>
      <formula>0.9</formula>
    </cfRule>
    <cfRule type="cellIs" dxfId="516" priority="204" operator="between">
      <formula>0.770000001</formula>
      <formula>1</formula>
    </cfRule>
    <cfRule type="cellIs" dxfId="515" priority="205" operator="lessThan">
      <formula>69</formula>
    </cfRule>
  </conditionalFormatting>
  <conditionalFormatting sqref="M171:M173">
    <cfRule type="cellIs" dxfId="514" priority="199" operator="between">
      <formula>0.95001</formula>
      <formula>1</formula>
    </cfRule>
  </conditionalFormatting>
  <conditionalFormatting sqref="M171:M173">
    <cfRule type="cellIs" dxfId="513" priority="197" operator="equal">
      <formula>"No programado"</formula>
    </cfRule>
    <cfRule type="cellIs" dxfId="512" priority="200" operator="greaterThan">
      <formula>1</formula>
    </cfRule>
  </conditionalFormatting>
  <conditionalFormatting sqref="M171:M173">
    <cfRule type="cellIs" dxfId="511" priority="196" operator="between">
      <formula>0.8</formula>
      <formula>0.95</formula>
    </cfRule>
    <cfRule type="cellIs" dxfId="510" priority="198" operator="lessThan">
      <formula>0.8</formula>
    </cfRule>
  </conditionalFormatting>
  <conditionalFormatting sqref="AL145:AN145">
    <cfRule type="cellIs" dxfId="509" priority="161" operator="lessThan">
      <formula>0.93</formula>
    </cfRule>
    <cfRule type="cellIs" dxfId="508" priority="169" operator="between">
      <formula>0.93</formula>
      <formula>1</formula>
    </cfRule>
  </conditionalFormatting>
  <conditionalFormatting sqref="AL153:AN157">
    <cfRule type="cellIs" dxfId="507" priority="1" operator="greaterThan">
      <formula>1</formula>
    </cfRule>
    <cfRule type="cellIs" dxfId="506" priority="141" operator="equal">
      <formula>"No programado"</formula>
    </cfRule>
    <cfRule type="cellIs" dxfId="505" priority="143" operator="between">
      <formula>0.900000001</formula>
      <formula>0.999999999999</formula>
    </cfRule>
    <cfRule type="cellIs" dxfId="504" priority="145" operator="equal">
      <formula>1</formula>
    </cfRule>
    <cfRule type="cellIs" dxfId="503" priority="148" operator="lessThanOrEqual">
      <formula>0.9</formula>
    </cfRule>
  </conditionalFormatting>
  <conditionalFormatting sqref="AL57">
    <cfRule type="cellIs" dxfId="502" priority="118" operator="lessThan">
      <formula>0.8</formula>
    </cfRule>
    <cfRule type="cellIs" dxfId="501" priority="119" operator="between">
      <formula>0.8</formula>
      <formula>0.85</formula>
    </cfRule>
    <cfRule type="cellIs" dxfId="500" priority="120" operator="between">
      <formula>0.85000000001</formula>
      <formula>1</formula>
    </cfRule>
  </conditionalFormatting>
  <conditionalFormatting sqref="T57:V58">
    <cfRule type="cellIs" dxfId="499" priority="115" operator="equal">
      <formula>"No programado"</formula>
    </cfRule>
    <cfRule type="cellIs" dxfId="498" priority="116" operator="greaterThan">
      <formula>1</formula>
    </cfRule>
    <cfRule type="cellIs" dxfId="497" priority="690" operator="between">
      <formula>0.8</formula>
      <formula>0.85</formula>
    </cfRule>
    <cfRule type="cellIs" dxfId="496" priority="692" operator="lessThan">
      <formula>0.8</formula>
    </cfRule>
    <cfRule type="cellIs" dxfId="495" priority="701" operator="between">
      <formula>0.850000001</formula>
      <formula>1</formula>
    </cfRule>
  </conditionalFormatting>
  <conditionalFormatting sqref="T59:V59">
    <cfRule type="cellIs" dxfId="494" priority="117" operator="greaterThan">
      <formula>1</formula>
    </cfRule>
    <cfRule type="cellIs" dxfId="493" priority="707" operator="equal">
      <formula>"No programado"</formula>
    </cfRule>
    <cfRule type="cellIs" dxfId="492" priority="712" operator="between">
      <formula>0.7</formula>
      <formula>0.8</formula>
    </cfRule>
    <cfRule type="cellIs" dxfId="491" priority="714" operator="lessThan">
      <formula>0.7</formula>
    </cfRule>
    <cfRule type="cellIs" dxfId="490" priority="715" operator="between">
      <formula>0.80000000000001</formula>
      <formula>1</formula>
    </cfRule>
  </conditionalFormatting>
  <conditionalFormatting sqref="T42:V43">
    <cfRule type="cellIs" dxfId="489" priority="114" operator="greaterThan">
      <formula>1</formula>
    </cfRule>
    <cfRule type="cellIs" dxfId="488" priority="752" operator="between">
      <formula>0.8</formula>
      <formula>0.9</formula>
    </cfRule>
    <cfRule type="cellIs" dxfId="487" priority="753" operator="equal">
      <formula>"No programado"</formula>
    </cfRule>
    <cfRule type="cellIs" dxfId="486" priority="754" operator="lessThan">
      <formula>0.75</formula>
    </cfRule>
    <cfRule type="cellIs" dxfId="485" priority="755" operator="between">
      <formula>0.90001</formula>
      <formula>1</formula>
    </cfRule>
  </conditionalFormatting>
  <conditionalFormatting sqref="T30:V36">
    <cfRule type="cellIs" dxfId="484" priority="772" operator="between">
      <formula>0.8500000000001</formula>
      <formula>0.899999999999999</formula>
    </cfRule>
    <cfRule type="cellIs" dxfId="483" priority="773" operator="equal">
      <formula>"No programado"</formula>
    </cfRule>
    <cfRule type="cellIs" dxfId="482" priority="774" operator="lessThanOrEqual">
      <formula>0.85</formula>
    </cfRule>
    <cfRule type="cellIs" dxfId="481" priority="775" operator="between">
      <formula>0.9</formula>
      <formula>1</formula>
    </cfRule>
    <cfRule type="cellIs" dxfId="480" priority="776" operator="greaterThan">
      <formula>1</formula>
    </cfRule>
  </conditionalFormatting>
  <conditionalFormatting sqref="T49:V51">
    <cfRule type="cellIs" dxfId="479" priority="732" operator="between">
      <formula>0.7</formula>
      <formula>0.9</formula>
    </cfRule>
    <cfRule type="cellIs" dxfId="478" priority="733" operator="equal">
      <formula>"No programado"</formula>
    </cfRule>
    <cfRule type="cellIs" dxfId="477" priority="734" operator="lessThan">
      <formula>0.7</formula>
    </cfRule>
    <cfRule type="cellIs" dxfId="476" priority="735" operator="between">
      <formula>0.90001</formula>
      <formula>1</formula>
    </cfRule>
    <cfRule type="cellIs" dxfId="475" priority="736" operator="greaterThan">
      <formula>1</formula>
    </cfRule>
  </conditionalFormatting>
  <conditionalFormatting sqref="T60:V62">
    <cfRule type="cellIs" dxfId="474" priority="109" operator="equal">
      <formula>"No programado"</formula>
    </cfRule>
    <cfRule type="cellIs" dxfId="473" priority="110" operator="greaterThan">
      <formula>1</formula>
    </cfRule>
    <cfRule type="cellIs" dxfId="472" priority="111" operator="between">
      <formula>0.85000001</formula>
      <formula>1</formula>
    </cfRule>
    <cfRule type="cellIs" dxfId="471" priority="112" operator="between">
      <formula>0.85</formula>
      <formula>0.8</formula>
    </cfRule>
    <cfRule type="cellIs" dxfId="470" priority="113" operator="lessThan">
      <formula>0.8</formula>
    </cfRule>
  </conditionalFormatting>
  <conditionalFormatting sqref="T63:V67">
    <cfRule type="cellIs" dxfId="469" priority="107" operator="equal">
      <formula>"No programado"</formula>
    </cfRule>
    <cfRule type="cellIs" dxfId="468" priority="108" operator="greaterThan">
      <formula>1</formula>
    </cfRule>
    <cfRule type="cellIs" dxfId="467" priority="711" operator="between">
      <formula>0.95</formula>
      <formula>1</formula>
    </cfRule>
    <cfRule type="cellIs" dxfId="466" priority="713" operator="between">
      <formula>0.90000000001</formula>
      <formula>0.94999999999</formula>
    </cfRule>
    <cfRule type="cellIs" dxfId="465" priority="716" operator="lessThanOrEqual">
      <formula>90</formula>
    </cfRule>
  </conditionalFormatting>
  <conditionalFormatting sqref="T68:V76">
    <cfRule type="cellIs" dxfId="464" priority="695" operator="between">
      <formula>0.8</formula>
      <formula>0.85</formula>
    </cfRule>
    <cfRule type="cellIs" dxfId="463" priority="696" operator="equal">
      <formula>"No programado"</formula>
    </cfRule>
    <cfRule type="cellIs" dxfId="462" priority="697" operator="lessThan">
      <formula>0.8</formula>
    </cfRule>
    <cfRule type="cellIs" dxfId="461" priority="698" operator="between">
      <formula>0.850000000001</formula>
      <formula>1</formula>
    </cfRule>
    <cfRule type="cellIs" dxfId="460" priority="699" operator="greaterThan">
      <formula>1</formula>
    </cfRule>
  </conditionalFormatting>
  <conditionalFormatting sqref="T21:V24">
    <cfRule type="cellIs" dxfId="459" priority="802" operator="equal">
      <formula>"No programado"</formula>
    </cfRule>
    <cfRule type="cellIs" dxfId="458" priority="805" operator="greaterThan">
      <formula>1</formula>
    </cfRule>
    <cfRule type="cellIs" dxfId="457" priority="946" operator="lessThanOrEqual">
      <formula>0.6</formula>
    </cfRule>
    <cfRule type="cellIs" dxfId="456" priority="947" operator="between">
      <formula>0.600000000001</formula>
      <formula>0.99999999999999</formula>
    </cfRule>
    <cfRule type="cellIs" dxfId="455" priority="948" operator="equal">
      <formula>1</formula>
    </cfRule>
  </conditionalFormatting>
  <conditionalFormatting sqref="T15:V15">
    <cfRule type="cellIs" dxfId="454" priority="106" operator="lessThanOrEqual">
      <formula>0.8</formula>
    </cfRule>
    <cfRule type="cellIs" dxfId="453" priority="902" operator="between">
      <formula>0.850000000001</formula>
      <formula>0.999999999999999</formula>
    </cfRule>
    <cfRule type="cellIs" dxfId="452" priority="903" operator="equal">
      <formula>1</formula>
    </cfRule>
  </conditionalFormatting>
  <conditionalFormatting sqref="T12:V13">
    <cfRule type="cellIs" dxfId="451" priority="906" operator="between">
      <formula>0.8</formula>
      <formula>0.95</formula>
    </cfRule>
    <cfRule type="cellIs" dxfId="450" priority="908" operator="equal">
      <formula>"No programado"</formula>
    </cfRule>
    <cfRule type="cellIs" dxfId="449" priority="909" operator="lessThan">
      <formula>0.8</formula>
    </cfRule>
    <cfRule type="cellIs" dxfId="448" priority="912" operator="greaterThan">
      <formula>1</formula>
    </cfRule>
  </conditionalFormatting>
  <conditionalFormatting sqref="T14:V14">
    <cfRule type="cellIs" dxfId="447" priority="104" operator="greaterThan">
      <formula>1</formula>
    </cfRule>
    <cfRule type="cellIs" dxfId="446" priority="105" operator="equal">
      <formula>"No programado"</formula>
    </cfRule>
    <cfRule type="cellIs" dxfId="445" priority="904" operator="between">
      <formula>0.95</formula>
      <formula>1</formula>
    </cfRule>
    <cfRule type="cellIs" dxfId="444" priority="907" operator="lessThanOrEqual">
      <formula>0.85</formula>
    </cfRule>
    <cfRule type="cellIs" dxfId="443" priority="911" operator="between">
      <formula>0.85000000000001</formula>
      <formula>0.94999999999</formula>
    </cfRule>
  </conditionalFormatting>
  <conditionalFormatting sqref="T94:V95">
    <cfRule type="cellIs" dxfId="442" priority="99" operator="lessThan">
      <formula>0.6</formula>
    </cfRule>
    <cfRule type="cellIs" dxfId="441" priority="516" operator="between">
      <formula>0.6</formula>
      <formula>0.9</formula>
    </cfRule>
    <cfRule type="cellIs" dxfId="440" priority="517" operator="equal">
      <formula>"No programado"</formula>
    </cfRule>
    <cfRule type="cellIs" dxfId="439" priority="519" operator="between">
      <formula>0.90001</formula>
      <formula>1</formula>
    </cfRule>
    <cfRule type="cellIs" dxfId="438" priority="520" operator="greaterThan">
      <formula>1</formula>
    </cfRule>
  </conditionalFormatting>
  <conditionalFormatting sqref="T82:V82">
    <cfRule type="cellIs" dxfId="437" priority="586" operator="between">
      <formula>0.66</formula>
      <formula>0.9</formula>
    </cfRule>
    <cfRule type="cellIs" dxfId="436" priority="587" operator="equal">
      <formula>"No programado"</formula>
    </cfRule>
    <cfRule type="cellIs" dxfId="435" priority="589" operator="between">
      <formula>0.90001</formula>
      <formula>1</formula>
    </cfRule>
    <cfRule type="cellIs" dxfId="434" priority="590" operator="greaterThan">
      <formula>1</formula>
    </cfRule>
    <cfRule type="cellIs" dxfId="433" priority="607" operator="lessThan">
      <formula>66</formula>
    </cfRule>
  </conditionalFormatting>
  <conditionalFormatting sqref="T83:V83">
    <cfRule type="cellIs" dxfId="432" priority="94" operator="between">
      <formula>0.69</formula>
      <formula>0.9</formula>
    </cfRule>
    <cfRule type="cellIs" dxfId="431" priority="95" operator="between">
      <formula>0.7700000000001</formula>
      <formula>1</formula>
    </cfRule>
    <cfRule type="cellIs" dxfId="430" priority="96" operator="equal">
      <formula>"No programado"</formula>
    </cfRule>
    <cfRule type="cellIs" dxfId="429" priority="97" operator="lessThan">
      <formula>69</formula>
    </cfRule>
    <cfRule type="cellIs" dxfId="428" priority="98" operator="greaterThan">
      <formula>1</formula>
    </cfRule>
  </conditionalFormatting>
  <conditionalFormatting sqref="T84:V84">
    <cfRule type="cellIs" dxfId="427" priority="92" operator="equal">
      <formula>"No programado"</formula>
    </cfRule>
    <cfRule type="cellIs" dxfId="426" priority="93" operator="greaterThan">
      <formula>1</formula>
    </cfRule>
    <cfRule type="cellIs" dxfId="425" priority="608" operator="between">
      <formula>0.53</formula>
      <formula>0.77</formula>
    </cfRule>
    <cfRule type="cellIs" dxfId="424" priority="609" operator="lessThan">
      <formula>0.53</formula>
    </cfRule>
    <cfRule type="cellIs" dxfId="423" priority="610" operator="between">
      <formula>0.7700000000001</formula>
      <formula>1</formula>
    </cfRule>
  </conditionalFormatting>
  <conditionalFormatting sqref="T85:V85">
    <cfRule type="cellIs" dxfId="422" priority="91" operator="equal">
      <formula>"No programado"</formula>
    </cfRule>
    <cfRule type="cellIs" dxfId="421" priority="591" operator="between">
      <formula>0.45</formula>
      <formula>0.8</formula>
    </cfRule>
    <cfRule type="cellIs" dxfId="420" priority="592" operator="greaterThan">
      <formula>1</formula>
    </cfRule>
    <cfRule type="cellIs" dxfId="419" priority="593" operator="between">
      <formula>0.8000000000001</formula>
      <formula>1</formula>
    </cfRule>
    <cfRule type="cellIs" dxfId="418" priority="606" operator="lessThan">
      <formula>0.45</formula>
    </cfRule>
  </conditionalFormatting>
  <conditionalFormatting sqref="T86:V86">
    <cfRule type="cellIs" dxfId="417" priority="89" operator="equal">
      <formula>"No programado"</formula>
    </cfRule>
    <cfRule type="cellIs" dxfId="416" priority="90" operator="greaterThan">
      <formula>1</formula>
    </cfRule>
    <cfRule type="cellIs" dxfId="415" priority="600" operator="between">
      <formula>0.57</formula>
      <formula>0.85</formula>
    </cfRule>
    <cfRule type="cellIs" dxfId="414" priority="601" operator="between">
      <formula>0.85000001</formula>
      <formula>1</formula>
    </cfRule>
    <cfRule type="cellIs" dxfId="413" priority="602" operator="lessThan">
      <formula>0.57</formula>
    </cfRule>
  </conditionalFormatting>
  <conditionalFormatting sqref="T87:V88">
    <cfRule type="cellIs" dxfId="412" priority="84" operator="equal">
      <formula>"No programado"</formula>
    </cfRule>
    <cfRule type="cellIs" dxfId="411" priority="85" operator="between">
      <formula>0.9000000001</formula>
      <formula>1</formula>
    </cfRule>
    <cfRule type="cellIs" dxfId="410" priority="86" operator="between">
      <formula>0.69</formula>
      <formula>0.9</formula>
    </cfRule>
    <cfRule type="cellIs" dxfId="409" priority="87" operator="lessThan">
      <formula>0.69</formula>
    </cfRule>
    <cfRule type="cellIs" dxfId="408" priority="88" operator="greaterThan">
      <formula>1</formula>
    </cfRule>
  </conditionalFormatting>
  <conditionalFormatting sqref="T107:V114">
    <cfRule type="cellIs" dxfId="407" priority="477" operator="equal">
      <formula>"No programado"</formula>
    </cfRule>
    <cfRule type="cellIs" dxfId="406" priority="480" operator="greaterThan">
      <formula>1</formula>
    </cfRule>
  </conditionalFormatting>
  <conditionalFormatting sqref="T107:V107">
    <cfRule type="cellIs" dxfId="405" priority="81" operator="between">
      <formula>0.6900000001</formula>
      <formula>0.8999999999999</formula>
    </cfRule>
    <cfRule type="cellIs" dxfId="404" priority="82" operator="greaterThanOrEqual">
      <formula>0.9</formula>
    </cfRule>
    <cfRule type="cellIs" dxfId="403" priority="83" operator="lessThanOrEqual">
      <formula>0.69</formula>
    </cfRule>
  </conditionalFormatting>
  <conditionalFormatting sqref="T108:V108">
    <cfRule type="cellIs" dxfId="402" priority="78" operator="between">
      <formula>0.84000001</formula>
      <formula>0.96999999999999</formula>
    </cfRule>
    <cfRule type="cellIs" dxfId="401" priority="79" operator="lessThanOrEqual">
      <formula>0.84</formula>
    </cfRule>
    <cfRule type="cellIs" dxfId="400" priority="80" operator="between">
      <formula>0.97</formula>
      <formula>1</formula>
    </cfRule>
  </conditionalFormatting>
  <conditionalFormatting sqref="T109:V109">
    <cfRule type="cellIs" dxfId="399" priority="75" operator="between">
      <formula>0.79000000000001</formula>
      <formula>0.899999999999999</formula>
    </cfRule>
    <cfRule type="cellIs" dxfId="398" priority="76" operator="between">
      <formula>0.9</formula>
      <formula>1</formula>
    </cfRule>
    <cfRule type="cellIs" dxfId="397" priority="77" operator="lessThanOrEqual">
      <formula>0.79</formula>
    </cfRule>
  </conditionalFormatting>
  <conditionalFormatting sqref="T110:V113">
    <cfRule type="cellIs" dxfId="396" priority="72" operator="between">
      <formula>0.69000000000001</formula>
      <formula>0.899999999999999</formula>
    </cfRule>
    <cfRule type="cellIs" dxfId="395" priority="73" operator="between">
      <formula>0.9</formula>
      <formula>1</formula>
    </cfRule>
    <cfRule type="cellIs" dxfId="394" priority="74" operator="lessThanOrEqual">
      <formula>0.69</formula>
    </cfRule>
  </conditionalFormatting>
  <conditionalFormatting sqref="T114:V114">
    <cfRule type="cellIs" dxfId="393" priority="69" operator="between">
      <formula>0.9</formula>
      <formula>0.99999999999999</formula>
    </cfRule>
    <cfRule type="cellIs" dxfId="392" priority="70" operator="lessThan">
      <formula>0.9</formula>
    </cfRule>
    <cfRule type="cellIs" dxfId="391" priority="71" operator="equal">
      <formula>1</formula>
    </cfRule>
  </conditionalFormatting>
  <conditionalFormatting sqref="T120:V121">
    <cfRule type="cellIs" dxfId="390" priority="437" operator="equal">
      <formula>"No programado"</formula>
    </cfRule>
    <cfRule type="cellIs" dxfId="389" priority="440" operator="greaterThan">
      <formula>1</formula>
    </cfRule>
  </conditionalFormatting>
  <conditionalFormatting sqref="T120:V120">
    <cfRule type="cellIs" dxfId="388" priority="66" operator="between">
      <formula>0.90000000000001</formula>
      <formula>0.949999999999999</formula>
    </cfRule>
    <cfRule type="cellIs" dxfId="387" priority="67" operator="between">
      <formula>0.95</formula>
      <formula>1</formula>
    </cfRule>
    <cfRule type="cellIs" dxfId="386" priority="68" operator="lessThanOrEqual">
      <formula>0.9</formula>
    </cfRule>
  </conditionalFormatting>
  <conditionalFormatting sqref="T121:V121">
    <cfRule type="cellIs" dxfId="385" priority="63" operator="lessThanOrEqual">
      <formula>0.95</formula>
    </cfRule>
    <cfRule type="cellIs" dxfId="384" priority="64" operator="between">
      <formula>0.9500000000001</formula>
      <formula>0.999999999999</formula>
    </cfRule>
    <cfRule type="cellIs" dxfId="383" priority="65" operator="equal">
      <formula>1</formula>
    </cfRule>
  </conditionalFormatting>
  <conditionalFormatting sqref="T127:V128">
    <cfRule type="cellIs" dxfId="382" priority="396" operator="between">
      <formula>0.9000000001</formula>
      <formula>0.949999999999999</formula>
    </cfRule>
    <cfRule type="cellIs" dxfId="381" priority="398" operator="lessThanOrEqual">
      <formula>0.9</formula>
    </cfRule>
    <cfRule type="cellIs" dxfId="380" priority="399" operator="between">
      <formula>0.95</formula>
      <formula>1</formula>
    </cfRule>
  </conditionalFormatting>
  <conditionalFormatting sqref="T127:V129">
    <cfRule type="cellIs" dxfId="379" priority="397" operator="equal">
      <formula>"No programado"</formula>
    </cfRule>
    <cfRule type="cellIs" dxfId="378" priority="400" operator="greaterThan">
      <formula>1</formula>
    </cfRule>
  </conditionalFormatting>
  <conditionalFormatting sqref="T129:V129">
    <cfRule type="cellIs" dxfId="377" priority="403" operator="between">
      <formula>0.9500000000001</formula>
      <formula>0.999999999999999</formula>
    </cfRule>
    <cfRule type="cellIs" dxfId="376" priority="404" operator="equal">
      <formula>1</formula>
    </cfRule>
    <cfRule type="cellIs" dxfId="375" priority="405" operator="lessThanOrEqual">
      <formula>95</formula>
    </cfRule>
  </conditionalFormatting>
  <conditionalFormatting sqref="T135:V138">
    <cfRule type="cellIs" dxfId="374" priority="62" operator="equal">
      <formula>"No programado"</formula>
    </cfRule>
    <cfRule type="cellIs" dxfId="373" priority="336" operator="greaterThan">
      <formula>1</formula>
    </cfRule>
  </conditionalFormatting>
  <conditionalFormatting sqref="T136:V138">
    <cfRule type="cellIs" dxfId="372" priority="338" operator="lessThanOrEqual">
      <formula>0.8</formula>
    </cfRule>
    <cfRule type="cellIs" dxfId="371" priority="339" operator="between">
      <formula>0.80000000001</formula>
      <formula>0.94999999999</formula>
    </cfRule>
    <cfRule type="cellIs" dxfId="370" priority="340" operator="between">
      <formula>0.95</formula>
      <formula>1</formula>
    </cfRule>
  </conditionalFormatting>
  <conditionalFormatting sqref="T135:V135">
    <cfRule type="cellIs" dxfId="369" priority="343" operator="between">
      <formula>0.90000000001</formula>
      <formula>0.949999999999</formula>
    </cfRule>
    <cfRule type="cellIs" dxfId="368" priority="344" operator="between">
      <formula>0.95</formula>
      <formula>1</formula>
    </cfRule>
    <cfRule type="cellIs" dxfId="367" priority="345" operator="lessThanOrEqual">
      <formula>0.9</formula>
    </cfRule>
  </conditionalFormatting>
  <conditionalFormatting sqref="T144:V147">
    <cfRule type="cellIs" dxfId="366" priority="58" operator="equal">
      <formula>"No programado"</formula>
    </cfRule>
    <cfRule type="cellIs" dxfId="365" priority="59" operator="greaterThan">
      <formula>1</formula>
    </cfRule>
  </conditionalFormatting>
  <conditionalFormatting sqref="T144:V144">
    <cfRule type="cellIs" dxfId="364" priority="278" operator="between">
      <formula>0.9</formula>
      <formula>0.95</formula>
    </cfRule>
    <cfRule type="cellIs" dxfId="363" priority="279" operator="lessThan">
      <formula>0.9</formula>
    </cfRule>
    <cfRule type="cellIs" dxfId="362" priority="280" operator="between">
      <formula>0.95001</formula>
      <formula>1</formula>
    </cfRule>
  </conditionalFormatting>
  <conditionalFormatting sqref="T145:V145">
    <cfRule type="cellIs" dxfId="361" priority="283" operator="between">
      <formula>0.93</formula>
      <formula>0.99999999999</formula>
    </cfRule>
    <cfRule type="cellIs" dxfId="360" priority="284" operator="equal">
      <formula>1</formula>
    </cfRule>
    <cfRule type="cellIs" dxfId="359" priority="285" operator="lessThan">
      <formula>93</formula>
    </cfRule>
  </conditionalFormatting>
  <conditionalFormatting sqref="T146:V147">
    <cfRule type="cellIs" dxfId="358" priority="60" operator="between">
      <formula>0.800000000001</formula>
      <formula>0.99999999999999</formula>
    </cfRule>
    <cfRule type="cellIs" dxfId="357" priority="276" operator="lessThanOrEqual">
      <formula>0.8</formula>
    </cfRule>
    <cfRule type="cellIs" dxfId="356" priority="277" operator="equal">
      <formula>1</formula>
    </cfRule>
  </conditionalFormatting>
  <conditionalFormatting sqref="T153:V157">
    <cfRule type="cellIs" dxfId="355" priority="246" operator="greaterThan">
      <formula>1</formula>
    </cfRule>
    <cfRule type="cellIs" dxfId="354" priority="247" operator="equal">
      <formula>"No programado"</formula>
    </cfRule>
    <cfRule type="cellIs" dxfId="353" priority="248" operator="between">
      <formula>0.900000000001</formula>
      <formula>0.999999999999</formula>
    </cfRule>
    <cfRule type="cellIs" dxfId="352" priority="249" operator="lessThanOrEqual">
      <formula>0.9</formula>
    </cfRule>
    <cfRule type="cellIs" dxfId="351" priority="250" operator="equal">
      <formula>1</formula>
    </cfRule>
  </conditionalFormatting>
  <conditionalFormatting sqref="T163:V165">
    <cfRule type="cellIs" dxfId="350" priority="216" operator="equal">
      <formula>"No programado"</formula>
    </cfRule>
    <cfRule type="cellIs" dxfId="349" priority="217" operator="greaterThan">
      <formula>1</formula>
    </cfRule>
  </conditionalFormatting>
  <conditionalFormatting sqref="T163:V163">
    <cfRule type="cellIs" dxfId="348" priority="218" operator="between">
      <formula>0.790000000000001</formula>
      <formula>0.999999999999</formula>
    </cfRule>
    <cfRule type="cellIs" dxfId="347" priority="219" operator="equal">
      <formula>1</formula>
    </cfRule>
    <cfRule type="cellIs" dxfId="346" priority="220" operator="lessThanOrEqual">
      <formula>0.79</formula>
    </cfRule>
  </conditionalFormatting>
  <conditionalFormatting sqref="T165:V165">
    <cfRule type="cellIs" dxfId="345" priority="55" operator="between">
      <formula>0.700000000001</formula>
      <formula>0.9999999999999</formula>
    </cfRule>
    <cfRule type="cellIs" dxfId="344" priority="56" operator="equal">
      <formula>1</formula>
    </cfRule>
    <cfRule type="cellIs" dxfId="343" priority="57" operator="lessThanOrEqual">
      <formula>0.7</formula>
    </cfRule>
  </conditionalFormatting>
  <conditionalFormatting sqref="T171:V173">
    <cfRule type="cellIs" dxfId="342" priority="53" operator="lessThanOrEqual">
      <formula>0.69</formula>
    </cfRule>
    <cfRule type="cellIs" dxfId="341" priority="54" operator="between">
      <formula>0.9</formula>
      <formula>1</formula>
    </cfRule>
    <cfRule type="cellIs" dxfId="340" priority="186" operator="equal">
      <formula>"No programado"</formula>
    </cfRule>
    <cfRule type="cellIs" dxfId="339" priority="187" operator="greaterThan">
      <formula>1</formula>
    </cfRule>
    <cfRule type="cellIs" dxfId="338" priority="188" operator="between">
      <formula>0.6900000000001</formula>
      <formula>0.899999999999999</formula>
    </cfRule>
  </conditionalFormatting>
  <conditionalFormatting sqref="AC30:AE36">
    <cfRule type="cellIs" dxfId="337" priority="767" operator="between">
      <formula>0.850000001</formula>
      <formula>0.890000000000001</formula>
    </cfRule>
    <cfRule type="cellIs" dxfId="336" priority="768" operator="equal">
      <formula>"No programado"</formula>
    </cfRule>
    <cfRule type="cellIs" dxfId="335" priority="769" operator="lessThanOrEqual">
      <formula>0.85</formula>
    </cfRule>
    <cfRule type="cellIs" dxfId="334" priority="770" operator="between">
      <formula>0.9</formula>
      <formula>1</formula>
    </cfRule>
    <cfRule type="cellIs" dxfId="333" priority="771" operator="greaterThan">
      <formula>1</formula>
    </cfRule>
  </conditionalFormatting>
  <conditionalFormatting sqref="AC42:AE43">
    <cfRule type="cellIs" dxfId="332" priority="747" operator="between">
      <formula>0.75</formula>
      <formula>0.9</formula>
    </cfRule>
    <cfRule type="cellIs" dxfId="331" priority="748" operator="equal">
      <formula>"No programado"</formula>
    </cfRule>
    <cfRule type="cellIs" dxfId="330" priority="749" operator="lessThan">
      <formula>0.75</formula>
    </cfRule>
    <cfRule type="cellIs" dxfId="329" priority="750" operator="between">
      <formula>0.90000000001</formula>
      <formula>1</formula>
    </cfRule>
    <cfRule type="cellIs" dxfId="328" priority="751" operator="greaterThan">
      <formula>1</formula>
    </cfRule>
  </conditionalFormatting>
  <conditionalFormatting sqref="AE13:AE15 AC12:AE13">
    <cfRule type="cellIs" dxfId="327" priority="829" operator="between">
      <formula>0.8</formula>
      <formula>0.95</formula>
    </cfRule>
    <cfRule type="cellIs" dxfId="326" priority="832" operator="lessThan">
      <formula>0.8</formula>
    </cfRule>
    <cfRule type="cellIs" dxfId="325" priority="833" operator="between">
      <formula>0.95001</formula>
      <formula>1</formula>
    </cfRule>
  </conditionalFormatting>
  <conditionalFormatting sqref="AC12:AE15">
    <cfRule type="cellIs" dxfId="324" priority="831" operator="equal">
      <formula>"No programado"</formula>
    </cfRule>
    <cfRule type="cellIs" dxfId="323" priority="835" operator="greaterThan">
      <formula>1</formula>
    </cfRule>
  </conditionalFormatting>
  <conditionalFormatting sqref="AC15:AE15">
    <cfRule type="cellIs" dxfId="322" priority="825" operator="lessThanOrEqual">
      <formula>0.8</formula>
    </cfRule>
    <cfRule type="cellIs" dxfId="321" priority="826" operator="between">
      <formula>0.800000000001</formula>
      <formula>0.999999999999999</formula>
    </cfRule>
    <cfRule type="cellIs" dxfId="320" priority="827" operator="equal">
      <formula>1</formula>
    </cfRule>
  </conditionalFormatting>
  <conditionalFormatting sqref="AC14:AE14">
    <cfRule type="cellIs" dxfId="319" priority="828" operator="between">
      <formula>0.95</formula>
      <formula>1</formula>
    </cfRule>
    <cfRule type="cellIs" dxfId="318" priority="830" operator="lessThanOrEqual">
      <formula>0.85</formula>
    </cfRule>
    <cfRule type="cellIs" dxfId="317" priority="834" operator="between">
      <formula>0.85000000000001</formula>
      <formula>0.94999999999</formula>
    </cfRule>
  </conditionalFormatting>
  <conditionalFormatting sqref="AC49:AE51">
    <cfRule type="cellIs" dxfId="316" priority="879" operator="equal">
      <formula>"No programado"</formula>
    </cfRule>
    <cfRule type="cellIs" dxfId="315" priority="880" operator="between">
      <formula>0.7</formula>
      <formula>_FV(0,"9")</formula>
    </cfRule>
    <cfRule type="cellIs" dxfId="314" priority="881" operator="lessThan">
      <formula>0.7</formula>
    </cfRule>
    <cfRule type="cellIs" dxfId="313" priority="882" operator="between">
      <formula>0.90000000000001</formula>
      <formula>1</formula>
    </cfRule>
    <cfRule type="cellIs" dxfId="312" priority="883" operator="greaterThan">
      <formula>1</formula>
    </cfRule>
  </conditionalFormatting>
  <conditionalFormatting sqref="AC57:AE76">
    <cfRule type="cellIs" dxfId="311" priority="663" operator="equal">
      <formula>"No programado"</formula>
    </cfRule>
    <cfRule type="cellIs" dxfId="310" priority="664" operator="greaterThan">
      <formula>1</formula>
    </cfRule>
  </conditionalFormatting>
  <conditionalFormatting sqref="AC59:AE59">
    <cfRule type="cellIs" dxfId="309" priority="668" operator="between">
      <formula>0.80000000001</formula>
      <formula>0.84999999999999</formula>
    </cfRule>
    <cfRule type="cellIs" dxfId="308" priority="670" operator="lessThan">
      <formula>0.7</formula>
    </cfRule>
    <cfRule type="cellIs" dxfId="307" priority="671" operator="between">
      <formula>0.800000000001</formula>
      <formula>1</formula>
    </cfRule>
  </conditionalFormatting>
  <conditionalFormatting sqref="AC63:AE67">
    <cfRule type="cellIs" dxfId="306" priority="686" operator="between">
      <formula>0.90000000001</formula>
      <formula>0.94999999999</formula>
    </cfRule>
    <cfRule type="cellIs" dxfId="305" priority="688" operator="between">
      <formula>0.95</formula>
      <formula>1</formula>
    </cfRule>
    <cfRule type="cellIs" dxfId="304" priority="689" operator="lessThanOrEqual">
      <formula>90</formula>
    </cfRule>
  </conditionalFormatting>
  <conditionalFormatting sqref="AC83:AE83 AC87:AE88">
    <cfRule type="cellIs" dxfId="303" priority="563" operator="between">
      <formula>0.69</formula>
      <formula>0.9</formula>
    </cfRule>
    <cfRule type="cellIs" dxfId="302" priority="564" operator="lessThan">
      <formula>0.69</formula>
    </cfRule>
    <cfRule type="cellIs" dxfId="301" priority="565" operator="between">
      <formula>0.90001</formula>
      <formula>1</formula>
    </cfRule>
  </conditionalFormatting>
  <conditionalFormatting sqref="AC82:AE88">
    <cfRule type="cellIs" dxfId="300" priority="561" operator="equal">
      <formula>"No programado"</formula>
    </cfRule>
    <cfRule type="cellIs" dxfId="299" priority="562" operator="greaterThan">
      <formula>1</formula>
    </cfRule>
  </conditionalFormatting>
  <conditionalFormatting sqref="AC82:AE82">
    <cfRule type="cellIs" dxfId="298" priority="566" operator="between">
      <formula>0.66</formula>
      <formula>0.9</formula>
    </cfRule>
    <cfRule type="cellIs" dxfId="297" priority="567" operator="lessThan">
      <formula>0.66</formula>
    </cfRule>
    <cfRule type="cellIs" dxfId="296" priority="568" operator="between">
      <formula>0.900000000001</formula>
      <formula>1</formula>
    </cfRule>
  </conditionalFormatting>
  <conditionalFormatting sqref="AC84:AE84">
    <cfRule type="cellIs" dxfId="295" priority="569" operator="between">
      <formula>0.53</formula>
      <formula>0.77</formula>
    </cfRule>
    <cfRule type="cellIs" dxfId="294" priority="572" operator="lessThan">
      <formula>0.53</formula>
    </cfRule>
    <cfRule type="cellIs" dxfId="293" priority="573" operator="between">
      <formula>0.7700000000001</formula>
      <formula>1</formula>
    </cfRule>
  </conditionalFormatting>
  <conditionalFormatting sqref="AC85:AE85">
    <cfRule type="cellIs" dxfId="292" priority="574" operator="between">
      <formula>0.45</formula>
      <formula>0.8</formula>
    </cfRule>
    <cfRule type="cellIs" dxfId="291" priority="575" operator="lessThan">
      <formula>0.45</formula>
    </cfRule>
    <cfRule type="cellIs" dxfId="290" priority="576" operator="between">
      <formula>0.8000000000001</formula>
      <formula>1</formula>
    </cfRule>
  </conditionalFormatting>
  <conditionalFormatting sqref="AC86:AE86">
    <cfRule type="cellIs" dxfId="289" priority="581" operator="between">
      <formula>0.57</formula>
      <formula>0.85</formula>
    </cfRule>
    <cfRule type="cellIs" dxfId="288" priority="582" operator="lessThan">
      <formula>0.57</formula>
    </cfRule>
    <cfRule type="cellIs" dxfId="287" priority="584" operator="between">
      <formula>0.85000001</formula>
      <formula>1</formula>
    </cfRule>
  </conditionalFormatting>
  <conditionalFormatting sqref="AC94:AE101">
    <cfRule type="cellIs" dxfId="286" priority="506" operator="equal">
      <formula>"No programado"</formula>
    </cfRule>
    <cfRule type="cellIs" dxfId="285" priority="507" operator="greaterThan">
      <formula>1</formula>
    </cfRule>
  </conditionalFormatting>
  <conditionalFormatting sqref="AC94:AE95">
    <cfRule type="cellIs" dxfId="284" priority="508" operator="between">
      <formula>0.6</formula>
      <formula>0.9</formula>
    </cfRule>
    <cfRule type="cellIs" dxfId="283" priority="509" operator="lessThan">
      <formula>0.6</formula>
    </cfRule>
    <cfRule type="cellIs" dxfId="282" priority="510" operator="between">
      <formula>0.90001</formula>
      <formula>1</formula>
    </cfRule>
  </conditionalFormatting>
  <conditionalFormatting sqref="AC96:AE101">
    <cfRule type="cellIs" dxfId="281" priority="513" operator="between">
      <formula>0.65</formula>
      <formula>0.9</formula>
    </cfRule>
    <cfRule type="cellIs" dxfId="280" priority="514" operator="lessThan">
      <formula>0.65</formula>
    </cfRule>
    <cfRule type="cellIs" dxfId="279" priority="515" operator="between">
      <formula>0.9000001</formula>
      <formula>1</formula>
    </cfRule>
  </conditionalFormatting>
  <conditionalFormatting sqref="AC21:AE24">
    <cfRule type="cellIs" dxfId="278" priority="950" operator="equal">
      <formula>"No programado"</formula>
    </cfRule>
    <cfRule type="cellIs" dxfId="277" priority="951" operator="lessThanOrEqual">
      <formula>0.6</formula>
    </cfRule>
    <cfRule type="cellIs" dxfId="276" priority="952" operator="between">
      <formula>0.600000000001</formula>
      <formula>0.99999999999999</formula>
    </cfRule>
    <cfRule type="cellIs" dxfId="275" priority="953" operator="equal">
      <formula>1</formula>
    </cfRule>
    <cfRule type="cellIs" dxfId="274" priority="954" operator="greaterThan">
      <formula>1</formula>
    </cfRule>
  </conditionalFormatting>
  <conditionalFormatting sqref="AC57:AE58 AC60:AE62 AC68:AE76">
    <cfRule type="cellIs" dxfId="273" priority="665" operator="between">
      <formula>0.8</formula>
      <formula>0.85</formula>
    </cfRule>
    <cfRule type="cellIs" dxfId="272" priority="666" operator="lessThan">
      <formula>0.8</formula>
    </cfRule>
    <cfRule type="cellIs" dxfId="271" priority="667" operator="between">
      <formula>0.85001</formula>
      <formula>1</formula>
    </cfRule>
  </conditionalFormatting>
  <conditionalFormatting sqref="AC107:AE114">
    <cfRule type="cellIs" dxfId="270" priority="46" operator="equal">
      <formula>"No programado"</formula>
    </cfRule>
    <cfRule type="cellIs" dxfId="269" priority="47" operator="greaterThan">
      <formula>1</formula>
    </cfRule>
  </conditionalFormatting>
  <conditionalFormatting sqref="AC107:AE107 AC110:AE113">
    <cfRule type="cellIs" dxfId="268" priority="48" operator="between">
      <formula>0.69000001</formula>
      <formula>0.899999999999999</formula>
    </cfRule>
    <cfRule type="cellIs" dxfId="267" priority="50" operator="lessThan">
      <formula>0.69</formula>
    </cfRule>
    <cfRule type="cellIs" dxfId="266" priority="51" operator="between">
      <formula>0.9</formula>
      <formula>1</formula>
    </cfRule>
  </conditionalFormatting>
  <conditionalFormatting sqref="AC108:AE108">
    <cfRule type="cellIs" dxfId="265" priority="52" operator="lessThanOrEqual">
      <formula>0.84</formula>
    </cfRule>
    <cfRule type="cellIs" dxfId="264" priority="466" operator="between">
      <formula>0.840000000001</formula>
      <formula>0.96999999999999</formula>
    </cfRule>
    <cfRule type="cellIs" dxfId="263" priority="467" operator="between">
      <formula>0.97</formula>
      <formula>1</formula>
    </cfRule>
  </conditionalFormatting>
  <conditionalFormatting sqref="AC109:AE109">
    <cfRule type="cellIs" dxfId="262" priority="473" operator="between">
      <formula>0.790000001</formula>
      <formula>0.899999999</formula>
    </cfRule>
    <cfRule type="cellIs" dxfId="261" priority="474" operator="lessThanOrEqual">
      <formula>0.79</formula>
    </cfRule>
    <cfRule type="cellIs" dxfId="260" priority="475" operator="between">
      <formula>0.9</formula>
      <formula>1</formula>
    </cfRule>
  </conditionalFormatting>
  <conditionalFormatting sqref="AC114:AE114">
    <cfRule type="cellIs" dxfId="259" priority="43" operator="between">
      <formula>0.9</formula>
      <formula>0.99999999999</formula>
    </cfRule>
    <cfRule type="cellIs" dxfId="258" priority="44" operator="equal">
      <formula>1</formula>
    </cfRule>
    <cfRule type="cellIs" dxfId="257" priority="45" operator="lessThan">
      <formula>0.9</formula>
    </cfRule>
  </conditionalFormatting>
  <conditionalFormatting sqref="AC120:AE121">
    <cfRule type="cellIs" dxfId="256" priority="426" operator="equal">
      <formula>"No programado"</formula>
    </cfRule>
    <cfRule type="cellIs" dxfId="255" priority="427" operator="greaterThan">
      <formula>1</formula>
    </cfRule>
  </conditionalFormatting>
  <conditionalFormatting sqref="AC120:AE120">
    <cfRule type="cellIs" dxfId="254" priority="428" operator="between">
      <formula>0.9000000001</formula>
      <formula>0.949999999999</formula>
    </cfRule>
    <cfRule type="cellIs" dxfId="253" priority="429" operator="lessThanOrEqual">
      <formula>0.9</formula>
    </cfRule>
    <cfRule type="cellIs" dxfId="252" priority="430" operator="between">
      <formula>0.95</formula>
      <formula>1</formula>
    </cfRule>
  </conditionalFormatting>
  <conditionalFormatting sqref="AC121:AE121">
    <cfRule type="cellIs" dxfId="251" priority="433" operator="between">
      <formula>0.9500001</formula>
      <formula>0.9999999999999</formula>
    </cfRule>
    <cfRule type="cellIs" dxfId="250" priority="434" operator="lessThanOrEqual">
      <formula>0.95</formula>
    </cfRule>
    <cfRule type="cellIs" dxfId="249" priority="435" operator="equal">
      <formula>1</formula>
    </cfRule>
  </conditionalFormatting>
  <conditionalFormatting sqref="AC127:AE129">
    <cfRule type="cellIs" dxfId="248" priority="386" operator="equal">
      <formula>"No programado"</formula>
    </cfRule>
    <cfRule type="cellIs" dxfId="247" priority="387" operator="greaterThan">
      <formula>1</formula>
    </cfRule>
  </conditionalFormatting>
  <conditionalFormatting sqref="AC127:AE128">
    <cfRule type="cellIs" dxfId="246" priority="388" operator="between">
      <formula>0.900000001</formula>
      <formula>0.9499999999</formula>
    </cfRule>
    <cfRule type="cellIs" dxfId="245" priority="389" operator="lessThan">
      <formula>0.9</formula>
    </cfRule>
    <cfRule type="cellIs" dxfId="244" priority="390" operator="between">
      <formula>0.95001</formula>
      <formula>1</formula>
    </cfRule>
  </conditionalFormatting>
  <conditionalFormatting sqref="AC129:AE129">
    <cfRule type="cellIs" dxfId="243" priority="393" operator="between">
      <formula>0.95000001</formula>
      <formula>0.99999999999</formula>
    </cfRule>
    <cfRule type="cellIs" dxfId="242" priority="394" operator="lessThanOrEqual">
      <formula>0.95</formula>
    </cfRule>
    <cfRule type="cellIs" dxfId="241" priority="395" operator="equal">
      <formula>1</formula>
    </cfRule>
  </conditionalFormatting>
  <conditionalFormatting sqref="AC135:AE138">
    <cfRule type="cellIs" dxfId="240" priority="316" operator="equal">
      <formula>"No programado"</formula>
    </cfRule>
    <cfRule type="cellIs" dxfId="239" priority="317" operator="greaterThan">
      <formula>1</formula>
    </cfRule>
  </conditionalFormatting>
  <conditionalFormatting sqref="AC136:AE138">
    <cfRule type="cellIs" dxfId="238" priority="318" operator="between">
      <formula>0.8000001</formula>
      <formula>0.9499999999999</formula>
    </cfRule>
    <cfRule type="cellIs" dxfId="237" priority="319" operator="lessThanOrEqual">
      <formula>0.8</formula>
    </cfRule>
    <cfRule type="cellIs" dxfId="236" priority="320" operator="between">
      <formula>0.95</formula>
      <formula>1</formula>
    </cfRule>
  </conditionalFormatting>
  <conditionalFormatting sqref="AC135:AE135">
    <cfRule type="cellIs" dxfId="235" priority="323" operator="between">
      <formula>0.900000001</formula>
      <formula>0.9499999999999</formula>
    </cfRule>
    <cfRule type="cellIs" dxfId="234" priority="324" operator="lessThan">
      <formula>0.9</formula>
    </cfRule>
    <cfRule type="cellIs" dxfId="233" priority="325" operator="between">
      <formula>0.95</formula>
      <formula>1</formula>
    </cfRule>
  </conditionalFormatting>
  <conditionalFormatting sqref="AC144:AE147">
    <cfRule type="cellIs" dxfId="232" priority="266" operator="equal">
      <formula>"No programado"</formula>
    </cfRule>
    <cfRule type="cellIs" dxfId="231" priority="267" operator="greaterThan">
      <formula>1</formula>
    </cfRule>
  </conditionalFormatting>
  <conditionalFormatting sqref="AC144:AE144">
    <cfRule type="cellIs" dxfId="230" priority="268" operator="between">
      <formula>0.9</formula>
      <formula>0.95</formula>
    </cfRule>
    <cfRule type="cellIs" dxfId="229" priority="269" operator="lessThan">
      <formula>0.9</formula>
    </cfRule>
    <cfRule type="cellIs" dxfId="228" priority="270" operator="between">
      <formula>0.95001</formula>
      <formula>1</formula>
    </cfRule>
  </conditionalFormatting>
  <conditionalFormatting sqref="AC145:AE145">
    <cfRule type="cellIs" dxfId="227" priority="273" operator="between">
      <formula>0.93</formula>
      <formula>0.9999999999999</formula>
    </cfRule>
    <cfRule type="cellIs" dxfId="226" priority="274" operator="lessThan">
      <formula>0.93</formula>
    </cfRule>
    <cfRule type="cellIs" dxfId="225" priority="275" operator="equal">
      <formula>1</formula>
    </cfRule>
  </conditionalFormatting>
  <conditionalFormatting sqref="AC146:AE147">
    <cfRule type="cellIs" dxfId="224" priority="40" operator="between">
      <formula>0.800000001</formula>
      <formula>0.99999999</formula>
    </cfRule>
    <cfRule type="cellIs" dxfId="223" priority="41" operator="equal">
      <formula>1</formula>
    </cfRule>
    <cfRule type="cellIs" dxfId="222" priority="42" operator="lessThanOrEqual">
      <formula>0.8</formula>
    </cfRule>
  </conditionalFormatting>
  <conditionalFormatting sqref="AC153:AE157">
    <cfRule type="cellIs" dxfId="221" priority="236" operator="equal">
      <formula>"No programado"</formula>
    </cfRule>
    <cfRule type="cellIs" dxfId="220" priority="237" operator="greaterThan">
      <formula>1</formula>
    </cfRule>
    <cfRule type="cellIs" dxfId="219" priority="239" operator="lessThanOrEqual">
      <formula>0.9</formula>
    </cfRule>
    <cfRule type="cellIs" dxfId="218" priority="240" operator="equal">
      <formula>1</formula>
    </cfRule>
  </conditionalFormatting>
  <conditionalFormatting sqref="AC171:AE173">
    <cfRule type="cellIs" dxfId="217" priority="176" operator="equal">
      <formula>"No programado"</formula>
    </cfRule>
    <cfRule type="cellIs" dxfId="216" priority="177" operator="greaterThan">
      <formula>1</formula>
    </cfRule>
    <cfRule type="cellIs" dxfId="215" priority="178" operator="between">
      <formula>0.690000001</formula>
      <formula>0.899999999999</formula>
    </cfRule>
    <cfRule type="cellIs" dxfId="214" priority="179" operator="lessThanOrEqual">
      <formula>0.69</formula>
    </cfRule>
    <cfRule type="cellIs" dxfId="213" priority="180" operator="between">
      <formula>0.9</formula>
      <formula>1</formula>
    </cfRule>
  </conditionalFormatting>
  <conditionalFormatting sqref="AC163:AE165">
    <cfRule type="cellIs" dxfId="212" priority="38" operator="equal">
      <formula>"No programado"</formula>
    </cfRule>
    <cfRule type="cellIs" dxfId="211" priority="39" operator="greaterThan">
      <formula>1</formula>
    </cfRule>
    <cfRule type="cellIs" dxfId="210" priority="206" operator="equal">
      <formula>1</formula>
    </cfRule>
  </conditionalFormatting>
  <conditionalFormatting sqref="AC163:AE163">
    <cfRule type="cellIs" dxfId="209" priority="207" operator="between">
      <formula>0.79001</formula>
      <formula>0.999999999999999</formula>
    </cfRule>
    <cfRule type="cellIs" dxfId="208" priority="208" operator="lessThanOrEqual">
      <formula>0.79</formula>
    </cfRule>
  </conditionalFormatting>
  <conditionalFormatting sqref="AC164:AE164">
    <cfRule type="cellIs" dxfId="207" priority="209" operator="between">
      <formula>0.9900000001</formula>
      <formula>0.9999999999999</formula>
    </cfRule>
    <cfRule type="cellIs" dxfId="206" priority="210" operator="lessThanOrEqual">
      <formula>99</formula>
    </cfRule>
  </conditionalFormatting>
  <conditionalFormatting sqref="AC165:AE165">
    <cfRule type="cellIs" dxfId="205" priority="213" operator="between">
      <formula>0.7000000000001</formula>
      <formula>0.999999999999999</formula>
    </cfRule>
    <cfRule type="cellIs" dxfId="204" priority="215" operator="lessThanOrEqual">
      <formula>0.7</formula>
    </cfRule>
  </conditionalFormatting>
  <conditionalFormatting sqref="AN62">
    <cfRule type="cellIs" dxfId="203" priority="33" operator="equal">
      <formula>"No programado"</formula>
    </cfRule>
    <cfRule type="cellIs" dxfId="202" priority="34" operator="greaterThan">
      <formula>1</formula>
    </cfRule>
  </conditionalFormatting>
  <conditionalFormatting sqref="AN62">
    <cfRule type="cellIs" dxfId="201" priority="35" operator="between">
      <formula>0.8</formula>
      <formula>0.85</formula>
    </cfRule>
    <cfRule type="cellIs" dxfId="200" priority="36" operator="lessThan">
      <formula>0.8</formula>
    </cfRule>
    <cfRule type="cellIs" dxfId="199" priority="37" operator="between">
      <formula>0.85001</formula>
      <formula>1</formula>
    </cfRule>
  </conditionalFormatting>
  <conditionalFormatting sqref="AN67">
    <cfRule type="cellIs" dxfId="198" priority="28" operator="equal">
      <formula>"No programado"</formula>
    </cfRule>
    <cfRule type="cellIs" dxfId="197" priority="29" operator="greaterThan">
      <formula>1</formula>
    </cfRule>
  </conditionalFormatting>
  <conditionalFormatting sqref="AN67">
    <cfRule type="cellIs" dxfId="196" priority="30" operator="between">
      <formula>0.95</formula>
      <formula>1</formula>
    </cfRule>
    <cfRule type="cellIs" dxfId="195" priority="31" operator="between">
      <formula>0.90000000001</formula>
      <formula>0.94999999999</formula>
    </cfRule>
    <cfRule type="cellIs" dxfId="194" priority="32" operator="lessThanOrEqual">
      <formula>90</formula>
    </cfRule>
  </conditionalFormatting>
  <conditionalFormatting sqref="AL12:AN13">
    <cfRule type="cellIs" dxfId="193" priority="27" operator="lessThan">
      <formula>0.8</formula>
    </cfRule>
    <cfRule type="cellIs" dxfId="192" priority="821" operator="between">
      <formula>0.8</formula>
      <formula>0.95000001</formula>
    </cfRule>
    <cfRule type="cellIs" dxfId="191" priority="1085" operator="between">
      <formula>0.95001</formula>
      <formula>1</formula>
    </cfRule>
  </conditionalFormatting>
  <conditionalFormatting sqref="AL12:AN15">
    <cfRule type="cellIs" dxfId="190" priority="1083" operator="equal">
      <formula>"No programado"</formula>
    </cfRule>
    <cfRule type="cellIs" dxfId="189" priority="1084" operator="greaterThan">
      <formula>1</formula>
    </cfRule>
  </conditionalFormatting>
  <conditionalFormatting sqref="AL15:AN15">
    <cfRule type="cellIs" dxfId="188" priority="816" operator="lessThanOrEqual">
      <formula>0.8</formula>
    </cfRule>
    <cfRule type="cellIs" dxfId="187" priority="822" operator="between">
      <formula>0.800000000001</formula>
      <formula>0.999999999999999</formula>
    </cfRule>
    <cfRule type="cellIs" dxfId="186" priority="1086" operator="equal">
      <formula>1</formula>
    </cfRule>
  </conditionalFormatting>
  <conditionalFormatting sqref="AL21:AN24">
    <cfRule type="cellIs" dxfId="185" priority="786" operator="equal">
      <formula>"No programado"</formula>
    </cfRule>
    <cfRule type="cellIs" dxfId="184" priority="787" operator="lessThan">
      <formula>0.6</formula>
    </cfRule>
    <cfRule type="cellIs" dxfId="183" priority="788" operator="between">
      <formula>0.600000000001</formula>
      <formula>0.99999999999999</formula>
    </cfRule>
    <cfRule type="cellIs" dxfId="182" priority="789" operator="between">
      <formula>0.6000001</formula>
      <formula>1</formula>
    </cfRule>
    <cfRule type="cellIs" dxfId="181" priority="1206" operator="greaterThan">
      <formula>1</formula>
    </cfRule>
  </conditionalFormatting>
  <conditionalFormatting sqref="AL30:AN36">
    <cfRule type="cellIs" dxfId="180" priority="762" operator="lessThanOrEqual">
      <formula>0.85</formula>
    </cfRule>
    <cfRule type="cellIs" dxfId="179" priority="763" operator="between">
      <formula>0.8500000001</formula>
      <formula>0.9000000000001</formula>
    </cfRule>
    <cfRule type="cellIs" dxfId="178" priority="764" operator="between">
      <formula>0.9</formula>
      <formula>1</formula>
    </cfRule>
    <cfRule type="cellIs" dxfId="177" priority="765" operator="equal">
      <formula>"No programado"</formula>
    </cfRule>
    <cfRule type="cellIs" dxfId="176" priority="766" operator="greaterThan">
      <formula>1</formula>
    </cfRule>
  </conditionalFormatting>
  <conditionalFormatting sqref="AL42:AN43">
    <cfRule type="cellIs" dxfId="175" priority="742" operator="equal">
      <formula>"No programado"</formula>
    </cfRule>
    <cfRule type="cellIs" dxfId="174" priority="743" operator="greaterThan">
      <formula>1</formula>
    </cfRule>
    <cfRule type="cellIs" dxfId="173" priority="744" operator="between">
      <formula>0.75</formula>
      <formula>0.9</formula>
    </cfRule>
    <cfRule type="cellIs" dxfId="172" priority="745" operator="lessThan">
      <formula>0.75</formula>
    </cfRule>
    <cfRule type="cellIs" dxfId="171" priority="746" operator="between">
      <formula>0.90001</formula>
      <formula>1</formula>
    </cfRule>
  </conditionalFormatting>
  <conditionalFormatting sqref="AL49:AN51">
    <cfRule type="cellIs" dxfId="170" priority="722" operator="equal">
      <formula>"No programado"</formula>
    </cfRule>
    <cfRule type="cellIs" dxfId="169" priority="723" operator="greaterThan">
      <formula>1</formula>
    </cfRule>
    <cfRule type="cellIs" dxfId="168" priority="724" operator="between">
      <formula>0.7</formula>
      <formula>0.9</formula>
    </cfRule>
    <cfRule type="cellIs" dxfId="167" priority="725" operator="lessThan">
      <formula>0.7</formula>
    </cfRule>
    <cfRule type="cellIs" dxfId="166" priority="726" operator="between">
      <formula>0.9000001</formula>
      <formula>1</formula>
    </cfRule>
  </conditionalFormatting>
  <conditionalFormatting sqref="AL57:AN76">
    <cfRule type="cellIs" dxfId="165" priority="16" operator="equal">
      <formula>"No programado"</formula>
    </cfRule>
    <cfRule type="cellIs" dxfId="164" priority="17" operator="greaterThan">
      <formula>1</formula>
    </cfRule>
  </conditionalFormatting>
  <conditionalFormatting sqref="AL59:AN59">
    <cfRule type="cellIs" dxfId="163" priority="21" operator="between">
      <formula>0.80000000001</formula>
      <formula>0.84999999999999</formula>
    </cfRule>
    <cfRule type="cellIs" dxfId="162" priority="22" operator="lessThan">
      <formula>0.7</formula>
    </cfRule>
    <cfRule type="cellIs" dxfId="161" priority="23" operator="between">
      <formula>0.800000000001</formula>
      <formula>1</formula>
    </cfRule>
  </conditionalFormatting>
  <conditionalFormatting sqref="AL63:AN67">
    <cfRule type="cellIs" dxfId="160" priority="24" operator="between">
      <formula>0.90000000001</formula>
      <formula>0.94999999999</formula>
    </cfRule>
    <cfRule type="cellIs" dxfId="159" priority="25" operator="between">
      <formula>0.95</formula>
      <formula>1</formula>
    </cfRule>
    <cfRule type="cellIs" dxfId="158" priority="26" operator="lessThanOrEqual">
      <formula>90</formula>
    </cfRule>
  </conditionalFormatting>
  <conditionalFormatting sqref="AL57:AN58 AL60:AN62 AL68:AN76">
    <cfRule type="cellIs" dxfId="157" priority="18" operator="between">
      <formula>0.8</formula>
      <formula>0.85</formula>
    </cfRule>
    <cfRule type="cellIs" dxfId="156" priority="19" operator="lessThan">
      <formula>0.8</formula>
    </cfRule>
    <cfRule type="cellIs" dxfId="155" priority="20" operator="between">
      <formula>0.85001</formula>
      <formula>1</formula>
    </cfRule>
  </conditionalFormatting>
  <conditionalFormatting sqref="AN67">
    <cfRule type="cellIs" dxfId="154" priority="11" operator="equal">
      <formula>"No programado"</formula>
    </cfRule>
    <cfRule type="cellIs" dxfId="153" priority="12" operator="greaterThan">
      <formula>1</formula>
    </cfRule>
  </conditionalFormatting>
  <conditionalFormatting sqref="AN67">
    <cfRule type="cellIs" dxfId="152" priority="13" operator="between">
      <formula>0.95</formula>
      <formula>1</formula>
    </cfRule>
    <cfRule type="cellIs" dxfId="151" priority="14" operator="between">
      <formula>0.90000000001</formula>
      <formula>0.94999999999</formula>
    </cfRule>
    <cfRule type="cellIs" dxfId="150" priority="15" operator="lessThanOrEqual">
      <formula>90</formula>
    </cfRule>
  </conditionalFormatting>
  <conditionalFormatting sqref="AL82:AN88">
    <cfRule type="cellIs" dxfId="149" priority="536" operator="equal">
      <formula>"No programado"</formula>
    </cfRule>
    <cfRule type="cellIs" dxfId="148" priority="537" operator="greaterThan">
      <formula>1</formula>
    </cfRule>
  </conditionalFormatting>
  <conditionalFormatting sqref="AL87:AN88 AL83:AN83">
    <cfRule type="cellIs" dxfId="147" priority="540" operator="lessThan">
      <formula>0.69</formula>
    </cfRule>
    <cfRule type="cellIs" dxfId="146" priority="547" operator="between">
      <formula>0.69</formula>
      <formula>0.9</formula>
    </cfRule>
  </conditionalFormatting>
  <conditionalFormatting sqref="AL82:AN82">
    <cfRule type="cellIs" dxfId="145" priority="539" operator="lessThan">
      <formula>0.66</formula>
    </cfRule>
    <cfRule type="cellIs" dxfId="144" priority="546" operator="between">
      <formula>0.66</formula>
      <formula>0.9</formula>
    </cfRule>
  </conditionalFormatting>
  <conditionalFormatting sqref="AL85:AN85">
    <cfRule type="cellIs" dxfId="143" priority="543" operator="lessThan">
      <formula>0.45</formula>
    </cfRule>
    <cfRule type="cellIs" dxfId="142" priority="549" operator="between">
      <formula>0.45</formula>
      <formula>0.8</formula>
    </cfRule>
    <cfRule type="cellIs" dxfId="141" priority="558" operator="between">
      <formula>0.8000000000001</formula>
      <formula>1</formula>
    </cfRule>
  </conditionalFormatting>
  <conditionalFormatting sqref="AL86:AN86">
    <cfRule type="cellIs" dxfId="140" priority="544" operator="lessThan">
      <formula>0.57</formula>
    </cfRule>
    <cfRule type="cellIs" dxfId="139" priority="551" operator="between">
      <formula>0.57</formula>
      <formula>0.85</formula>
    </cfRule>
    <cfRule type="cellIs" dxfId="138" priority="560" operator="between">
      <formula>0.85000001</formula>
      <formula>1</formula>
    </cfRule>
  </conditionalFormatting>
  <conditionalFormatting sqref="AL84:AN84">
    <cfRule type="cellIs" dxfId="137" priority="542" operator="lessThan">
      <formula>0.53</formula>
    </cfRule>
    <cfRule type="cellIs" dxfId="136" priority="548" operator="between">
      <formula>0.53</formula>
      <formula>0.77</formula>
    </cfRule>
    <cfRule type="cellIs" dxfId="135" priority="556" operator="between">
      <formula>0.7700000000001</formula>
      <formula>1</formula>
    </cfRule>
  </conditionalFormatting>
  <conditionalFormatting sqref="AL94:AN101">
    <cfRule type="cellIs" dxfId="134" priority="496" operator="equal">
      <formula>"No programado"</formula>
    </cfRule>
    <cfRule type="cellIs" dxfId="133" priority="497" operator="greaterThan">
      <formula>1</formula>
    </cfRule>
    <cfRule type="cellIs" dxfId="132" priority="498" operator="between">
      <formula>0.9000001</formula>
      <formula>1</formula>
    </cfRule>
  </conditionalFormatting>
  <conditionalFormatting sqref="AL94:AN95">
    <cfRule type="cellIs" dxfId="131" priority="499" operator="between">
      <formula>0.6</formula>
      <formula>0.9</formula>
    </cfRule>
    <cfRule type="cellIs" dxfId="130" priority="501" operator="lessThan">
      <formula>0.6</formula>
    </cfRule>
  </conditionalFormatting>
  <conditionalFormatting sqref="AL96:AN101">
    <cfRule type="cellIs" dxfId="129" priority="500" operator="between">
      <formula>0.65</formula>
      <formula>0.9</formula>
    </cfRule>
    <cfRule type="cellIs" dxfId="128" priority="505" operator="lessThan">
      <formula>65</formula>
    </cfRule>
  </conditionalFormatting>
  <conditionalFormatting sqref="AL107:AN114">
    <cfRule type="cellIs" dxfId="127" priority="5" operator="equal">
      <formula>"No programado"</formula>
    </cfRule>
    <cfRule type="cellIs" dxfId="126" priority="6" operator="greaterThan">
      <formula>1</formula>
    </cfRule>
    <cfRule type="cellIs" dxfId="125" priority="459" operator="lessThan">
      <formula>0.9</formula>
    </cfRule>
  </conditionalFormatting>
  <conditionalFormatting sqref="AL107:AN107 AL110:AN113">
    <cfRule type="cellIs" dxfId="124" priority="7" operator="between">
      <formula>0.690001</formula>
      <formula>0.89999999999</formula>
    </cfRule>
    <cfRule type="cellIs" dxfId="123" priority="456" operator="lessThanOrEqual">
      <formula>0.69</formula>
    </cfRule>
  </conditionalFormatting>
  <conditionalFormatting sqref="AL108:AN108">
    <cfRule type="cellIs" dxfId="122" priority="8" operator="between">
      <formula>0.8400001</formula>
      <formula>0.96999999</formula>
    </cfRule>
    <cfRule type="cellIs" dxfId="121" priority="457" operator="lessThanOrEqual">
      <formula>0.84</formula>
    </cfRule>
    <cfRule type="cellIs" dxfId="120" priority="464" operator="between">
      <formula>0.97</formula>
      <formula>1</formula>
    </cfRule>
  </conditionalFormatting>
  <conditionalFormatting sqref="AL109:AN109">
    <cfRule type="cellIs" dxfId="119" priority="9" operator="between">
      <formula>0.79000001</formula>
      <formula>0.899999999</formula>
    </cfRule>
    <cfRule type="cellIs" dxfId="118" priority="458" operator="lessThanOrEqual">
      <formula>0.79</formula>
    </cfRule>
  </conditionalFormatting>
  <conditionalFormatting sqref="AL114:AN114">
    <cfRule type="cellIs" dxfId="117" priority="10" operator="between">
      <formula>0.90000001</formula>
      <formula>0.999999999</formula>
    </cfRule>
    <cfRule type="cellIs" dxfId="116" priority="465" operator="equal">
      <formula>1</formula>
    </cfRule>
  </conditionalFormatting>
  <conditionalFormatting sqref="AL120:AN121">
    <cfRule type="cellIs" dxfId="115" priority="416" operator="equal">
      <formula>"No programado"</formula>
    </cfRule>
    <cfRule type="cellIs" dxfId="114" priority="417" operator="greaterThan">
      <formula>1</formula>
    </cfRule>
  </conditionalFormatting>
  <conditionalFormatting sqref="AL120:AN120">
    <cfRule type="cellIs" dxfId="113" priority="418" operator="between">
      <formula>0.90000000001</formula>
      <formula>0.949999999999</formula>
    </cfRule>
    <cfRule type="cellIs" dxfId="112" priority="420" operator="lessThanOrEqual">
      <formula>0.9</formula>
    </cfRule>
    <cfRule type="cellIs" dxfId="111" priority="424" operator="between">
      <formula>0.95</formula>
      <formula>1</formula>
    </cfRule>
  </conditionalFormatting>
  <conditionalFormatting sqref="AL121:AN121">
    <cfRule type="cellIs" dxfId="110" priority="419" operator="between">
      <formula>0.950000001</formula>
      <formula>0.99999999999</formula>
    </cfRule>
    <cfRule type="cellIs" dxfId="109" priority="425" operator="equal">
      <formula>1</formula>
    </cfRule>
  </conditionalFormatting>
  <conditionalFormatting sqref="AL127:AN129">
    <cfRule type="cellIs" dxfId="108" priority="376" operator="equal">
      <formula>"No programado"</formula>
    </cfRule>
    <cfRule type="cellIs" dxfId="107" priority="377" operator="greaterThan">
      <formula>1</formula>
    </cfRule>
    <cfRule type="cellIs" dxfId="106" priority="380" operator="between">
      <formula>0.8</formula>
      <formula>0.95</formula>
    </cfRule>
  </conditionalFormatting>
  <conditionalFormatting sqref="AL127:AN128">
    <cfRule type="cellIs" dxfId="105" priority="378" operator="lessThanOrEqual">
      <formula>0.9</formula>
    </cfRule>
    <cfRule type="cellIs" dxfId="104" priority="384" operator="between">
      <formula>0.95</formula>
      <formula>1</formula>
    </cfRule>
  </conditionalFormatting>
  <conditionalFormatting sqref="AL129:AN129">
    <cfRule type="cellIs" dxfId="103" priority="379" operator="lessThanOrEqual">
      <formula>0.95</formula>
    </cfRule>
    <cfRule type="cellIs" dxfId="102" priority="383" operator="between">
      <formula>0.950000000001</formula>
      <formula>0.999999999999999</formula>
    </cfRule>
    <cfRule type="cellIs" dxfId="101" priority="385" operator="equal">
      <formula>1</formula>
    </cfRule>
  </conditionalFormatting>
  <conditionalFormatting sqref="AL135:AN138">
    <cfRule type="cellIs" dxfId="100" priority="296" operator="equal">
      <formula>"No programado"</formula>
    </cfRule>
    <cfRule type="cellIs" dxfId="99" priority="297" operator="greaterThan">
      <formula>1</formula>
    </cfRule>
    <cfRule type="cellIs" dxfId="98" priority="298" operator="between">
      <formula>0.95</formula>
      <formula>1</formula>
    </cfRule>
  </conditionalFormatting>
  <conditionalFormatting sqref="AL135:AN135">
    <cfRule type="cellIs" dxfId="97" priority="299" operator="between">
      <formula>0.9000001</formula>
      <formula>0.94999999999</formula>
    </cfRule>
    <cfRule type="cellIs" dxfId="96" priority="303" operator="lessThanOrEqual">
      <formula>0.9</formula>
    </cfRule>
  </conditionalFormatting>
  <conditionalFormatting sqref="AL136:AN138">
    <cfRule type="cellIs" dxfId="95" priority="300" operator="between">
      <formula>0.80000000001</formula>
      <formula>0.94999999999</formula>
    </cfRule>
    <cfRule type="cellIs" dxfId="94" priority="305" operator="lessThanOrEqual">
      <formula>0.8</formula>
    </cfRule>
  </conditionalFormatting>
  <conditionalFormatting sqref="AL144:AN147">
    <cfRule type="cellIs" dxfId="93" priority="2" operator="equal">
      <formula>"No programado"</formula>
    </cfRule>
    <cfRule type="cellIs" dxfId="92" priority="3" operator="greaterThan">
      <formula>1</formula>
    </cfRule>
  </conditionalFormatting>
  <conditionalFormatting sqref="AL144:AN144">
    <cfRule type="cellIs" dxfId="91" priority="4" operator="lessThan">
      <formula>0.9</formula>
    </cfRule>
    <cfRule type="cellIs" dxfId="90" priority="163" operator="between">
      <formula>0.9</formula>
      <formula>0.95</formula>
    </cfRule>
    <cfRule type="cellIs" dxfId="89" priority="168" operator="between">
      <formula>0.95001</formula>
      <formula>1</formula>
    </cfRule>
  </conditionalFormatting>
  <conditionalFormatting sqref="AL146:AN147">
    <cfRule type="cellIs" dxfId="88" priority="162" operator="lessThanOrEqual">
      <formula>0.8</formula>
    </cfRule>
    <cfRule type="cellIs" dxfId="87" priority="165" operator="between">
      <formula>0.8000000001</formula>
      <formula>0.999999999999</formula>
    </cfRule>
    <cfRule type="cellIs" dxfId="86" priority="170" operator="equal">
      <formula>1</formula>
    </cfRule>
  </conditionalFormatting>
  <conditionalFormatting sqref="AL145:AM145">
    <cfRule type="cellIs" dxfId="85" priority="164" operator="between">
      <formula>0.93</formula>
      <formula>1</formula>
    </cfRule>
  </conditionalFormatting>
  <conditionalFormatting sqref="AL171:AN173">
    <cfRule type="cellIs" dxfId="84" priority="171" operator="equal">
      <formula>"No programado"</formula>
    </cfRule>
    <cfRule type="cellIs" dxfId="83" priority="173" operator="greaterThan">
      <formula>1</formula>
    </cfRule>
    <cfRule type="cellIs" dxfId="82" priority="175" operator="between">
      <formula>0.69000001</formula>
      <formula>0.899999999</formula>
    </cfRule>
    <cfRule type="cellIs" dxfId="81" priority="1124" operator="between">
      <formula>0.9</formula>
      <formula>1</formula>
    </cfRule>
    <cfRule type="cellIs" dxfId="80" priority="1214" operator="lessThanOrEqual">
      <formula>0.69</formula>
    </cfRule>
  </conditionalFormatting>
  <conditionalFormatting sqref="AL163:AN165">
    <cfRule type="cellIs" dxfId="79" priority="127" operator="greaterThan">
      <formula>1</formula>
    </cfRule>
    <cfRule type="cellIs" dxfId="78" priority="128" operator="equal">
      <formula>"No programado"</formula>
    </cfRule>
    <cfRule type="cellIs" dxfId="77" priority="129" operator="equal">
      <formula>1</formula>
    </cfRule>
  </conditionalFormatting>
  <conditionalFormatting sqref="AL163:AN163">
    <cfRule type="cellIs" dxfId="76" priority="132" operator="between">
      <formula>0.7900001</formula>
      <formula>0.9999999999</formula>
    </cfRule>
    <cfRule type="cellIs" dxfId="75" priority="136" operator="lessThanOrEqual">
      <formula>0.79</formula>
    </cfRule>
  </conditionalFormatting>
  <conditionalFormatting sqref="AL164:AN164">
    <cfRule type="cellIs" dxfId="74" priority="133" operator="between">
      <formula>0.99000001</formula>
      <formula>0.9999999999</formula>
    </cfRule>
    <cfRule type="cellIs" dxfId="73" priority="139" operator="lessThanOrEqual">
      <formula>0.999</formula>
    </cfRule>
  </conditionalFormatting>
  <conditionalFormatting sqref="AL165:AN165">
    <cfRule type="cellIs" dxfId="72" priority="134" operator="between">
      <formula>0.700000000001</formula>
      <formula>0.99999999999999</formula>
    </cfRule>
    <cfRule type="cellIs" dxfId="71" priority="140" operator="lessThanOrEqual">
      <formula>0.7</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86FFD3-99F0-47D1-9BF4-80548E22E067}">
          <x14:formula1>
            <xm:f>LISTAS!$I$11:$I$15</xm:f>
          </x14:formula1>
          <xm:sqref>D6:AK6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rgb="FF00FF99"/>
  </sheetPr>
  <dimension ref="B1:AK105"/>
  <sheetViews>
    <sheetView showGridLines="0" zoomScale="55" zoomScaleNormal="55" workbookViewId="0">
      <selection activeCell="C7" sqref="C7"/>
    </sheetView>
  </sheetViews>
  <sheetFormatPr baseColWidth="10" defaultColWidth="17.33203125" defaultRowHeight="23.4"/>
  <cols>
    <col min="1" max="1" width="4.33203125" style="107" customWidth="1"/>
    <col min="2" max="2" width="50.44140625" style="105" customWidth="1"/>
    <col min="3" max="3" width="55.109375" style="105" customWidth="1"/>
    <col min="4" max="4" width="52.88671875" style="105" customWidth="1"/>
    <col min="5" max="5" width="25.44140625" style="106" customWidth="1"/>
    <col min="6" max="6" width="26.33203125" style="106" customWidth="1"/>
    <col min="7" max="7" width="18" style="106" customWidth="1"/>
    <col min="8" max="8" width="43.6640625" style="105" customWidth="1"/>
    <col min="9" max="9" width="29.44140625" style="105" customWidth="1"/>
    <col min="10" max="10" width="56.33203125" style="105" customWidth="1"/>
    <col min="11" max="18" width="25.6640625" style="105" customWidth="1"/>
    <col min="19" max="19" width="26.6640625" style="105" customWidth="1"/>
    <col min="20" max="20" width="25.6640625" style="105" customWidth="1"/>
    <col min="21" max="21" width="28.33203125" style="105" customWidth="1"/>
    <col min="22" max="22" width="28.44140625" style="105" customWidth="1"/>
    <col min="23" max="23" width="28.44140625" style="105" hidden="1" customWidth="1"/>
    <col min="24" max="24" width="35.6640625" style="105" customWidth="1"/>
    <col min="25" max="25" width="23.6640625" style="254" customWidth="1"/>
    <col min="26" max="26" width="26.6640625" style="254" customWidth="1"/>
    <col min="27" max="27" width="36.6640625" style="254" customWidth="1"/>
    <col min="28" max="28" width="38.6640625" style="254" customWidth="1"/>
    <col min="29" max="29" width="38.6640625" style="107" customWidth="1"/>
    <col min="30" max="30" width="5.44140625" style="107" customWidth="1"/>
    <col min="31" max="31" width="12.44140625" style="107" hidden="1" customWidth="1"/>
    <col min="32" max="32" width="20.6640625" style="317" hidden="1" customWidth="1"/>
    <col min="33" max="33" width="8.6640625" style="107" hidden="1" customWidth="1"/>
    <col min="34" max="34" width="11.44140625" style="107" hidden="1" customWidth="1"/>
    <col min="35" max="35" width="11.5546875" style="107" hidden="1" customWidth="1"/>
    <col min="36" max="36" width="0" style="107" hidden="1" customWidth="1"/>
    <col min="37" max="16384" width="17.33203125" style="107"/>
  </cols>
  <sheetData>
    <row r="1" spans="2:37" ht="15" customHeight="1" thickBot="1"/>
    <row r="2" spans="2:37" ht="16.5" customHeight="1">
      <c r="B2" s="1465" t="s">
        <v>695</v>
      </c>
      <c r="C2" s="1431" t="s">
        <v>706</v>
      </c>
      <c r="D2" s="1432"/>
      <c r="E2" s="1432"/>
      <c r="F2" s="1432"/>
      <c r="G2" s="1432"/>
      <c r="H2" s="1432"/>
      <c r="I2" s="1432"/>
      <c r="J2" s="1432"/>
      <c r="K2" s="1432"/>
      <c r="L2" s="1432"/>
      <c r="M2" s="1432"/>
      <c r="N2" s="1432"/>
      <c r="O2" s="1432"/>
      <c r="P2" s="1432"/>
      <c r="Q2" s="1432"/>
      <c r="R2" s="1432"/>
      <c r="S2" s="1432"/>
      <c r="T2" s="1432"/>
      <c r="U2" s="1432"/>
      <c r="V2" s="1432"/>
      <c r="W2" s="1432"/>
      <c r="X2" s="1432"/>
      <c r="Y2" s="1432"/>
      <c r="Z2" s="1432"/>
      <c r="AA2" s="1432"/>
      <c r="AB2" s="1432"/>
      <c r="AC2" s="1433"/>
    </row>
    <row r="3" spans="2:37" ht="16.5" customHeight="1">
      <c r="B3" s="1466"/>
      <c r="C3" s="1434"/>
      <c r="D3" s="1435"/>
      <c r="E3" s="1435"/>
      <c r="F3" s="1435"/>
      <c r="G3" s="1435"/>
      <c r="H3" s="1435"/>
      <c r="I3" s="1435"/>
      <c r="J3" s="1435"/>
      <c r="K3" s="1435"/>
      <c r="L3" s="1435"/>
      <c r="M3" s="1435"/>
      <c r="N3" s="1435"/>
      <c r="O3" s="1435"/>
      <c r="P3" s="1435"/>
      <c r="Q3" s="1435"/>
      <c r="R3" s="1435"/>
      <c r="S3" s="1435"/>
      <c r="T3" s="1435"/>
      <c r="U3" s="1435"/>
      <c r="V3" s="1435"/>
      <c r="W3" s="1435"/>
      <c r="X3" s="1435"/>
      <c r="Y3" s="1435"/>
      <c r="Z3" s="1435"/>
      <c r="AA3" s="1435"/>
      <c r="AB3" s="1435"/>
      <c r="AC3" s="1436"/>
    </row>
    <row r="4" spans="2:37" ht="16.5" customHeight="1">
      <c r="B4" s="1466"/>
      <c r="C4" s="1434"/>
      <c r="D4" s="1435"/>
      <c r="E4" s="1435"/>
      <c r="F4" s="1435"/>
      <c r="G4" s="1435"/>
      <c r="H4" s="1435"/>
      <c r="I4" s="1435"/>
      <c r="J4" s="1435"/>
      <c r="K4" s="1435"/>
      <c r="L4" s="1435"/>
      <c r="M4" s="1435"/>
      <c r="N4" s="1435"/>
      <c r="O4" s="1435"/>
      <c r="P4" s="1435"/>
      <c r="Q4" s="1435"/>
      <c r="R4" s="1435"/>
      <c r="S4" s="1435"/>
      <c r="T4" s="1435"/>
      <c r="U4" s="1435"/>
      <c r="V4" s="1435"/>
      <c r="W4" s="1435"/>
      <c r="X4" s="1435"/>
      <c r="Y4" s="1435"/>
      <c r="Z4" s="1435"/>
      <c r="AA4" s="1435"/>
      <c r="AB4" s="1435"/>
      <c r="AC4" s="1436"/>
    </row>
    <row r="5" spans="2:37" ht="16.5" customHeight="1">
      <c r="B5" s="1466"/>
      <c r="C5" s="1434"/>
      <c r="D5" s="1435"/>
      <c r="E5" s="1435"/>
      <c r="F5" s="1435"/>
      <c r="G5" s="1435"/>
      <c r="H5" s="1435"/>
      <c r="I5" s="1435"/>
      <c r="J5" s="1435"/>
      <c r="K5" s="1435"/>
      <c r="L5" s="1435"/>
      <c r="M5" s="1435"/>
      <c r="N5" s="1435"/>
      <c r="O5" s="1435"/>
      <c r="P5" s="1435"/>
      <c r="Q5" s="1435"/>
      <c r="R5" s="1435"/>
      <c r="S5" s="1435"/>
      <c r="T5" s="1435"/>
      <c r="U5" s="1435"/>
      <c r="V5" s="1435"/>
      <c r="W5" s="1435"/>
      <c r="X5" s="1435"/>
      <c r="Y5" s="1435"/>
      <c r="Z5" s="1435"/>
      <c r="AA5" s="1435"/>
      <c r="AB5" s="1435"/>
      <c r="AC5" s="1436"/>
    </row>
    <row r="6" spans="2:37" ht="16.5" customHeight="1" thickBot="1">
      <c r="B6" s="1467"/>
      <c r="C6" s="1437"/>
      <c r="D6" s="1438"/>
      <c r="E6" s="1438"/>
      <c r="F6" s="1438"/>
      <c r="G6" s="1438"/>
      <c r="H6" s="1438"/>
      <c r="I6" s="1438"/>
      <c r="J6" s="1438"/>
      <c r="K6" s="1438"/>
      <c r="L6" s="1438"/>
      <c r="M6" s="1438"/>
      <c r="N6" s="1438"/>
      <c r="O6" s="1438"/>
      <c r="P6" s="1438"/>
      <c r="Q6" s="1438"/>
      <c r="R6" s="1438"/>
      <c r="S6" s="1438"/>
      <c r="T6" s="1438"/>
      <c r="U6" s="1438"/>
      <c r="V6" s="1438"/>
      <c r="W6" s="1438"/>
      <c r="X6" s="1438"/>
      <c r="Y6" s="1438"/>
      <c r="Z6" s="1438"/>
      <c r="AA6" s="1438"/>
      <c r="AB6" s="1438"/>
      <c r="AC6" s="1439"/>
    </row>
    <row r="7" spans="2:37" ht="14.25" customHeight="1" thickBot="1">
      <c r="B7" s="108"/>
      <c r="C7" s="108"/>
      <c r="D7" s="108"/>
      <c r="E7" s="109"/>
      <c r="F7" s="109"/>
      <c r="G7" s="109"/>
      <c r="H7" s="108"/>
      <c r="I7" s="108"/>
      <c r="J7" s="108"/>
      <c r="K7" s="108"/>
      <c r="L7" s="108"/>
      <c r="M7" s="108"/>
      <c r="N7" s="108"/>
      <c r="O7" s="108"/>
      <c r="P7" s="108"/>
      <c r="Q7" s="108"/>
      <c r="R7" s="108"/>
      <c r="S7" s="108"/>
      <c r="T7" s="108"/>
      <c r="U7" s="108"/>
      <c r="V7" s="108"/>
      <c r="W7" s="108"/>
      <c r="X7" s="108"/>
    </row>
    <row r="8" spans="2:37" ht="32.4" customHeight="1" thickBot="1">
      <c r="B8" s="363" t="s">
        <v>707</v>
      </c>
      <c r="C8" s="362" t="s">
        <v>1125</v>
      </c>
      <c r="D8" s="361">
        <v>2022</v>
      </c>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110"/>
    </row>
    <row r="9" spans="2:37" ht="14.25" customHeight="1">
      <c r="B9" s="108"/>
      <c r="C9" s="108"/>
      <c r="D9" s="108"/>
      <c r="E9" s="109"/>
      <c r="F9" s="109"/>
      <c r="G9" s="109"/>
      <c r="H9" s="108"/>
      <c r="I9" s="108"/>
      <c r="J9" s="108"/>
      <c r="K9" s="108"/>
      <c r="L9" s="108"/>
      <c r="M9" s="108"/>
      <c r="N9" s="108"/>
      <c r="O9" s="108"/>
      <c r="P9" s="108"/>
      <c r="Q9" s="108"/>
      <c r="R9" s="108"/>
      <c r="S9" s="108"/>
      <c r="T9" s="108"/>
      <c r="U9" s="108"/>
      <c r="V9" s="108"/>
      <c r="W9" s="108"/>
      <c r="X9" s="108"/>
      <c r="Y9" s="320"/>
      <c r="Z9" s="320"/>
      <c r="AA9" s="320"/>
      <c r="AB9" s="320"/>
      <c r="AC9" s="110"/>
    </row>
    <row r="10" spans="2:37" ht="55.2" customHeight="1">
      <c r="B10" s="1430" t="s">
        <v>0</v>
      </c>
      <c r="C10" s="1430" t="s">
        <v>52</v>
      </c>
      <c r="D10" s="1430" t="s">
        <v>54</v>
      </c>
      <c r="E10" s="1411" t="s">
        <v>55</v>
      </c>
      <c r="F10" s="1430" t="s">
        <v>56</v>
      </c>
      <c r="G10" s="1430" t="s">
        <v>70</v>
      </c>
      <c r="H10" s="1430" t="s">
        <v>57</v>
      </c>
      <c r="I10" s="1430" t="s">
        <v>41</v>
      </c>
      <c r="J10" s="1430" t="s">
        <v>42</v>
      </c>
      <c r="K10" s="1448" t="s">
        <v>75</v>
      </c>
      <c r="L10" s="1448"/>
      <c r="M10" s="1448"/>
      <c r="N10" s="1448"/>
      <c r="O10" s="1443">
        <f>+D8</f>
        <v>2022</v>
      </c>
      <c r="P10" s="1444"/>
      <c r="Q10" s="1444"/>
      <c r="R10" s="1444"/>
      <c r="S10" s="1444"/>
      <c r="T10" s="1444"/>
      <c r="U10" s="1444"/>
      <c r="V10" s="1444"/>
      <c r="W10" s="1444"/>
      <c r="X10" s="1444"/>
      <c r="Y10" s="1444"/>
      <c r="Z10" s="1445"/>
      <c r="AA10" s="1440" t="s">
        <v>702</v>
      </c>
      <c r="AB10" s="1441"/>
      <c r="AC10" s="1442"/>
    </row>
    <row r="11" spans="2:37" ht="69" customHeight="1">
      <c r="B11" s="1430"/>
      <c r="C11" s="1430"/>
      <c r="D11" s="1430"/>
      <c r="E11" s="1468"/>
      <c r="F11" s="1430"/>
      <c r="G11" s="1430"/>
      <c r="H11" s="1430"/>
      <c r="I11" s="1430"/>
      <c r="J11" s="1430"/>
      <c r="K11" s="1019" t="s">
        <v>59</v>
      </c>
      <c r="L11" s="1019" t="s">
        <v>59</v>
      </c>
      <c r="M11" s="1019" t="s">
        <v>59</v>
      </c>
      <c r="N11" s="1019" t="s">
        <v>59</v>
      </c>
      <c r="O11" s="1440" t="s">
        <v>21</v>
      </c>
      <c r="P11" s="1442"/>
      <c r="Q11" s="1440" t="s">
        <v>22</v>
      </c>
      <c r="R11" s="1442"/>
      <c r="S11" s="1440" t="s">
        <v>23</v>
      </c>
      <c r="T11" s="1442"/>
      <c r="U11" s="1440" t="s">
        <v>24</v>
      </c>
      <c r="V11" s="1442"/>
      <c r="W11" s="1411" t="s">
        <v>1169</v>
      </c>
      <c r="X11" s="1411" t="s">
        <v>705</v>
      </c>
      <c r="Y11" s="1411" t="s">
        <v>700</v>
      </c>
      <c r="Z11" s="1016" t="s">
        <v>927</v>
      </c>
      <c r="AA11" s="1449" t="s">
        <v>699</v>
      </c>
      <c r="AB11" s="1411" t="s">
        <v>701</v>
      </c>
      <c r="AC11" s="1446" t="s">
        <v>703</v>
      </c>
    </row>
    <row r="12" spans="2:37" ht="31.95" customHeight="1">
      <c r="B12" s="1430"/>
      <c r="C12" s="1430"/>
      <c r="D12" s="1430"/>
      <c r="E12" s="1412"/>
      <c r="F12" s="1430"/>
      <c r="G12" s="1430"/>
      <c r="H12" s="1430"/>
      <c r="I12" s="1430"/>
      <c r="J12" s="1430"/>
      <c r="K12" s="1028">
        <v>2021</v>
      </c>
      <c r="L12" s="1028">
        <v>2022</v>
      </c>
      <c r="M12" s="1028">
        <v>2023</v>
      </c>
      <c r="N12" s="1028">
        <v>2024</v>
      </c>
      <c r="O12" s="1018" t="s">
        <v>697</v>
      </c>
      <c r="P12" s="1018" t="s">
        <v>698</v>
      </c>
      <c r="Q12" s="1018" t="s">
        <v>697</v>
      </c>
      <c r="R12" s="1018" t="s">
        <v>698</v>
      </c>
      <c r="S12" s="1018" t="s">
        <v>697</v>
      </c>
      <c r="T12" s="1018" t="s">
        <v>698</v>
      </c>
      <c r="U12" s="1018" t="s">
        <v>697</v>
      </c>
      <c r="V12" s="1018" t="s">
        <v>698</v>
      </c>
      <c r="W12" s="1412"/>
      <c r="X12" s="1412"/>
      <c r="Y12" s="1412"/>
      <c r="Z12" s="1017" t="s">
        <v>1170</v>
      </c>
      <c r="AA12" s="1450"/>
      <c r="AB12" s="1412"/>
      <c r="AC12" s="1447"/>
    </row>
    <row r="13" spans="2:37" ht="103.5" customHeight="1">
      <c r="B13" s="1451" t="s">
        <v>130</v>
      </c>
      <c r="C13" s="1460" t="s">
        <v>131</v>
      </c>
      <c r="D13" s="27" t="str">
        <f>+'01-FR-03 POA INSTITUCIONAL'!D13</f>
        <v>1.1.1 Realizar 356.610 intervenciones dentro del ejercicio del Ministerio Público para prevenir la vulneración de derechos y/o lograr el  restablecimiento de los mismos.</v>
      </c>
      <c r="E13" s="38">
        <f>+'01-FR-03 POA INSTITUCIONAL'!E13</f>
        <v>0.38</v>
      </c>
      <c r="F13" s="111">
        <f>+'01-FR-03 POA INSTITUCIONAL'!F13</f>
        <v>356610</v>
      </c>
      <c r="G13" s="1030" t="str">
        <f>+'01-FR-03 POA INSTITUCIONAL'!G13</f>
        <v>S.I.</v>
      </c>
      <c r="H13" s="113" t="str">
        <f>+'01-FR-03 POA INSTITUCIONAL'!H13</f>
        <v>Intervenciones realizadas en defensa de los derechos</v>
      </c>
      <c r="I13" s="114" t="str">
        <f>+'01-FR-03 POA INSTITUCIONAL'!I13</f>
        <v>Promoción y Defensa de Derechos</v>
      </c>
      <c r="J13" s="115" t="str">
        <f>+'01-FR-03 POA INSTITUCIONAL'!J13</f>
        <v>P.D. para Asuntos Penales I, Penales II, Derechos Humanos y Policivos y Civiles
P.D. para los Sectores Planeación y Movilidad y la P.D. para los Sectores Educación y Cultura, Recreación y Deporte</v>
      </c>
      <c r="K13" s="116">
        <f>+'01-FR-03 POA INSTITUCIONAL'!K13</f>
        <v>102450</v>
      </c>
      <c r="L13" s="116">
        <f>+'01-FR-03 POA INSTITUCIONAL'!L13</f>
        <v>106660</v>
      </c>
      <c r="M13" s="116">
        <f>+'01-FR-03 POA INSTITUCIONAL'!M13</f>
        <v>98250</v>
      </c>
      <c r="N13" s="116">
        <f>+'01-FR-03 POA INSTITUCIONAL'!N13</f>
        <v>49250</v>
      </c>
      <c r="O13" s="310">
        <f>'05-POA PROM DEFENSA DERECHOS'!V16</f>
        <v>25305</v>
      </c>
      <c r="P13" s="310">
        <f>'05-POA PROM DEFENSA DERECHOS'!W16</f>
        <v>29145</v>
      </c>
      <c r="Q13" s="310">
        <f>+'05-POA PROM DEFENSA DERECHOS'!AD16</f>
        <v>28020</v>
      </c>
      <c r="R13" s="310">
        <f>+'05-POA PROM DEFENSA DERECHOS'!AE16</f>
        <v>33363</v>
      </c>
      <c r="S13" s="310">
        <f>+'05-POA PROM DEFENSA DERECHOS'!AL16</f>
        <v>28020</v>
      </c>
      <c r="T13" s="310">
        <f>+'05-POA PROM DEFENSA DERECHOS'!AM16</f>
        <v>36093</v>
      </c>
      <c r="U13" s="310">
        <f>+'05-POA PROM DEFENSA DERECHOS'!AT16</f>
        <v>25315</v>
      </c>
      <c r="V13" s="310">
        <f>+'05-POA PROM DEFENSA DERECHOS'!AU16</f>
        <v>31463</v>
      </c>
      <c r="W13" s="310">
        <f>'05-POA PROM DEFENSA DERECHOS'!AV16</f>
        <v>106660</v>
      </c>
      <c r="X13" s="310">
        <f>+'05-POA PROM DEFENSA DERECHOS'!AV16</f>
        <v>106660</v>
      </c>
      <c r="Y13" s="312">
        <f>+P13+R13+T13+V13</f>
        <v>130064</v>
      </c>
      <c r="Z13" s="608">
        <f>IF(AND($X13&gt;0),Y13/$X13,"No programado")</f>
        <v>1.2194262141383836</v>
      </c>
      <c r="AA13" s="313">
        <f>IF(AND(Y13&gt;0,$F13&gt;0),Y13/$F13,0)</f>
        <v>0.36472336726395782</v>
      </c>
      <c r="AB13" s="319">
        <f>IF(AND(AA13&gt;0,E13&gt;0),AA13*E13,0)</f>
        <v>0.13859487956030397</v>
      </c>
      <c r="AC13" s="1306">
        <f>SUM(AB13:AB23)</f>
        <v>0.37441539277434355</v>
      </c>
      <c r="AE13" s="316">
        <f>+'05-POA PROM DEFENSA DERECHOS'!BD16</f>
        <v>1.2194262141383836</v>
      </c>
      <c r="AF13" s="318">
        <f t="shared" ref="AF13:AF48" si="0">Z13-AE13</f>
        <v>0</v>
      </c>
      <c r="AH13" s="316">
        <f>+'05-POA PROM DEFENSA DERECHOS'!BH16</f>
        <v>0.36472336726395782</v>
      </c>
      <c r="AI13" s="318">
        <f>+AA13-AH13</f>
        <v>0</v>
      </c>
      <c r="AK13" s="315"/>
    </row>
    <row r="14" spans="2:37" ht="142.5" customHeight="1">
      <c r="B14" s="1452"/>
      <c r="C14" s="1462"/>
      <c r="D14" s="27" t="str">
        <f>+'01-FR-03 POA INSTITUCIONAL'!D14</f>
        <v>1.1.2 Orientar 292.755 personas en garantía de derechos.</v>
      </c>
      <c r="E14" s="38">
        <f>+'01-FR-03 POA INSTITUCIONAL'!E14</f>
        <v>0.3</v>
      </c>
      <c r="F14" s="111">
        <f>+'01-FR-03 POA INSTITUCIONAL'!F14</f>
        <v>292755</v>
      </c>
      <c r="G14" s="1030" t="str">
        <f>+'01-FR-03 POA INSTITUCIONAL'!G14</f>
        <v>S.I.</v>
      </c>
      <c r="H14" s="113" t="str">
        <f>+'01-FR-03 POA INSTITUCIONAL'!H14</f>
        <v>Personas orientadas en garantía de derechos</v>
      </c>
      <c r="I14" s="114" t="str">
        <f>+'01-FR-03 POA INSTITUCIONAL'!I14</f>
        <v>Promoción y Defensa de Derechos</v>
      </c>
      <c r="J14" s="115"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116">
        <f>+'01-FR-03 POA INSTITUCIONAL'!K14</f>
        <v>78750</v>
      </c>
      <c r="L14" s="116">
        <f>+'01-FR-03 POA INSTITUCIONAL'!L14</f>
        <v>97105</v>
      </c>
      <c r="M14" s="116">
        <f>+'01-FR-03 POA INSTITUCIONAL'!M14</f>
        <v>76600</v>
      </c>
      <c r="N14" s="116">
        <f>+'01-FR-03 POA INSTITUCIONAL'!N14</f>
        <v>40300</v>
      </c>
      <c r="O14" s="310">
        <f>'05-POA PROM DEFENSA DERECHOS'!V17</f>
        <v>21621</v>
      </c>
      <c r="P14" s="310">
        <f>'05-POA PROM DEFENSA DERECHOS'!W17</f>
        <v>26507</v>
      </c>
      <c r="Q14" s="310">
        <f>+'05-POA PROM DEFENSA DERECHOS'!AD17</f>
        <v>25997</v>
      </c>
      <c r="R14" s="310">
        <f>+'05-POA PROM DEFENSA DERECHOS'!AE17</f>
        <v>27698</v>
      </c>
      <c r="S14" s="310">
        <f>+'05-POA PROM DEFENSA DERECHOS'!AL17</f>
        <v>26645</v>
      </c>
      <c r="T14" s="310">
        <f>+'05-POA PROM DEFENSA DERECHOS'!AM17</f>
        <v>30355</v>
      </c>
      <c r="U14" s="310">
        <f>+'05-POA PROM DEFENSA DERECHOS'!AT17</f>
        <v>22842</v>
      </c>
      <c r="V14" s="310">
        <f>+'05-POA PROM DEFENSA DERECHOS'!AU17</f>
        <v>29076</v>
      </c>
      <c r="W14" s="310">
        <f>'05-POA PROM DEFENSA DERECHOS'!AV17</f>
        <v>97105</v>
      </c>
      <c r="X14" s="310">
        <f>+'05-POA PROM DEFENSA DERECHOS'!AV17</f>
        <v>97105</v>
      </c>
      <c r="Y14" s="312">
        <f t="shared" ref="Y14:Y17" si="1">+P14+R14+T14+V14</f>
        <v>113636</v>
      </c>
      <c r="Z14" s="608">
        <f t="shared" ref="Z14:Z18" si="2">IF(AND($X14&gt;0),Y14/$X14,"No programado")</f>
        <v>1.170238401730086</v>
      </c>
      <c r="AA14" s="313">
        <f t="shared" ref="AA14:AA32" si="3">IF(AND(Y14&gt;0,$F14&gt;0),Y14/$F14,0)</f>
        <v>0.3881607487489539</v>
      </c>
      <c r="AB14" s="319">
        <f t="shared" ref="AB14:AB32" si="4">IF(AND(AA14&gt;0,E14&gt;0),AA14*E14,0)</f>
        <v>0.11644822462468617</v>
      </c>
      <c r="AC14" s="1139"/>
      <c r="AE14" s="316">
        <f>+'05-POA PROM DEFENSA DERECHOS'!BD17</f>
        <v>1.170238401730086</v>
      </c>
      <c r="AF14" s="318">
        <f t="shared" si="0"/>
        <v>0</v>
      </c>
      <c r="AH14" s="316">
        <f>+'05-POA PROM DEFENSA DERECHOS'!BH17</f>
        <v>0.3881607487489539</v>
      </c>
      <c r="AI14" s="318">
        <f t="shared" ref="AI14:AI48" si="5">+AA14-AH14</f>
        <v>0</v>
      </c>
    </row>
    <row r="15" spans="2:37" ht="185.25" customHeight="1">
      <c r="B15" s="1452"/>
      <c r="C15" s="1462"/>
      <c r="D15" s="27" t="str">
        <f>+'01-FR-03 POA INSTITUCIONAL'!D15</f>
        <v>1.1.3 Asistir 117.610 personas en garantía de derechos.</v>
      </c>
      <c r="E15" s="38">
        <f>+'01-FR-03 POA INSTITUCIONAL'!E15</f>
        <v>0.15</v>
      </c>
      <c r="F15" s="111">
        <f>+'01-FR-03 POA INSTITUCIONAL'!F15</f>
        <v>117610</v>
      </c>
      <c r="G15" s="1030" t="str">
        <f>+'01-FR-03 POA INSTITUCIONAL'!G15</f>
        <v>S.I.</v>
      </c>
      <c r="H15" s="113" t="str">
        <f>+'01-FR-03 POA INSTITUCIONAL'!H15</f>
        <v>Personas asistidas en garantía de derechos</v>
      </c>
      <c r="I15" s="114" t="str">
        <f>+'01-FR-03 POA INSTITUCIONAL'!I15</f>
        <v>Promoción y Defensa de Derechos</v>
      </c>
      <c r="J15" s="115"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116">
        <f>+'01-FR-03 POA INSTITUCIONAL'!K15</f>
        <v>28695</v>
      </c>
      <c r="L15" s="116">
        <f>+'01-FR-03 POA INSTITUCIONAL'!L15</f>
        <v>26115</v>
      </c>
      <c r="M15" s="116">
        <f>+'01-FR-03 POA INSTITUCIONAL'!M15</f>
        <v>39200</v>
      </c>
      <c r="N15" s="116">
        <f>+'01-FR-03 POA INSTITUCIONAL'!N15</f>
        <v>23600</v>
      </c>
      <c r="O15" s="310">
        <f>'05-POA PROM DEFENSA DERECHOS'!V18</f>
        <v>6670</v>
      </c>
      <c r="P15" s="310">
        <f>'05-POA PROM DEFENSA DERECHOS'!W18</f>
        <v>9518</v>
      </c>
      <c r="Q15" s="310">
        <f>+'05-POA PROM DEFENSA DERECHOS'!AD18</f>
        <v>8165</v>
      </c>
      <c r="R15" s="310">
        <f>+'05-POA PROM DEFENSA DERECHOS'!AE18</f>
        <v>10298</v>
      </c>
      <c r="S15" s="310">
        <f>+'05-POA PROM DEFENSA DERECHOS'!AL18</f>
        <v>6765</v>
      </c>
      <c r="T15" s="310">
        <f>+'05-POA PROM DEFENSA DERECHOS'!AM18</f>
        <v>10102</v>
      </c>
      <c r="U15" s="310">
        <f>+'05-POA PROM DEFENSA DERECHOS'!AT18</f>
        <v>4515</v>
      </c>
      <c r="V15" s="310">
        <f>+'05-POA PROM DEFENSA DERECHOS'!AU18</f>
        <v>10654</v>
      </c>
      <c r="W15" s="310">
        <f>'05-POA PROM DEFENSA DERECHOS'!AV18</f>
        <v>26115</v>
      </c>
      <c r="X15" s="310">
        <f>+'05-POA PROM DEFENSA DERECHOS'!AV18</f>
        <v>26115</v>
      </c>
      <c r="Y15" s="312">
        <f t="shared" si="1"/>
        <v>40572</v>
      </c>
      <c r="Z15" s="608">
        <f t="shared" si="2"/>
        <v>1.5535898908673176</v>
      </c>
      <c r="AA15" s="313">
        <f t="shared" si="3"/>
        <v>0.3449706657597143</v>
      </c>
      <c r="AB15" s="319">
        <f t="shared" si="4"/>
        <v>5.1745599863957145E-2</v>
      </c>
      <c r="AC15" s="1139"/>
      <c r="AE15" s="316">
        <f>+'05-POA PROM DEFENSA DERECHOS'!BD18</f>
        <v>1.5535898908673176</v>
      </c>
      <c r="AF15" s="318">
        <f t="shared" si="0"/>
        <v>0</v>
      </c>
      <c r="AH15" s="316">
        <f>+'05-POA PROM DEFENSA DERECHOS'!BH18</f>
        <v>0.3449706657597143</v>
      </c>
      <c r="AI15" s="318">
        <f t="shared" si="5"/>
        <v>0</v>
      </c>
    </row>
    <row r="16" spans="2:37" ht="51" customHeight="1">
      <c r="B16" s="1452"/>
      <c r="C16" s="1462"/>
      <c r="D16" s="27" t="str">
        <f>+'01-FR-03 POA INSTITUCIONAL'!D16</f>
        <v>1.1.4 Asistir a 28.586 personas en mecanismos alternativos de solución de conflictos.</v>
      </c>
      <c r="E16" s="38">
        <f>+'01-FR-03 POA INSTITUCIONAL'!E16</f>
        <v>0.04</v>
      </c>
      <c r="F16" s="111">
        <f>+'01-FR-03 POA INSTITUCIONAL'!F16</f>
        <v>28586</v>
      </c>
      <c r="G16" s="1030" t="str">
        <f>+'01-FR-03 POA INSTITUCIONAL'!G16</f>
        <v>S.I.</v>
      </c>
      <c r="H16" s="113" t="str">
        <f>+'01-FR-03 POA INSTITUCIONAL'!H16</f>
        <v>Personas asistidas en Mecanismos Alternativos de Solución de Conflictos</v>
      </c>
      <c r="I16" s="114" t="str">
        <f>+'01-FR-03 POA INSTITUCIONAL'!I16</f>
        <v>Promoción y Defensa de Derechos</v>
      </c>
      <c r="J16" s="115" t="str">
        <f>+'01-FR-03 POA INSTITUCIONAL'!J16</f>
        <v>Dirección de Conciliación y M.A.S.C.</v>
      </c>
      <c r="K16" s="116">
        <f>+'01-FR-03 POA INSTITUCIONAL'!K16</f>
        <v>6810</v>
      </c>
      <c r="L16" s="116">
        <f>+'01-FR-03 POA INSTITUCIONAL'!L16</f>
        <v>6900</v>
      </c>
      <c r="M16" s="116">
        <f>+'01-FR-03 POA INSTITUCIONAL'!M16</f>
        <v>10500</v>
      </c>
      <c r="N16" s="116">
        <f>+'01-FR-03 POA INSTITUCIONAL'!N16</f>
        <v>4376</v>
      </c>
      <c r="O16" s="310">
        <f>'05-POA PROM DEFENSA DERECHOS'!V19</f>
        <v>900</v>
      </c>
      <c r="P16" s="310">
        <f>'05-POA PROM DEFENSA DERECHOS'!W19</f>
        <v>3289</v>
      </c>
      <c r="Q16" s="310">
        <f>+'05-POA PROM DEFENSA DERECHOS'!AD19</f>
        <v>1500</v>
      </c>
      <c r="R16" s="310">
        <f>+'05-POA PROM DEFENSA DERECHOS'!AE19</f>
        <v>3199</v>
      </c>
      <c r="S16" s="310">
        <f>+'05-POA PROM DEFENSA DERECHOS'!AL19</f>
        <v>2100</v>
      </c>
      <c r="T16" s="310">
        <f>+'05-POA PROM DEFENSA DERECHOS'!AM19</f>
        <v>3709</v>
      </c>
      <c r="U16" s="310">
        <f>+'05-POA PROM DEFENSA DERECHOS'!AT19</f>
        <v>2400</v>
      </c>
      <c r="V16" s="310">
        <f>+'05-POA PROM DEFENSA DERECHOS'!AU19</f>
        <v>4344</v>
      </c>
      <c r="W16" s="310">
        <f>'05-POA PROM DEFENSA DERECHOS'!AV19</f>
        <v>6900</v>
      </c>
      <c r="X16" s="310">
        <f>+'05-POA PROM DEFENSA DERECHOS'!AV19</f>
        <v>6900</v>
      </c>
      <c r="Y16" s="312">
        <f t="shared" si="1"/>
        <v>14541</v>
      </c>
      <c r="Z16" s="608">
        <f t="shared" si="2"/>
        <v>2.1073913043478263</v>
      </c>
      <c r="AA16" s="313">
        <f t="shared" si="3"/>
        <v>0.5086755754565172</v>
      </c>
      <c r="AB16" s="319">
        <f t="shared" si="4"/>
        <v>2.0347023018260687E-2</v>
      </c>
      <c r="AC16" s="1139"/>
      <c r="AE16" s="316">
        <f>+'05-POA PROM DEFENSA DERECHOS'!BD19</f>
        <v>2.1073913043478263</v>
      </c>
      <c r="AF16" s="318">
        <f t="shared" si="0"/>
        <v>0</v>
      </c>
      <c r="AH16" s="316">
        <f>+'05-POA PROM DEFENSA DERECHOS'!BH19</f>
        <v>0.5086755754565172</v>
      </c>
      <c r="AI16" s="318">
        <f t="shared" si="5"/>
        <v>0</v>
      </c>
    </row>
    <row r="17" spans="2:35" ht="136.5" customHeight="1">
      <c r="B17" s="1452"/>
      <c r="C17" s="1462"/>
      <c r="D17" s="27" t="str">
        <f>+'01-FR-03 POA INSTITUCIONAL'!D17</f>
        <v>1.1.5 Atender y gestionar 55.722 peticiones y/o requerimientos presentados por la comunidad en garantía de derechos.</v>
      </c>
      <c r="E17" s="38">
        <f>+'01-FR-03 POA INSTITUCIONAL'!E17</f>
        <v>0.06</v>
      </c>
      <c r="F17" s="111">
        <f>+'01-FR-03 POA INSTITUCIONAL'!F17</f>
        <v>55722</v>
      </c>
      <c r="G17" s="1030" t="str">
        <f>+'01-FR-03 POA INSTITUCIONAL'!G17</f>
        <v>S.I.</v>
      </c>
      <c r="H17" s="113" t="str">
        <f>+'01-FR-03 POA INSTITUCIONAL'!H17</f>
        <v>Peticiones o requerimientos ciudadanos atendidos en garantía de derechos</v>
      </c>
      <c r="I17" s="114" t="str">
        <f>+'01-FR-03 POA INSTITUCIONAL'!I17</f>
        <v>Promoción y Defensa de Derechos</v>
      </c>
      <c r="J17" s="115"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K17" s="116">
        <f>+'01-FR-03 POA INSTITUCIONAL'!K17</f>
        <v>14307</v>
      </c>
      <c r="L17" s="116">
        <f>+'01-FR-03 POA INSTITUCIONAL'!L17</f>
        <v>16115</v>
      </c>
      <c r="M17" s="116">
        <f>+'01-FR-03 POA INSTITUCIONAL'!M17</f>
        <v>21200</v>
      </c>
      <c r="N17" s="116">
        <f>+'01-FR-03 POA INSTITUCIONAL'!N17</f>
        <v>4100</v>
      </c>
      <c r="O17" s="310">
        <f>'05-POA PROM DEFENSA DERECHOS'!V20</f>
        <v>3408</v>
      </c>
      <c r="P17" s="310">
        <f>'05-POA PROM DEFENSA DERECHOS'!W20</f>
        <v>5102</v>
      </c>
      <c r="Q17" s="310">
        <f>+'05-POA PROM DEFENSA DERECHOS'!AD20</f>
        <v>4265</v>
      </c>
      <c r="R17" s="310">
        <f>+'05-POA PROM DEFENSA DERECHOS'!AE20</f>
        <v>5964</v>
      </c>
      <c r="S17" s="310">
        <f>+'05-POA PROM DEFENSA DERECHOS'!AL20</f>
        <v>4275</v>
      </c>
      <c r="T17" s="310">
        <f>+'05-POA PROM DEFENSA DERECHOS'!AM20</f>
        <v>6560</v>
      </c>
      <c r="U17" s="310">
        <f>+'05-POA PROM DEFENSA DERECHOS'!AT20</f>
        <v>4167</v>
      </c>
      <c r="V17" s="310">
        <f>+'05-POA PROM DEFENSA DERECHOS'!AU20</f>
        <v>6851</v>
      </c>
      <c r="W17" s="310">
        <f>'05-POA PROM DEFENSA DERECHOS'!AV20</f>
        <v>16115</v>
      </c>
      <c r="X17" s="310">
        <f>+'05-POA PROM DEFENSA DERECHOS'!AV20</f>
        <v>16115</v>
      </c>
      <c r="Y17" s="312">
        <f t="shared" si="1"/>
        <v>24477</v>
      </c>
      <c r="Z17" s="608">
        <f t="shared" si="2"/>
        <v>1.5188954390319578</v>
      </c>
      <c r="AA17" s="313">
        <f t="shared" si="3"/>
        <v>0.43926994723807472</v>
      </c>
      <c r="AB17" s="319">
        <f t="shared" si="4"/>
        <v>2.6356196834284484E-2</v>
      </c>
      <c r="AC17" s="1139"/>
      <c r="AE17" s="316">
        <f>+'05-POA PROM DEFENSA DERECHOS'!BD20</f>
        <v>1.5188954390319578</v>
      </c>
      <c r="AF17" s="318">
        <f t="shared" si="0"/>
        <v>0</v>
      </c>
      <c r="AH17" s="316">
        <f>+'05-POA PROM DEFENSA DERECHOS'!BH20</f>
        <v>0.43926994723807472</v>
      </c>
      <c r="AI17" s="318">
        <f t="shared" si="5"/>
        <v>0</v>
      </c>
    </row>
    <row r="18" spans="2:35" ht="75">
      <c r="B18" s="1452"/>
      <c r="C18" s="1462"/>
      <c r="D18" s="27" t="str">
        <f>+'01-FR-03 POA INSTITUCIONAL'!D18</f>
        <v>1.1.6 Generar 80 espacios de mejora, de transferencia de conocimientos y buenas prácticas que permitan brindar una atención idónea a las personas que acuden a la Personería de Bogotá, D. C</v>
      </c>
      <c r="E18" s="38">
        <f>+'01-FR-03 POA INSTITUCIONAL'!E18</f>
        <v>0.01</v>
      </c>
      <c r="F18" s="111">
        <f>+'01-FR-03 POA INSTITUCIONAL'!F18</f>
        <v>80</v>
      </c>
      <c r="G18" s="1030" t="str">
        <f>+'01-FR-03 POA INSTITUCIONAL'!G18</f>
        <v>S.I.</v>
      </c>
      <c r="H18" s="113" t="str">
        <f>+'01-FR-03 POA INSTITUCIONAL'!H18</f>
        <v>Espacios de mejora y transferencia de conocimiento realizados</v>
      </c>
      <c r="I18" s="114" t="str">
        <f>+'01-FR-03 POA INSTITUCIONAL'!I18</f>
        <v>Promoción y Defensa de Derechos</v>
      </c>
      <c r="J18" s="115" t="str">
        <f>+'01-FR-03 POA INSTITUCIONAL'!J18</f>
        <v>P.D. para la Coordinación del MP y DDHH y sus dependencias adscritas.</v>
      </c>
      <c r="K18" s="116">
        <f>+'01-FR-03 POA INSTITUCIONAL'!K18</f>
        <v>20</v>
      </c>
      <c r="L18" s="116">
        <f>+'01-FR-03 POA INSTITUCIONAL'!L18</f>
        <v>20</v>
      </c>
      <c r="M18" s="116">
        <f>+'01-FR-03 POA INSTITUCIONAL'!M18</f>
        <v>20</v>
      </c>
      <c r="N18" s="116">
        <f>+'01-FR-03 POA INSTITUCIONAL'!N18</f>
        <v>20</v>
      </c>
      <c r="O18" s="310">
        <f>'05-POA PROM DEFENSA DERECHOS'!V21</f>
        <v>2</v>
      </c>
      <c r="P18" s="310">
        <f>'05-POA PROM DEFENSA DERECHOS'!W21</f>
        <v>0</v>
      </c>
      <c r="Q18" s="310">
        <f>+'05-POA PROM DEFENSA DERECHOS'!AD21</f>
        <v>11</v>
      </c>
      <c r="R18" s="310">
        <f>+'05-POA PROM DEFENSA DERECHOS'!AE21</f>
        <v>11</v>
      </c>
      <c r="S18" s="310">
        <f>+'05-POA PROM DEFENSA DERECHOS'!AL21</f>
        <v>6</v>
      </c>
      <c r="T18" s="310">
        <f>+'05-POA PROM DEFENSA DERECHOS'!AM21</f>
        <v>4</v>
      </c>
      <c r="U18" s="310">
        <f>+'05-POA PROM DEFENSA DERECHOS'!AT21</f>
        <v>1</v>
      </c>
      <c r="V18" s="310">
        <f>+'05-POA PROM DEFENSA DERECHOS'!AU21</f>
        <v>5</v>
      </c>
      <c r="W18" s="310">
        <f>'05-POA PROM DEFENSA DERECHOS'!AV21</f>
        <v>20</v>
      </c>
      <c r="X18" s="310">
        <f>+'05-POA PROM DEFENSA DERECHOS'!AV21</f>
        <v>20</v>
      </c>
      <c r="Y18" s="312">
        <f>+P18+R18+T18+V18</f>
        <v>20</v>
      </c>
      <c r="Z18" s="608">
        <f t="shared" si="2"/>
        <v>1</v>
      </c>
      <c r="AA18" s="313">
        <f t="shared" si="3"/>
        <v>0.25</v>
      </c>
      <c r="AB18" s="319">
        <f t="shared" si="4"/>
        <v>2.5000000000000001E-3</v>
      </c>
      <c r="AC18" s="1139"/>
      <c r="AE18" s="316">
        <f>+'05-POA PROM DEFENSA DERECHOS'!BD21</f>
        <v>1</v>
      </c>
      <c r="AF18" s="318">
        <f t="shared" si="0"/>
        <v>0</v>
      </c>
      <c r="AH18" s="316">
        <f>+'05-POA PROM DEFENSA DERECHOS'!BH21</f>
        <v>0.25</v>
      </c>
      <c r="AI18" s="318">
        <f>+AA18-AH18</f>
        <v>0</v>
      </c>
    </row>
    <row r="19" spans="2:35" ht="88.5" customHeight="1">
      <c r="B19" s="1452"/>
      <c r="C19" s="1462"/>
      <c r="D19" s="27" t="str">
        <f>+'01-FR-03 POA INSTITUCIONAL'!D19</f>
        <v>1.1.7 Entregar en un termino menor a los cinco (5) días hábiles, mas del 95% de las solicitudes de elaboración de tutelas, desacatos e impugnaciones que realicen las personas en el Distrito Capital.</v>
      </c>
      <c r="E19" s="614">
        <f>+'01-FR-03 POA INSTITUCIONAL'!E19</f>
        <v>0.01</v>
      </c>
      <c r="F19" s="111" t="str">
        <f>+'01-FR-03 POA INSTITUCIONAL'!F19</f>
        <v>&gt;=95%</v>
      </c>
      <c r="G19" s="1030" t="str">
        <f>+'01-FR-03 POA INSTITUCIONAL'!G19</f>
        <v>S.I.</v>
      </c>
      <c r="H19" s="113" t="str">
        <f>+'01-FR-03 POA INSTITUCIONAL'!H19</f>
        <v>Porcentaje de Acciones de Tutela, Desacatos e Impugnaciones Entregadas en un Termino Menor a Cinco (5) Días Hábiles</v>
      </c>
      <c r="I19" s="114" t="str">
        <f>+'01-FR-03 POA INSTITUCIONAL'!I19</f>
        <v>Promoción y Defensa de Derechos</v>
      </c>
      <c r="J19" s="115" t="str">
        <f>+'01-FR-03 POA INSTITUCIONAL'!J19</f>
        <v>P.D. para Asuntos Jurisdiccionales, Víctimas y Penal II.
P.D. para la Coordinación de la Gestión de Personerías Locales y sus Personerías Locales adscritas</v>
      </c>
      <c r="K19" s="116" t="str">
        <f>+'01-FR-03 POA INSTITUCIONAL'!K19</f>
        <v>&gt;=95%</v>
      </c>
      <c r="L19" s="116" t="str">
        <f>+'01-FR-03 POA INSTITUCIONAL'!L19</f>
        <v>&gt;=95%</v>
      </c>
      <c r="M19" s="116" t="str">
        <f>+'01-FR-03 POA INSTITUCIONAL'!M19</f>
        <v>&gt;=95%</v>
      </c>
      <c r="N19" s="116" t="str">
        <f>+'01-FR-03 POA INSTITUCIONAL'!N19</f>
        <v>&gt;=95%</v>
      </c>
      <c r="O19" s="311">
        <f>'05-POA PROM DEFENSA DERECHOS'!V22</f>
        <v>0.94999999999999984</v>
      </c>
      <c r="P19" s="311">
        <f>'05-POA PROM DEFENSA DERECHOS'!W22</f>
        <v>1</v>
      </c>
      <c r="Q19" s="311">
        <f>+'05-POA PROM DEFENSA DERECHOS'!AD22</f>
        <v>0.94999999999999984</v>
      </c>
      <c r="R19" s="311">
        <f>'05-POA PROM DEFENSA DERECHOS'!AE22</f>
        <v>1</v>
      </c>
      <c r="S19" s="311">
        <f>+'05-POA PROM DEFENSA DERECHOS'!AL22</f>
        <v>0.94999999999999984</v>
      </c>
      <c r="T19" s="311">
        <f>'05-POA PROM DEFENSA DERECHOS'!AM22</f>
        <v>0.99933333333333341</v>
      </c>
      <c r="U19" s="311">
        <f>+'05-POA PROM DEFENSA DERECHOS'!AT22</f>
        <v>0.94999999999999984</v>
      </c>
      <c r="V19" s="311">
        <f>+'05-POA PROM DEFENSA DERECHOS'!AU22</f>
        <v>0.99799999999999989</v>
      </c>
      <c r="W19" s="311">
        <f>'05-POA PROM DEFENSA DERECHOS'!AV22</f>
        <v>0.94999999999999984</v>
      </c>
      <c r="X19" s="28">
        <f>+'05-POA PROM DEFENSA DERECHOS'!AV22</f>
        <v>0.94999999999999984</v>
      </c>
      <c r="Y19" s="313">
        <f>IFERROR(IF(OR($X$19="",$X$19=0),0,ROUNDDOWN(AVERAGE($P19,R19,T19,V19),3)),0)</f>
        <v>0.999</v>
      </c>
      <c r="Z19" s="932">
        <f>IF(AND($X19&gt;0),Y19/$X19,"No programado")*1</f>
        <v>1.0515789473684212</v>
      </c>
      <c r="AA19" s="932">
        <f>(((IF(AND(Y19&gt;0,95%&gt;0),Y19/95%,0)))/4)*2</f>
        <v>0.52578947368421058</v>
      </c>
      <c r="AB19" s="319">
        <f t="shared" si="4"/>
        <v>5.2578947368421064E-3</v>
      </c>
      <c r="AC19" s="1139"/>
      <c r="AE19" s="316">
        <f>+'05-POA PROM DEFENSA DERECHOS'!BD22</f>
        <v>1.0515789473684212</v>
      </c>
      <c r="AF19" s="318">
        <f t="shared" si="0"/>
        <v>0</v>
      </c>
      <c r="AH19" s="316">
        <f>+'05-POA PROM DEFENSA DERECHOS'!BH22</f>
        <v>0.26289473684210529</v>
      </c>
      <c r="AI19" s="318">
        <f t="shared" si="5"/>
        <v>0.26289473684210529</v>
      </c>
    </row>
    <row r="20" spans="2:35" ht="121.5" customHeight="1">
      <c r="B20" s="1452"/>
      <c r="C20" s="1462"/>
      <c r="D20" s="27"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0" s="38">
        <f>+'01-FR-03 POA INSTITUCIONAL'!E20</f>
        <v>0.02</v>
      </c>
      <c r="F20" s="111">
        <f>+'01-FR-03 POA INSTITUCIONAL'!F20</f>
        <v>19500</v>
      </c>
      <c r="G20" s="1030" t="str">
        <f>+'01-FR-03 POA INSTITUCIONAL'!G20</f>
        <v>S.I.</v>
      </c>
      <c r="H20" s="113" t="str">
        <f>+'01-FR-03 POA INSTITUCIONAL'!H20</f>
        <v>Audiencias Publicas Realizadas con Asistencia del Ministerio Público</v>
      </c>
      <c r="I20" s="114" t="str">
        <f>+'01-FR-03 POA INSTITUCIONAL'!I20</f>
        <v>Promoción y Defensa de Derechos</v>
      </c>
      <c r="J20" s="115" t="str">
        <f>+'01-FR-03 POA INSTITUCIONAL'!J20</f>
        <v>P.D. para la Coordinación de la Gestión de Personerías Locales y sus Personerías Locales adscritas</v>
      </c>
      <c r="K20" s="116">
        <f>+'01-FR-03 POA INSTITUCIONAL'!K20</f>
        <v>5000</v>
      </c>
      <c r="L20" s="116">
        <f>+'01-FR-03 POA INSTITUCIONAL'!L20</f>
        <v>6000</v>
      </c>
      <c r="M20" s="116">
        <f>+'01-FR-03 POA INSTITUCIONAL'!M20</f>
        <v>6500</v>
      </c>
      <c r="N20" s="116">
        <f>+'01-FR-03 POA INSTITUCIONAL'!N20</f>
        <v>2000</v>
      </c>
      <c r="O20" s="310">
        <f>'05-POA PROM DEFENSA DERECHOS'!V23</f>
        <v>1200</v>
      </c>
      <c r="P20" s="310">
        <f>'05-POA PROM DEFENSA DERECHOS'!W23</f>
        <v>1452</v>
      </c>
      <c r="Q20" s="310">
        <f>+'05-POA PROM DEFENSA DERECHOS'!AD23</f>
        <v>1800</v>
      </c>
      <c r="R20" s="310">
        <f>+'05-POA PROM DEFENSA DERECHOS'!AE23</f>
        <v>1952</v>
      </c>
      <c r="S20" s="310">
        <f>+'05-POA PROM DEFENSA DERECHOS'!AL23</f>
        <v>1800</v>
      </c>
      <c r="T20" s="310">
        <f>+'05-POA PROM DEFENSA DERECHOS'!AM23</f>
        <v>2402</v>
      </c>
      <c r="U20" s="310">
        <f>+'05-POA PROM DEFENSA DERECHOS'!AT23</f>
        <v>1200</v>
      </c>
      <c r="V20" s="310">
        <f>+'05-POA PROM DEFENSA DERECHOS'!AU23</f>
        <v>1740</v>
      </c>
      <c r="W20" s="310">
        <f>'05-POA PROM DEFENSA DERECHOS'!AV23</f>
        <v>6000</v>
      </c>
      <c r="X20" s="310">
        <f>+'05-POA PROM DEFENSA DERECHOS'!AV23</f>
        <v>6000</v>
      </c>
      <c r="Y20" s="312">
        <f>+P20+R20+T20+V20</f>
        <v>7546</v>
      </c>
      <c r="Z20" s="608">
        <f t="shared" ref="Z20:Z29" si="6">IF(AND($X20&gt;0),Y20/$X20,"No programado")</f>
        <v>1.2576666666666667</v>
      </c>
      <c r="AA20" s="313">
        <f t="shared" si="3"/>
        <v>0.386974358974359</v>
      </c>
      <c r="AB20" s="319">
        <f t="shared" si="4"/>
        <v>7.7394871794871801E-3</v>
      </c>
      <c r="AC20" s="1139"/>
      <c r="AE20" s="316">
        <f>+'05-POA PROM DEFENSA DERECHOS'!BD23</f>
        <v>1.2576666666666667</v>
      </c>
      <c r="AF20" s="318">
        <f t="shared" si="0"/>
        <v>0</v>
      </c>
      <c r="AH20" s="316">
        <f>+'05-POA PROM DEFENSA DERECHOS'!BH23</f>
        <v>0.386974358974359</v>
      </c>
      <c r="AI20" s="318">
        <f t="shared" si="5"/>
        <v>0</v>
      </c>
    </row>
    <row r="21" spans="2:35" ht="84.75" customHeight="1">
      <c r="B21" s="1452"/>
      <c r="C21" s="1462"/>
      <c r="D21" s="27" t="str">
        <f>+'01-FR-03 POA INSTITUCIONAL'!D21</f>
        <v>1.1.9 Realizar 11.000 intervenciones de manera oportuna para evitar situaciones de caducidad y perdida de fuerza ejecutoria en las actuaciones administrativas y policivas</v>
      </c>
      <c r="E21" s="38">
        <f>+'01-FR-03 POA INSTITUCIONAL'!E21</f>
        <v>0.01</v>
      </c>
      <c r="F21" s="111">
        <f>+'01-FR-03 POA INSTITUCIONAL'!F21</f>
        <v>11000</v>
      </c>
      <c r="G21" s="1030" t="str">
        <f>+'01-FR-03 POA INSTITUCIONAL'!G21</f>
        <v>S.I.</v>
      </c>
      <c r="H21" s="113" t="str">
        <f>+'01-FR-03 POA INSTITUCIONAL'!H21</f>
        <v>Intervenciones realizadas oportunamente para evitar la caducidad y perdida de fuerza ejecutoria (Impulsos procesales)</v>
      </c>
      <c r="I21" s="114" t="str">
        <f>+'01-FR-03 POA INSTITUCIONAL'!I21</f>
        <v>Promoción y Defensa de Derechos</v>
      </c>
      <c r="J21" s="115" t="str">
        <f>+'01-FR-03 POA INSTITUCIONAL'!J21</f>
        <v>P.D. para la Coordinación de la Gestión de Personerías Locales y sus Personerías Locales adscritas</v>
      </c>
      <c r="K21" s="116">
        <f>+'01-FR-03 POA INSTITUCIONAL'!K21</f>
        <v>3000</v>
      </c>
      <c r="L21" s="116">
        <f>+'01-FR-03 POA INSTITUCIONAL'!L21</f>
        <v>3000</v>
      </c>
      <c r="M21" s="116">
        <f>+'01-FR-03 POA INSTITUCIONAL'!M21</f>
        <v>4000</v>
      </c>
      <c r="N21" s="116">
        <f>+'01-FR-03 POA INSTITUCIONAL'!N21</f>
        <v>1000</v>
      </c>
      <c r="O21" s="310">
        <f>'05-POA PROM DEFENSA DERECHOS'!V24</f>
        <v>600</v>
      </c>
      <c r="P21" s="310">
        <f>'05-POA PROM DEFENSA DERECHOS'!W24</f>
        <v>438</v>
      </c>
      <c r="Q21" s="310">
        <f>+'05-POA PROM DEFENSA DERECHOS'!AD24</f>
        <v>900</v>
      </c>
      <c r="R21" s="310">
        <f>+'05-POA PROM DEFENSA DERECHOS'!AE24</f>
        <v>727</v>
      </c>
      <c r="S21" s="310">
        <f>+'05-POA PROM DEFENSA DERECHOS'!AL24</f>
        <v>900</v>
      </c>
      <c r="T21" s="310">
        <f>+'05-POA PROM DEFENSA DERECHOS'!AM24</f>
        <v>817</v>
      </c>
      <c r="U21" s="310">
        <f>+'05-POA PROM DEFENSA DERECHOS'!AT24</f>
        <v>600</v>
      </c>
      <c r="V21" s="310">
        <f>+'05-POA PROM DEFENSA DERECHOS'!AU24</f>
        <v>1208</v>
      </c>
      <c r="W21" s="310">
        <f>'05-POA PROM DEFENSA DERECHOS'!AV24</f>
        <v>3000</v>
      </c>
      <c r="X21" s="310">
        <f>+'05-POA PROM DEFENSA DERECHOS'!AV24</f>
        <v>3000</v>
      </c>
      <c r="Y21" s="312">
        <f t="shared" ref="Y21:Y57" si="7">+P21+R21+T21+V21</f>
        <v>3190</v>
      </c>
      <c r="Z21" s="608">
        <f t="shared" si="6"/>
        <v>1.0633333333333332</v>
      </c>
      <c r="AA21" s="313">
        <f t="shared" si="3"/>
        <v>0.28999999999999998</v>
      </c>
      <c r="AB21" s="319">
        <f t="shared" si="4"/>
        <v>2.8999999999999998E-3</v>
      </c>
      <c r="AC21" s="1139"/>
      <c r="AE21" s="316">
        <f>+'05-POA PROM DEFENSA DERECHOS'!BD24</f>
        <v>1.0633333333333332</v>
      </c>
      <c r="AF21" s="318">
        <f t="shared" si="0"/>
        <v>0</v>
      </c>
      <c r="AH21" s="316">
        <f>+'05-POA PROM DEFENSA DERECHOS'!BH24</f>
        <v>0.28999999999999998</v>
      </c>
      <c r="AI21" s="318">
        <f t="shared" si="5"/>
        <v>0</v>
      </c>
    </row>
    <row r="22" spans="2:35" ht="83.25" customHeight="1">
      <c r="B22" s="1452"/>
      <c r="C22" s="1462"/>
      <c r="D22" s="27" t="str">
        <f>+'01-FR-03 POA INSTITUCIONAL'!D22</f>
        <v>1.1.10 Impulsar 2.300 expedientes que contengan orden de policía (MULTA) en firme y ejecutoriada, para que se efectúen cobros persuasivos y/o se de traslado para el cobro coactivo.</v>
      </c>
      <c r="E22" s="38">
        <f>+'01-FR-03 POA INSTITUCIONAL'!E22</f>
        <v>0.01</v>
      </c>
      <c r="F22" s="111">
        <f>+'01-FR-03 POA INSTITUCIONAL'!F22</f>
        <v>2300</v>
      </c>
      <c r="G22" s="1030" t="str">
        <f>+'01-FR-03 POA INSTITUCIONAL'!G22</f>
        <v>S.I.</v>
      </c>
      <c r="H22" s="113" t="str">
        <f>+'01-FR-03 POA INSTITUCIONAL'!H22</f>
        <v>Expedientes con impulso procesal para la gestión de multas</v>
      </c>
      <c r="I22" s="114" t="str">
        <f>+'01-FR-03 POA INSTITUCIONAL'!I22</f>
        <v>Promoción y Defensa de Derechos</v>
      </c>
      <c r="J22" s="115" t="str">
        <f>+'01-FR-03 POA INSTITUCIONAL'!J22</f>
        <v>P.D. para la Coordinación de la Gestión de Personerías Locales y sus Personerías Locales adscritas</v>
      </c>
      <c r="K22" s="116">
        <f>+'01-FR-03 POA INSTITUCIONAL'!K22</f>
        <v>700</v>
      </c>
      <c r="L22" s="116">
        <f>+'01-FR-03 POA INSTITUCIONAL'!L22</f>
        <v>500</v>
      </c>
      <c r="M22" s="116">
        <f>+'01-FR-03 POA INSTITUCIONAL'!M22</f>
        <v>800</v>
      </c>
      <c r="N22" s="116">
        <f>+'01-FR-03 POA INSTITUCIONAL'!N22</f>
        <v>300</v>
      </c>
      <c r="O22" s="310">
        <f>'05-POA PROM DEFENSA DERECHOS'!V25</f>
        <v>100</v>
      </c>
      <c r="P22" s="310">
        <f>'05-POA PROM DEFENSA DERECHOS'!W25</f>
        <v>82</v>
      </c>
      <c r="Q22" s="310">
        <f>+'05-POA PROM DEFENSA DERECHOS'!AD25</f>
        <v>150</v>
      </c>
      <c r="R22" s="310">
        <f>+'05-POA PROM DEFENSA DERECHOS'!AE25</f>
        <v>74</v>
      </c>
      <c r="S22" s="310">
        <f>+'05-POA PROM DEFENSA DERECHOS'!AL25</f>
        <v>150</v>
      </c>
      <c r="T22" s="310">
        <f>+'05-POA PROM DEFENSA DERECHOS'!AM25</f>
        <v>150</v>
      </c>
      <c r="U22" s="310">
        <f>+'05-POA PROM DEFENSA DERECHOS'!AT25</f>
        <v>100</v>
      </c>
      <c r="V22" s="310">
        <f>+'05-POA PROM DEFENSA DERECHOS'!AU25</f>
        <v>275</v>
      </c>
      <c r="W22" s="310">
        <f>'05-POA PROM DEFENSA DERECHOS'!AV25</f>
        <v>500</v>
      </c>
      <c r="X22" s="310">
        <f>+'05-POA PROM DEFENSA DERECHOS'!AV25</f>
        <v>500</v>
      </c>
      <c r="Y22" s="312">
        <f t="shared" si="7"/>
        <v>581</v>
      </c>
      <c r="Z22" s="608">
        <f t="shared" si="6"/>
        <v>1.1619999999999999</v>
      </c>
      <c r="AA22" s="313">
        <f t="shared" si="3"/>
        <v>0.25260869565217392</v>
      </c>
      <c r="AB22" s="319">
        <f t="shared" si="4"/>
        <v>2.5260869565217393E-3</v>
      </c>
      <c r="AC22" s="1139"/>
      <c r="AE22" s="316">
        <f>+'05-POA PROM DEFENSA DERECHOS'!BD25</f>
        <v>1.1619999999999999</v>
      </c>
      <c r="AF22" s="318">
        <f t="shared" si="0"/>
        <v>0</v>
      </c>
      <c r="AH22" s="316">
        <f>+'05-POA PROM DEFENSA DERECHOS'!BH25</f>
        <v>0.25260869565217392</v>
      </c>
      <c r="AI22" s="318">
        <f t="shared" si="5"/>
        <v>0</v>
      </c>
    </row>
    <row r="23" spans="2:35" ht="93.75" customHeight="1">
      <c r="B23" s="1452"/>
      <c r="C23" s="1461"/>
      <c r="D23" s="27" t="str">
        <f>+'01-FR-03 POA INSTITUCIONAL'!D23</f>
        <v>1.1.11 Establecer de forma periódica, 40 estados de la vulneración de  los derechos humanos en las localidades, dando a conocer a las Entidades correspondientes los hechos observados que requieren su intervención.</v>
      </c>
      <c r="E23" s="38">
        <f>+'01-FR-03 POA INSTITUCIONAL'!E23</f>
        <v>0.01</v>
      </c>
      <c r="F23" s="111">
        <f>+'01-FR-03 POA INSTITUCIONAL'!F23</f>
        <v>40</v>
      </c>
      <c r="G23" s="1030" t="str">
        <f>+'01-FR-03 POA INSTITUCIONAL'!G23</f>
        <v>S.I.</v>
      </c>
      <c r="H23" s="113" t="str">
        <f>+'01-FR-03 POA INSTITUCIONAL'!H23</f>
        <v>Estados de vulneración establecidos</v>
      </c>
      <c r="I23" s="114" t="str">
        <f>+'01-FR-03 POA INSTITUCIONAL'!I23</f>
        <v>Promoción y Defensa de Derechos</v>
      </c>
      <c r="J23" s="115" t="str">
        <f>+'01-FR-03 POA INSTITUCIONAL'!J23</f>
        <v>P.D. para la Coordinación de la Gestión de Personerías Locales y sus Personerías Locales adscritas</v>
      </c>
      <c r="K23" s="116">
        <f>+'01-FR-03 POA INSTITUCIONAL'!K23</f>
        <v>0</v>
      </c>
      <c r="L23" s="116">
        <f>+'01-FR-03 POA INSTITUCIONAL'!L23</f>
        <v>0</v>
      </c>
      <c r="M23" s="116">
        <f>+'01-FR-03 POA INSTITUCIONAL'!M23</f>
        <v>20</v>
      </c>
      <c r="N23" s="116">
        <f>+'01-FR-03 POA INSTITUCIONAL'!N23</f>
        <v>20</v>
      </c>
      <c r="O23" s="310">
        <f>'05-POA PROM DEFENSA DERECHOS'!V26</f>
        <v>0</v>
      </c>
      <c r="P23" s="310">
        <f>'05-POA PROM DEFENSA DERECHOS'!W26</f>
        <v>0</v>
      </c>
      <c r="Q23" s="310">
        <f>+'05-POA PROM DEFENSA DERECHOS'!AD26</f>
        <v>0</v>
      </c>
      <c r="R23" s="310">
        <f>+'05-POA PROM DEFENSA DERECHOS'!AE26</f>
        <v>0</v>
      </c>
      <c r="S23" s="310">
        <f>+'05-POA PROM DEFENSA DERECHOS'!AL26</f>
        <v>0</v>
      </c>
      <c r="T23" s="310">
        <f>+'05-POA PROM DEFENSA DERECHOS'!AM26</f>
        <v>0</v>
      </c>
      <c r="U23" s="310">
        <f>+'05-POA PROM DEFENSA DERECHOS'!AT26</f>
        <v>0</v>
      </c>
      <c r="V23" s="310">
        <f>+'05-POA PROM DEFENSA DERECHOS'!AU26</f>
        <v>0</v>
      </c>
      <c r="W23" s="310">
        <f>'05-POA PROM DEFENSA DERECHOS'!AV26</f>
        <v>0</v>
      </c>
      <c r="X23" s="310">
        <f>+'05-POA PROM DEFENSA DERECHOS'!AV26</f>
        <v>0</v>
      </c>
      <c r="Y23" s="312">
        <f t="shared" si="7"/>
        <v>0</v>
      </c>
      <c r="Z23" s="608" t="str">
        <f t="shared" si="6"/>
        <v>No programado</v>
      </c>
      <c r="AA23" s="313">
        <f t="shared" si="3"/>
        <v>0</v>
      </c>
      <c r="AB23" s="319">
        <f t="shared" si="4"/>
        <v>0</v>
      </c>
      <c r="AC23" s="1307"/>
      <c r="AE23" s="316">
        <f>+'05-POA PROM DEFENSA DERECHOS'!BD26</f>
        <v>0</v>
      </c>
      <c r="AF23" s="318" t="e">
        <f t="shared" si="0"/>
        <v>#VALUE!</v>
      </c>
      <c r="AH23" s="316">
        <f>+'05-POA PROM DEFENSA DERECHOS'!BH26</f>
        <v>0</v>
      </c>
      <c r="AI23" s="318">
        <f t="shared" si="5"/>
        <v>0</v>
      </c>
    </row>
    <row r="24" spans="2:35" ht="135.75" customHeight="1">
      <c r="B24" s="1452"/>
      <c r="C24" s="1460" t="s">
        <v>132</v>
      </c>
      <c r="D24" s="27"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38">
        <f>+'01-FR-03 POA INSTITUCIONAL'!E24</f>
        <v>0.75</v>
      </c>
      <c r="F24" s="111">
        <f>+'01-FR-03 POA INSTITUCIONAL'!F24</f>
        <v>205930</v>
      </c>
      <c r="G24" s="1030" t="str">
        <f>+'01-FR-03 POA INSTITUCIONAL'!G24</f>
        <v>S.I.</v>
      </c>
      <c r="H24" s="113" t="str">
        <f>+'01-FR-03 POA INSTITUCIONAL'!H24</f>
        <v>Personas sensibilizadas en el Distrito Capital</v>
      </c>
      <c r="I24" s="114" t="str">
        <f>+'01-FR-03 POA INSTITUCIONAL'!I24</f>
        <v>Promoción y Defensa de Derechos</v>
      </c>
      <c r="J24" s="115" t="str">
        <f>+'01-FR-03 POA INSTITUCIONAL'!J24</f>
        <v>P.D. para la Coordinación del MP y DDHH y sus dependencias adscritas
P.D. para la Coordinación de la Gestión de Personerías Locales y sus Personerías Locales adscritas</v>
      </c>
      <c r="K24" s="116">
        <f>+'01-FR-03 POA INSTITUCIONAL'!K24</f>
        <v>62360</v>
      </c>
      <c r="L24" s="116">
        <f>+'01-FR-03 POA INSTITUCIONAL'!L24</f>
        <v>71570</v>
      </c>
      <c r="M24" s="116">
        <f>+'01-FR-03 POA INSTITUCIONAL'!M24</f>
        <v>53000</v>
      </c>
      <c r="N24" s="116">
        <f>+'01-FR-03 POA INSTITUCIONAL'!N24</f>
        <v>19000</v>
      </c>
      <c r="O24" s="310">
        <f>'05-POA PROM DEFENSA DERECHOS'!V27</f>
        <v>10700</v>
      </c>
      <c r="P24" s="310">
        <f>'05-POA PROM DEFENSA DERECHOS'!W27</f>
        <v>16789</v>
      </c>
      <c r="Q24" s="310">
        <f>+'05-POA PROM DEFENSA DERECHOS'!AD27</f>
        <v>21400</v>
      </c>
      <c r="R24" s="310">
        <f>+'05-POA PROM DEFENSA DERECHOS'!AE27</f>
        <v>27872</v>
      </c>
      <c r="S24" s="310">
        <f>+'05-POA PROM DEFENSA DERECHOS'!AL27</f>
        <v>23550</v>
      </c>
      <c r="T24" s="310">
        <f>+'05-POA PROM DEFENSA DERECHOS'!AM27</f>
        <v>22710</v>
      </c>
      <c r="U24" s="310">
        <f>+'05-POA PROM DEFENSA DERECHOS'!AT27</f>
        <v>15920</v>
      </c>
      <c r="V24" s="310">
        <f>+'05-POA PROM DEFENSA DERECHOS'!AU27</f>
        <v>12229</v>
      </c>
      <c r="W24" s="310">
        <f>'05-POA PROM DEFENSA DERECHOS'!AV27</f>
        <v>71570</v>
      </c>
      <c r="X24" s="310">
        <f>+'05-POA PROM DEFENSA DERECHOS'!AV27</f>
        <v>71570</v>
      </c>
      <c r="Y24" s="312">
        <f t="shared" si="7"/>
        <v>79600</v>
      </c>
      <c r="Z24" s="608">
        <f t="shared" si="6"/>
        <v>1.1121978482604442</v>
      </c>
      <c r="AA24" s="313">
        <f t="shared" si="3"/>
        <v>0.38653911523333173</v>
      </c>
      <c r="AB24" s="319">
        <f t="shared" si="4"/>
        <v>0.2899043364249988</v>
      </c>
      <c r="AC24" s="1192">
        <f>+AB24+AB25+AB26+AB27+AB28+AB29</f>
        <v>0.39195979073585391</v>
      </c>
      <c r="AE24" s="316">
        <f>+'05-POA PROM DEFENSA DERECHOS'!BD27</f>
        <v>1.1121978482604442</v>
      </c>
      <c r="AF24" s="318">
        <f t="shared" si="0"/>
        <v>0</v>
      </c>
      <c r="AH24" s="316">
        <f>+'05-POA PROM DEFENSA DERECHOS'!BH27</f>
        <v>0.38653911523333173</v>
      </c>
      <c r="AI24" s="318">
        <f t="shared" si="5"/>
        <v>0</v>
      </c>
    </row>
    <row r="25" spans="2:35" ht="115.2" customHeight="1">
      <c r="B25" s="1452"/>
      <c r="C25" s="1462"/>
      <c r="D25" s="27"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5" s="38">
        <f>+'01-FR-03 POA INSTITUCIONAL'!E25</f>
        <v>0.12</v>
      </c>
      <c r="F25" s="111">
        <f>+'01-FR-03 POA INSTITUCIONAL'!F25</f>
        <v>23910</v>
      </c>
      <c r="G25" s="1030" t="str">
        <f>+'01-FR-03 POA INSTITUCIONAL'!G25</f>
        <v>S.I.</v>
      </c>
      <c r="H25" s="113" t="str">
        <f>+'01-FR-03 POA INSTITUCIONAL'!H25</f>
        <v>Acciones en favor de las víctimas del conflicto armado interno adelantadas</v>
      </c>
      <c r="I25" s="114" t="str">
        <f>+'01-FR-03 POA INSTITUCIONAL'!I25</f>
        <v>Promoción y Defensa de Derechos</v>
      </c>
      <c r="J25" s="115" t="str">
        <f>+'01-FR-03 POA INSTITUCIONAL'!J25</f>
        <v>P.D. para la Protección de las Víctimas del Conflicto Armado Interno
P.D. para la Coordinación de la Gestión de Personerías Locales y sus Personerías Locales adscritas</v>
      </c>
      <c r="K25" s="116">
        <f>+'01-FR-03 POA INSTITUCIONAL'!K25</f>
        <v>5480</v>
      </c>
      <c r="L25" s="116">
        <f>+'01-FR-03 POA INSTITUCIONAL'!L25</f>
        <v>5480</v>
      </c>
      <c r="M25" s="116">
        <f>+'01-FR-03 POA INSTITUCIONAL'!M25</f>
        <v>8650</v>
      </c>
      <c r="N25" s="116">
        <f>+'01-FR-03 POA INSTITUCIONAL'!N25</f>
        <v>4300</v>
      </c>
      <c r="O25" s="310">
        <f>'05-POA PROM DEFENSA DERECHOS'!V28</f>
        <v>920</v>
      </c>
      <c r="P25" s="310">
        <f>'05-POA PROM DEFENSA DERECHOS'!W28</f>
        <v>2701</v>
      </c>
      <c r="Q25" s="310">
        <f>+'05-POA PROM DEFENSA DERECHOS'!AD28</f>
        <v>1760</v>
      </c>
      <c r="R25" s="542">
        <f>+'05-POA PROM DEFENSA DERECHOS'!AE28</f>
        <v>2810</v>
      </c>
      <c r="S25" s="310">
        <f>+'05-POA PROM DEFENSA DERECHOS'!AL28</f>
        <v>1680</v>
      </c>
      <c r="T25" s="310">
        <f>+'05-POA PROM DEFENSA DERECHOS'!AM28</f>
        <v>2279</v>
      </c>
      <c r="U25" s="310">
        <f>+'05-POA PROM DEFENSA DERECHOS'!AT28</f>
        <v>1120</v>
      </c>
      <c r="V25" s="310">
        <f>+'05-POA PROM DEFENSA DERECHOS'!AU28</f>
        <v>2568</v>
      </c>
      <c r="W25" s="310">
        <f>'05-POA PROM DEFENSA DERECHOS'!AV28</f>
        <v>5480</v>
      </c>
      <c r="X25" s="310">
        <f>+'05-POA PROM DEFENSA DERECHOS'!AV28</f>
        <v>5480</v>
      </c>
      <c r="Y25" s="312">
        <f t="shared" si="7"/>
        <v>10358</v>
      </c>
      <c r="Z25" s="608">
        <f t="shared" si="6"/>
        <v>1.8901459854014599</v>
      </c>
      <c r="AA25" s="313">
        <f t="shared" si="3"/>
        <v>0.43320786281890422</v>
      </c>
      <c r="AB25" s="319">
        <f t="shared" si="4"/>
        <v>5.1984943538268505E-2</v>
      </c>
      <c r="AC25" s="1193"/>
      <c r="AE25" s="316">
        <f>+'05-POA PROM DEFENSA DERECHOS'!BD28</f>
        <v>1.8901459854014599</v>
      </c>
      <c r="AF25" s="318">
        <f t="shared" si="0"/>
        <v>0</v>
      </c>
      <c r="AH25" s="316">
        <f>+'05-POA PROM DEFENSA DERECHOS'!BH28</f>
        <v>0.43320786281890422</v>
      </c>
      <c r="AI25" s="318">
        <f t="shared" si="5"/>
        <v>0</v>
      </c>
    </row>
    <row r="26" spans="2:35" ht="75">
      <c r="B26" s="1452"/>
      <c r="C26" s="1462"/>
      <c r="D26" s="27" t="str">
        <f>+'01-FR-03 POA INSTITUCIONAL'!D26</f>
        <v>1.2.3 Prevenir mediante la elaboración de 18.880 acciones constitucionales, la vulneración de derechos  con énfasis en sujetos de especial protección constitucional.</v>
      </c>
      <c r="E26" s="38">
        <f>+'01-FR-03 POA INSTITUCIONAL'!E26</f>
        <v>0.09</v>
      </c>
      <c r="F26" s="111">
        <f>+'01-FR-03 POA INSTITUCIONAL'!F26</f>
        <v>18880</v>
      </c>
      <c r="G26" s="1030" t="str">
        <f>+'01-FR-03 POA INSTITUCIONAL'!G26</f>
        <v>S.I.</v>
      </c>
      <c r="H26" s="113" t="str">
        <f>+'01-FR-03 POA INSTITUCIONAL'!H26</f>
        <v>Acciones constitucionales elaboradas para prevenir vulneración de derechos</v>
      </c>
      <c r="I26" s="114" t="str">
        <f>+'01-FR-03 POA INSTITUCIONAL'!I26</f>
        <v>Promoción y Defensa de Derechos</v>
      </c>
      <c r="J26" s="115" t="str">
        <f>+'01-FR-03 POA INSTITUCIONAL'!J26</f>
        <v>P.D. para Asuntos Jurisdiccionales, Víctimas, Penal II y Consumidor.
P.D. para la Coordinación de la Gestión de Personerías Locales y sus Personerías Locales adscritas</v>
      </c>
      <c r="K26" s="116">
        <f>+'01-FR-03 POA INSTITUCIONAL'!K26</f>
        <v>4790</v>
      </c>
      <c r="L26" s="116">
        <f>+'01-FR-03 POA INSTITUCIONAL'!L26</f>
        <v>4790</v>
      </c>
      <c r="M26" s="116">
        <f>+'01-FR-03 POA INSTITUCIONAL'!M26</f>
        <v>6300</v>
      </c>
      <c r="N26" s="116">
        <f>+'01-FR-03 POA INSTITUCIONAL'!N26</f>
        <v>3000</v>
      </c>
      <c r="O26" s="310">
        <f>'05-POA PROM DEFENSA DERECHOS'!V29</f>
        <v>1311</v>
      </c>
      <c r="P26" s="310">
        <f>'05-POA PROM DEFENSA DERECHOS'!W29</f>
        <v>1473</v>
      </c>
      <c r="Q26" s="310">
        <f>+'05-POA PROM DEFENSA DERECHOS'!AD29</f>
        <v>1674</v>
      </c>
      <c r="R26" s="542">
        <f>+'05-POA PROM DEFENSA DERECHOS'!AE29</f>
        <v>1824</v>
      </c>
      <c r="S26" s="310">
        <f>+'05-POA PROM DEFENSA DERECHOS'!AL29</f>
        <v>1107</v>
      </c>
      <c r="T26" s="310">
        <f>+'05-POA PROM DEFENSA DERECHOS'!AM29</f>
        <v>2201</v>
      </c>
      <c r="U26" s="310">
        <f>+'05-POA PROM DEFENSA DERECHOS'!AT29</f>
        <v>698</v>
      </c>
      <c r="V26" s="310">
        <f>+'05-POA PROM DEFENSA DERECHOS'!AU29</f>
        <v>2040</v>
      </c>
      <c r="W26" s="310">
        <f>'05-POA PROM DEFENSA DERECHOS'!AV29</f>
        <v>4790</v>
      </c>
      <c r="X26" s="310">
        <f>+'05-POA PROM DEFENSA DERECHOS'!AV29</f>
        <v>4790</v>
      </c>
      <c r="Y26" s="312">
        <f t="shared" si="7"/>
        <v>7538</v>
      </c>
      <c r="Z26" s="608">
        <f t="shared" si="6"/>
        <v>1.5736951983298539</v>
      </c>
      <c r="AA26" s="313">
        <f t="shared" si="3"/>
        <v>0.39925847457627117</v>
      </c>
      <c r="AB26" s="319">
        <f t="shared" si="4"/>
        <v>3.5933262711864401E-2</v>
      </c>
      <c r="AC26" s="1193"/>
      <c r="AE26" s="316">
        <f>+'05-POA PROM DEFENSA DERECHOS'!BD29</f>
        <v>1.5736951983298539</v>
      </c>
      <c r="AF26" s="318">
        <f t="shared" si="0"/>
        <v>0</v>
      </c>
      <c r="AH26" s="316">
        <f>+'05-POA PROM DEFENSA DERECHOS'!BH29</f>
        <v>0.39925847457627117</v>
      </c>
      <c r="AI26" s="318">
        <f t="shared" si="5"/>
        <v>0</v>
      </c>
    </row>
    <row r="27" spans="2:35" ht="100.95" customHeight="1">
      <c r="B27" s="1452"/>
      <c r="C27" s="1462"/>
      <c r="D27" s="27" t="str">
        <f>+'01-FR-03 POA INSTITUCIONAL'!D27</f>
        <v>1.2.4 Fortalecer el ejercicio del ministerio público ante las comisarías de familia, verificando el cumplimiento a 3.540 medidas de protección que se imponen.</v>
      </c>
      <c r="E27" s="38">
        <f>+'01-FR-03 POA INSTITUCIONAL'!E27</f>
        <v>0.02</v>
      </c>
      <c r="F27" s="111">
        <f>+'01-FR-03 POA INSTITUCIONAL'!F27</f>
        <v>3540</v>
      </c>
      <c r="G27" s="1030" t="str">
        <f>+'01-FR-03 POA INSTITUCIONAL'!G27</f>
        <v>S.I.</v>
      </c>
      <c r="H27" s="113" t="str">
        <f>+'01-FR-03 POA INSTITUCIONAL'!H27</f>
        <v>Verificaciones de cumplimiento realizadas por el Ministerio Público a las medidas de protección impuestas por las Comisarías de Familia</v>
      </c>
      <c r="I27" s="114" t="str">
        <f>+'01-FR-03 POA INSTITUCIONAL'!I27</f>
        <v>Promoción y Defensa de Derechos</v>
      </c>
      <c r="J27" s="115" t="str">
        <f>+'01-FR-03 POA INSTITUCIONAL'!J27</f>
        <v>P.D. para la Familia y Sujetos de Especial Protección Constitucional</v>
      </c>
      <c r="K27" s="116">
        <f>+'01-FR-03 POA INSTITUCIONAL'!K27</f>
        <v>940</v>
      </c>
      <c r="L27" s="116">
        <f>+'01-FR-03 POA INSTITUCIONAL'!L27</f>
        <v>800</v>
      </c>
      <c r="M27" s="116">
        <f>+'01-FR-03 POA INSTITUCIONAL'!M27</f>
        <v>1200</v>
      </c>
      <c r="N27" s="116">
        <f>+'01-FR-03 POA INSTITUCIONAL'!N27</f>
        <v>600</v>
      </c>
      <c r="O27" s="310">
        <f>'05-POA PROM DEFENSA DERECHOS'!V30</f>
        <v>140</v>
      </c>
      <c r="P27" s="310">
        <f>'05-POA PROM DEFENSA DERECHOS'!W30</f>
        <v>53</v>
      </c>
      <c r="Q27" s="310">
        <f>+'05-POA PROM DEFENSA DERECHOS'!AD30</f>
        <v>270</v>
      </c>
      <c r="R27" s="542">
        <f>+'05-POA PROM DEFENSA DERECHOS'!AE30</f>
        <v>144</v>
      </c>
      <c r="S27" s="310">
        <f>+'05-POA PROM DEFENSA DERECHOS'!AL30</f>
        <v>240</v>
      </c>
      <c r="T27" s="310">
        <f>+'05-POA PROM DEFENSA DERECHOS'!AM30</f>
        <v>485</v>
      </c>
      <c r="U27" s="310">
        <f>+'05-POA PROM DEFENSA DERECHOS'!AT30</f>
        <v>150</v>
      </c>
      <c r="V27" s="310">
        <f>+'05-POA PROM DEFENSA DERECHOS'!AU30</f>
        <v>248</v>
      </c>
      <c r="W27" s="310">
        <f>'05-POA PROM DEFENSA DERECHOS'!AV30</f>
        <v>800</v>
      </c>
      <c r="X27" s="310">
        <f>+'05-POA PROM DEFENSA DERECHOS'!AV30</f>
        <v>800</v>
      </c>
      <c r="Y27" s="312">
        <f t="shared" si="7"/>
        <v>930</v>
      </c>
      <c r="Z27" s="608">
        <f t="shared" si="6"/>
        <v>1.1625000000000001</v>
      </c>
      <c r="AA27" s="313">
        <f t="shared" si="3"/>
        <v>0.26271186440677968</v>
      </c>
      <c r="AB27" s="319">
        <f t="shared" si="4"/>
        <v>5.2542372881355937E-3</v>
      </c>
      <c r="AC27" s="1193"/>
      <c r="AE27" s="316">
        <f>+'05-POA PROM DEFENSA DERECHOS'!BD30</f>
        <v>1.1625000000000001</v>
      </c>
      <c r="AF27" s="318">
        <f t="shared" si="0"/>
        <v>0</v>
      </c>
      <c r="AH27" s="316">
        <f>+'05-POA PROM DEFENSA DERECHOS'!BH30</f>
        <v>0.26271186440677968</v>
      </c>
      <c r="AI27" s="318">
        <f t="shared" si="5"/>
        <v>0</v>
      </c>
    </row>
    <row r="28" spans="2:35" ht="120" customHeight="1">
      <c r="B28" s="1452"/>
      <c r="C28" s="1462"/>
      <c r="D28" s="27"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28" s="38">
        <f>+'01-FR-03 POA INSTITUCIONAL'!E28</f>
        <v>0.01</v>
      </c>
      <c r="F28" s="111">
        <f>+'01-FR-03 POA INSTITUCIONAL'!F28</f>
        <v>7711</v>
      </c>
      <c r="G28" s="1030" t="str">
        <f>+'01-FR-03 POA INSTITUCIONAL'!G28</f>
        <v>S.I.</v>
      </c>
      <c r="H28" s="113" t="str">
        <f>+'01-FR-03 POA INSTITUCIONAL'!H28</f>
        <v>Espacios Interinstitucionales con participación</v>
      </c>
      <c r="I28" s="114" t="str">
        <f>+'01-FR-03 POA INSTITUCIONAL'!I28</f>
        <v>Promoción y Defensa de Derechos</v>
      </c>
      <c r="J28" s="115"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116">
        <f>+'01-FR-03 POA INSTITUCIONAL'!K28</f>
        <v>2802</v>
      </c>
      <c r="L28" s="116">
        <f>+'01-FR-03 POA INSTITUCIONAL'!L28</f>
        <v>2771</v>
      </c>
      <c r="M28" s="116">
        <f>+'01-FR-03 POA INSTITUCIONAL'!M28</f>
        <v>1092</v>
      </c>
      <c r="N28" s="116">
        <f>+'01-FR-03 POA INSTITUCIONAL'!N28</f>
        <v>1046</v>
      </c>
      <c r="O28" s="310">
        <f>'05-POA PROM DEFENSA DERECHOS'!V31</f>
        <v>678</v>
      </c>
      <c r="P28" s="310">
        <f>'05-POA PROM DEFENSA DERECHOS'!W31</f>
        <v>602</v>
      </c>
      <c r="Q28" s="310">
        <f>+'05-POA PROM DEFENSA DERECHOS'!AD31</f>
        <v>702</v>
      </c>
      <c r="R28" s="542">
        <f>+'05-POA PROM DEFENSA DERECHOS'!AE31</f>
        <v>847</v>
      </c>
      <c r="S28" s="310">
        <f>+'05-POA PROM DEFENSA DERECHOS'!AL31</f>
        <v>703</v>
      </c>
      <c r="T28" s="310">
        <f>+'05-POA PROM DEFENSA DERECHOS'!AM31</f>
        <v>810</v>
      </c>
      <c r="U28" s="310">
        <f>+'05-POA PROM DEFENSA DERECHOS'!AT31</f>
        <v>688</v>
      </c>
      <c r="V28" s="310">
        <f>+'05-POA PROM DEFENSA DERECHOS'!AU31</f>
        <v>811</v>
      </c>
      <c r="W28" s="310">
        <f>'05-POA PROM DEFENSA DERECHOS'!AV31</f>
        <v>2771</v>
      </c>
      <c r="X28" s="310">
        <f>+'05-POA PROM DEFENSA DERECHOS'!AV31</f>
        <v>2771</v>
      </c>
      <c r="Y28" s="312">
        <f t="shared" si="7"/>
        <v>3070</v>
      </c>
      <c r="Z28" s="608">
        <f t="shared" si="6"/>
        <v>1.1079032840129917</v>
      </c>
      <c r="AA28" s="313">
        <f t="shared" si="3"/>
        <v>0.39813253793282322</v>
      </c>
      <c r="AB28" s="319">
        <f t="shared" si="4"/>
        <v>3.981325379328232E-3</v>
      </c>
      <c r="AC28" s="1193"/>
      <c r="AE28" s="316">
        <f>+'05-POA PROM DEFENSA DERECHOS'!BD31</f>
        <v>1.1079032840129917</v>
      </c>
      <c r="AF28" s="318">
        <f t="shared" si="0"/>
        <v>0</v>
      </c>
      <c r="AH28" s="316">
        <f>+'05-POA PROM DEFENSA DERECHOS'!BH31</f>
        <v>0.39813253793282322</v>
      </c>
      <c r="AI28" s="318">
        <f t="shared" si="5"/>
        <v>0</v>
      </c>
    </row>
    <row r="29" spans="2:35" ht="105">
      <c r="B29" s="1452"/>
      <c r="C29" s="1461"/>
      <c r="D29" s="27" t="str">
        <f>+'01-FR-03 POA INSTITUCIONAL'!D29</f>
        <v>1.2.6 Realizar 738 seguimientos a la amenaza y vulneración de los derechos, con énfasis en sujetos de especial protección constitucional, en particular, persona mayor, mujer y población migrante</v>
      </c>
      <c r="E29" s="38">
        <f>+'01-FR-03 POA INSTITUCIONAL'!E29</f>
        <v>0.01</v>
      </c>
      <c r="F29" s="111">
        <f>+'01-FR-03 POA INSTITUCIONAL'!F29</f>
        <v>712</v>
      </c>
      <c r="G29" s="1030" t="str">
        <f>+'01-FR-03 POA INSTITUCIONAL'!G29</f>
        <v>S.I.</v>
      </c>
      <c r="H29" s="113" t="str">
        <f>+'01-FR-03 POA INSTITUCIONAL'!H29</f>
        <v>Seguimientos a la Amenaza y Vulneración de los Derechos Realizados</v>
      </c>
      <c r="I29" s="114" t="str">
        <f>+'01-FR-03 POA INSTITUCIONAL'!I29</f>
        <v>Promoción y Defensa de Derechos</v>
      </c>
      <c r="J29" s="115"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116">
        <f>+'01-FR-03 POA INSTITUCIONAL'!K29</f>
        <v>228</v>
      </c>
      <c r="L29" s="116">
        <f>+'01-FR-03 POA INSTITUCIONAL'!L29</f>
        <v>208</v>
      </c>
      <c r="M29" s="116">
        <f>+'01-FR-03 POA INSTITUCIONAL'!M29</f>
        <v>182</v>
      </c>
      <c r="N29" s="116">
        <f>+'01-FR-03 POA INSTITUCIONAL'!N29</f>
        <v>120</v>
      </c>
      <c r="O29" s="310">
        <f>'05-POA PROM DEFENSA DERECHOS'!V32</f>
        <v>45</v>
      </c>
      <c r="P29" s="310">
        <f>'05-POA PROM DEFENSA DERECHOS'!W32</f>
        <v>88</v>
      </c>
      <c r="Q29" s="310">
        <f>+'05-POA PROM DEFENSA DERECHOS'!AD32</f>
        <v>64</v>
      </c>
      <c r="R29" s="542">
        <f>+'05-POA PROM DEFENSA DERECHOS'!AE32</f>
        <v>94</v>
      </c>
      <c r="S29" s="310">
        <f>+'05-POA PROM DEFENSA DERECHOS'!AL32</f>
        <v>57</v>
      </c>
      <c r="T29" s="310">
        <f>+'05-POA PROM DEFENSA DERECHOS'!AM32</f>
        <v>87</v>
      </c>
      <c r="U29" s="310">
        <f>+'05-POA PROM DEFENSA DERECHOS'!AT32</f>
        <v>42</v>
      </c>
      <c r="V29" s="310">
        <f>+'05-POA PROM DEFENSA DERECHOS'!AU32</f>
        <v>80</v>
      </c>
      <c r="W29" s="310">
        <f>'05-POA PROM DEFENSA DERECHOS'!AV32</f>
        <v>208</v>
      </c>
      <c r="X29" s="310">
        <f>+'05-POA PROM DEFENSA DERECHOS'!AV32</f>
        <v>208</v>
      </c>
      <c r="Y29" s="312">
        <f t="shared" si="7"/>
        <v>349</v>
      </c>
      <c r="Z29" s="608">
        <f t="shared" si="6"/>
        <v>1.6778846153846154</v>
      </c>
      <c r="AA29" s="313">
        <f t="shared" si="3"/>
        <v>0.4901685393258427</v>
      </c>
      <c r="AB29" s="319">
        <f t="shared" si="4"/>
        <v>4.9016853932584269E-3</v>
      </c>
      <c r="AC29" s="1194"/>
      <c r="AE29" s="316">
        <f>+'05-POA PROM DEFENSA DERECHOS'!BD32</f>
        <v>1.6778846153846154</v>
      </c>
      <c r="AF29" s="318">
        <f t="shared" si="0"/>
        <v>0</v>
      </c>
      <c r="AH29" s="316">
        <f>+'05-POA PROM DEFENSA DERECHOS'!BH32</f>
        <v>0.4901685393258427</v>
      </c>
      <c r="AI29" s="318">
        <f t="shared" si="5"/>
        <v>0</v>
      </c>
    </row>
    <row r="30" spans="2:35" ht="90" customHeight="1">
      <c r="B30" s="1452"/>
      <c r="C30" s="1460" t="s">
        <v>133</v>
      </c>
      <c r="D30" s="27" t="str">
        <f>+'01-FR-03 POA INSTITUCIONAL'!D30</f>
        <v>1.3.1 Realizar 20 actividades que permitan el acercamiento de la Entidad a la Comunidad.</v>
      </c>
      <c r="E30" s="38">
        <f>+'01-FR-03 POA INSTITUCIONAL'!E30</f>
        <v>0.56000000000000005</v>
      </c>
      <c r="F30" s="111">
        <f>+'01-FR-03 POA INSTITUCIONAL'!F30</f>
        <v>20</v>
      </c>
      <c r="G30" s="1030" t="str">
        <f>+'01-FR-03 POA INSTITUCIONAL'!G30</f>
        <v>S.I.</v>
      </c>
      <c r="H30" s="113" t="str">
        <f>+'01-FR-03 POA INSTITUCIONAL'!H30</f>
        <v>Actividades de acercamiento de la Entidad a la comunidad realizadas</v>
      </c>
      <c r="I30" s="114" t="str">
        <f>+'01-FR-03 POA INSTITUCIONAL'!I30</f>
        <v>Promoción y Defensa de Derechos</v>
      </c>
      <c r="J30" s="115" t="str">
        <f>+'01-FR-03 POA INSTITUCIONAL'!J30</f>
        <v>P.D. para la Coordinación del MP y DDHH y sus dependencias adscritas
 P.D. para la Coordinación de la Gestión de Personerías Locales y sus Personerías Locales adscritas</v>
      </c>
      <c r="K30" s="116">
        <f>+'01-FR-03 POA INSTITUCIONAL'!K30</f>
        <v>2</v>
      </c>
      <c r="L30" s="116">
        <f>+'01-FR-03 POA INSTITUCIONAL'!L30</f>
        <v>8</v>
      </c>
      <c r="M30" s="116">
        <f>+'01-FR-03 POA INSTITUCIONAL'!M30</f>
        <v>8</v>
      </c>
      <c r="N30" s="116">
        <f>+'01-FR-03 POA INSTITUCIONAL'!N30</f>
        <v>2</v>
      </c>
      <c r="O30" s="310">
        <f>'05-POA PROM DEFENSA DERECHOS'!V33</f>
        <v>0</v>
      </c>
      <c r="P30" s="310">
        <f>'05-POA PROM DEFENSA DERECHOS'!W33</f>
        <v>0.2</v>
      </c>
      <c r="Q30" s="310">
        <f>+'05-POA PROM DEFENSA DERECHOS'!AD33</f>
        <v>2</v>
      </c>
      <c r="R30" s="542">
        <f>+'05-POA PROM DEFENSA DERECHOS'!AE33</f>
        <v>1.8000000000000003</v>
      </c>
      <c r="S30" s="310">
        <f>+'05-POA PROM DEFENSA DERECHOS'!AL33</f>
        <v>5</v>
      </c>
      <c r="T30" s="310">
        <f>+'05-POA PROM DEFENSA DERECHOS'!AM33</f>
        <v>2.6</v>
      </c>
      <c r="U30" s="310">
        <f>+'05-POA PROM DEFENSA DERECHOS'!AT33</f>
        <v>1</v>
      </c>
      <c r="V30" s="310">
        <f>+'05-POA PROM DEFENSA DERECHOS'!AU33</f>
        <v>3.4</v>
      </c>
      <c r="W30" s="310">
        <f>'05-POA PROM DEFENSA DERECHOS'!AV33</f>
        <v>8</v>
      </c>
      <c r="X30" s="310">
        <f>+'05-POA PROM DEFENSA DERECHOS'!AV33</f>
        <v>8</v>
      </c>
      <c r="Y30" s="312">
        <f t="shared" si="7"/>
        <v>8</v>
      </c>
      <c r="Z30" s="608">
        <f t="shared" ref="Z30:Z31" si="8">IF(AND($X30&gt;0),Y30/$X30,"No programado")</f>
        <v>1</v>
      </c>
      <c r="AA30" s="313">
        <f t="shared" si="3"/>
        <v>0.4</v>
      </c>
      <c r="AB30" s="319">
        <f t="shared" si="4"/>
        <v>0.22400000000000003</v>
      </c>
      <c r="AC30" s="1192">
        <f>+AB30+AB31+AB32</f>
        <v>0.33604545454545459</v>
      </c>
      <c r="AE30" s="316">
        <f>+'05-POA PROM DEFENSA DERECHOS'!BD33</f>
        <v>1</v>
      </c>
      <c r="AF30" s="318">
        <f t="shared" si="0"/>
        <v>0</v>
      </c>
      <c r="AH30" s="316">
        <f>+'05-POA PROM DEFENSA DERECHOS'!BH33</f>
        <v>0.4</v>
      </c>
      <c r="AI30" s="318">
        <f t="shared" si="5"/>
        <v>0</v>
      </c>
    </row>
    <row r="31" spans="2:35" ht="92.25" customHeight="1">
      <c r="B31" s="1452"/>
      <c r="C31" s="1462"/>
      <c r="D31" s="27" t="str">
        <f>+'01-FR-03 POA INSTITUCIONAL'!D31</f>
        <v>1.3.2 Incrementar la cobertura de los servicios que presta el proceso de Promoción y Defensa de Derechos, mediante la implementación de 11 acciones que propendan por el mejoramiento de los mismos.</v>
      </c>
      <c r="E31" s="38">
        <f>+'01-FR-03 POA INSTITUCIONAL'!E31</f>
        <v>0.31</v>
      </c>
      <c r="F31" s="111">
        <f>+'01-FR-03 POA INSTITUCIONAL'!F31</f>
        <v>11</v>
      </c>
      <c r="G31" s="1030" t="str">
        <f>+'01-FR-03 POA INSTITUCIONAL'!G31</f>
        <v>S.I.</v>
      </c>
      <c r="H31" s="113" t="str">
        <f>+'01-FR-03 POA INSTITUCIONAL'!H31</f>
        <v>Acciones realizadas para incrementar la cobertura de los servicios</v>
      </c>
      <c r="I31" s="114" t="str">
        <f>+'01-FR-03 POA INSTITUCIONAL'!I31</f>
        <v>Promoción y Defensa de Derechos</v>
      </c>
      <c r="J31" s="115" t="str">
        <f>+'01-FR-03 POA INSTITUCIONAL'!J31</f>
        <v>P.D. para la Coordinación del MP y DDHH y sus dependencias adscritas
 P.D. para la Coordinación de la Gestión de Personerías Locales y sus Personerías Locales adscritas</v>
      </c>
      <c r="K31" s="116">
        <f>+'01-FR-03 POA INSTITUCIONAL'!K31</f>
        <v>3</v>
      </c>
      <c r="L31" s="116">
        <f>+'01-FR-03 POA INSTITUCIONAL'!L31</f>
        <v>3</v>
      </c>
      <c r="M31" s="116">
        <f>+'01-FR-03 POA INSTITUCIONAL'!M31</f>
        <v>3</v>
      </c>
      <c r="N31" s="116">
        <f>+'01-FR-03 POA INSTITUCIONAL'!N31</f>
        <v>2</v>
      </c>
      <c r="O31" s="310">
        <f>'05-POA PROM DEFENSA DERECHOS'!V34</f>
        <v>0</v>
      </c>
      <c r="P31" s="310">
        <f>'05-POA PROM DEFENSA DERECHOS'!W34</f>
        <v>0</v>
      </c>
      <c r="Q31" s="310">
        <f>+'05-POA PROM DEFENSA DERECHOS'!AD34</f>
        <v>0</v>
      </c>
      <c r="R31" s="542">
        <f>+'05-POA PROM DEFENSA DERECHOS'!AE34</f>
        <v>0</v>
      </c>
      <c r="S31" s="310">
        <f>+'05-POA PROM DEFENSA DERECHOS'!AL34</f>
        <v>3</v>
      </c>
      <c r="T31" s="310">
        <f>+'05-POA PROM DEFENSA DERECHOS'!AM34</f>
        <v>1</v>
      </c>
      <c r="U31" s="310">
        <f>+'05-POA PROM DEFENSA DERECHOS'!AT34</f>
        <v>0</v>
      </c>
      <c r="V31" s="310">
        <f>+'05-POA PROM DEFENSA DERECHOS'!AU34</f>
        <v>2</v>
      </c>
      <c r="W31" s="310">
        <f>'05-POA PROM DEFENSA DERECHOS'!AV34</f>
        <v>3</v>
      </c>
      <c r="X31" s="310">
        <f>+'05-POA PROM DEFENSA DERECHOS'!AV34</f>
        <v>3</v>
      </c>
      <c r="Y31" s="312">
        <f t="shared" si="7"/>
        <v>3</v>
      </c>
      <c r="Z31" s="608">
        <f t="shared" si="8"/>
        <v>1</v>
      </c>
      <c r="AA31" s="313">
        <f t="shared" si="3"/>
        <v>0.27272727272727271</v>
      </c>
      <c r="AB31" s="319">
        <f t="shared" si="4"/>
        <v>8.4545454545454535E-2</v>
      </c>
      <c r="AC31" s="1193"/>
      <c r="AE31" s="316">
        <f>+'05-POA PROM DEFENSA DERECHOS'!BD34</f>
        <v>1</v>
      </c>
      <c r="AF31" s="318">
        <f t="shared" si="0"/>
        <v>0</v>
      </c>
      <c r="AH31" s="316">
        <f>+'05-POA PROM DEFENSA DERECHOS'!BH34</f>
        <v>0.27272727272727271</v>
      </c>
      <c r="AI31" s="318">
        <f t="shared" si="5"/>
        <v>0</v>
      </c>
    </row>
    <row r="32" spans="2:35" ht="83.25" customHeight="1">
      <c r="B32" s="1452"/>
      <c r="C32" s="1462"/>
      <c r="D32" s="27" t="str">
        <f>+'01-FR-03 POA INSTITUCIONAL'!D32</f>
        <v>1.3.3 Implementar 4 herramientas para la promoción y prevención a infracciones del Derecho Internacional Humanitario en el Distrito Capital</v>
      </c>
      <c r="E32" s="38">
        <f>+'01-FR-03 POA INSTITUCIONAL'!E32</f>
        <v>0.11</v>
      </c>
      <c r="F32" s="111">
        <f>+'01-FR-03 POA INSTITUCIONAL'!F32</f>
        <v>4</v>
      </c>
      <c r="G32" s="1030" t="str">
        <f>+'01-FR-03 POA INSTITUCIONAL'!G32</f>
        <v>S.I.</v>
      </c>
      <c r="H32" s="113" t="str">
        <f>+'01-FR-03 POA INSTITUCIONAL'!H32</f>
        <v>Herramientas de promoción y prevención a infracciones del Derecho Internacional Humanitario implementadas</v>
      </c>
      <c r="I32" s="114" t="str">
        <f>+'01-FR-03 POA INSTITUCIONAL'!I32</f>
        <v>Promoción y Defensa de Derechos</v>
      </c>
      <c r="J32" s="115" t="str">
        <f>+'01-FR-03 POA INSTITUCIONAL'!J32</f>
        <v>P.D. para la Coordinación del MP y DDHH y sus dependencias adscritas
 P.D. para la Coordinación de la Gestión de Personerías Locales y sus Personerías Locales adscritas</v>
      </c>
      <c r="K32" s="116">
        <f>+'01-FR-03 POA INSTITUCIONAL'!K32</f>
        <v>1</v>
      </c>
      <c r="L32" s="116">
        <f>+'01-FR-03 POA INSTITUCIONAL'!L32</f>
        <v>1</v>
      </c>
      <c r="M32" s="116">
        <f>+'01-FR-03 POA INSTITUCIONAL'!M32</f>
        <v>1</v>
      </c>
      <c r="N32" s="116">
        <f>+'01-FR-03 POA INSTITUCIONAL'!N32</f>
        <v>1</v>
      </c>
      <c r="O32" s="310">
        <f>'05-POA PROM DEFENSA DERECHOS'!V35</f>
        <v>0</v>
      </c>
      <c r="P32" s="310">
        <f>'05-POA PROM DEFENSA DERECHOS'!W35</f>
        <v>0</v>
      </c>
      <c r="Q32" s="310">
        <f>+'05-POA PROM DEFENSA DERECHOS'!AD35</f>
        <v>0</v>
      </c>
      <c r="R32" s="542">
        <f>+'05-POA PROM DEFENSA DERECHOS'!AE35</f>
        <v>0</v>
      </c>
      <c r="S32" s="310">
        <f>+'05-POA PROM DEFENSA DERECHOS'!AL35</f>
        <v>0</v>
      </c>
      <c r="T32" s="310">
        <f>+'05-POA PROM DEFENSA DERECHOS'!AM35</f>
        <v>0</v>
      </c>
      <c r="U32" s="310">
        <f>+'05-POA PROM DEFENSA DERECHOS'!AT35</f>
        <v>1</v>
      </c>
      <c r="V32" s="310">
        <f>+'05-POA PROM DEFENSA DERECHOS'!AU35</f>
        <v>1</v>
      </c>
      <c r="W32" s="310">
        <f>'05-POA PROM DEFENSA DERECHOS'!AV35</f>
        <v>1</v>
      </c>
      <c r="X32" s="310">
        <f>+'05-POA PROM DEFENSA DERECHOS'!AV35</f>
        <v>1</v>
      </c>
      <c r="Y32" s="312">
        <f t="shared" si="7"/>
        <v>1</v>
      </c>
      <c r="Z32" s="608">
        <f t="shared" ref="Z32:Z40" si="9">IF(AND($X32&gt;0),Y32/$X32,"No programado")</f>
        <v>1</v>
      </c>
      <c r="AA32" s="313">
        <f t="shared" si="3"/>
        <v>0.25</v>
      </c>
      <c r="AB32" s="319">
        <f t="shared" si="4"/>
        <v>2.75E-2</v>
      </c>
      <c r="AC32" s="1193"/>
      <c r="AE32" s="316">
        <f>+'05-POA PROM DEFENSA DERECHOS'!BD35</f>
        <v>1</v>
      </c>
      <c r="AF32" s="318">
        <f t="shared" si="0"/>
        <v>0</v>
      </c>
      <c r="AH32" s="316">
        <f>+'05-POA PROM DEFENSA DERECHOS'!BH35</f>
        <v>0.25</v>
      </c>
      <c r="AI32" s="318">
        <f t="shared" si="5"/>
        <v>0</v>
      </c>
    </row>
    <row r="33" spans="2:35" ht="102" customHeight="1">
      <c r="B33" s="1454" t="s">
        <v>134</v>
      </c>
      <c r="C33" s="1457" t="s">
        <v>135</v>
      </c>
      <c r="D33" s="123" t="str">
        <f>+'01-FR-03 POA INSTITUCIONAL'!D33</f>
        <v>2.1.1 Realizar 16 informes en los cuales se evalúen las políticas ambientales, el manejo de recursos hídricos, protección y bienestar animal y desarrollo urbano en el Distrito Capital.</v>
      </c>
      <c r="E33" s="124">
        <f>+'01-FR-03 POA INSTITUCIONAL'!E33</f>
        <v>0.72727272727272696</v>
      </c>
      <c r="F33" s="125">
        <f>+'01-FR-03 POA INSTITUCIONAL'!F33</f>
        <v>16</v>
      </c>
      <c r="G33" s="126" t="str">
        <f>+'01-FR-03 POA INSTITUCIONAL'!G33</f>
        <v>S.I.</v>
      </c>
      <c r="H33" s="127" t="str">
        <f>+'01-FR-03 POA INSTITUCIONAL'!H33</f>
        <v>Informes realizados en temas específicos.</v>
      </c>
      <c r="I33" s="128" t="str">
        <f>+'01-FR-03 POA INSTITUCIONAL'!I33</f>
        <v>Prevención y Control a la Función Pública</v>
      </c>
      <c r="J33" s="129"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K33" s="130">
        <f>+'01-FR-03 POA INSTITUCIONAL'!K33</f>
        <v>2</v>
      </c>
      <c r="L33" s="130">
        <f>+'01-FR-03 POA INSTITUCIONAL'!L33</f>
        <v>7</v>
      </c>
      <c r="M33" s="130">
        <f>+'01-FR-03 POA INSTITUCIONAL'!M33</f>
        <v>6</v>
      </c>
      <c r="N33" s="130">
        <f>+'01-FR-03 POA INSTITUCIONAL'!N33</f>
        <v>1</v>
      </c>
      <c r="O33" s="314">
        <f>+'06-PREV CTRL FUN PÚBLICA'!V16</f>
        <v>0</v>
      </c>
      <c r="P33" s="314">
        <f>+'06-PREV CTRL FUN PÚBLICA'!W16</f>
        <v>0</v>
      </c>
      <c r="Q33" s="314">
        <f>+'06-PREV CTRL FUN PÚBLICA'!AD16</f>
        <v>2</v>
      </c>
      <c r="R33" s="314">
        <f>+'06-PREV CTRL FUN PÚBLICA'!AE16</f>
        <v>0</v>
      </c>
      <c r="S33" s="314">
        <f>+'06-PREV CTRL FUN PÚBLICA'!AL16</f>
        <v>0</v>
      </c>
      <c r="T33" s="314">
        <f>+'06-PREV CTRL FUN PÚBLICA'!AM16</f>
        <v>2</v>
      </c>
      <c r="U33" s="314">
        <f>+'06-PREV CTRL FUN PÚBLICA'!AT16</f>
        <v>5</v>
      </c>
      <c r="V33" s="314">
        <f>+'06-PREV CTRL FUN PÚBLICA'!AU16</f>
        <v>5</v>
      </c>
      <c r="W33" s="314">
        <f>'06-PREV CTRL FUN PÚBLICA'!AN16+'06-PREV CTRL FUN PÚBLICA'!AP16</f>
        <v>4</v>
      </c>
      <c r="X33" s="314">
        <f>+'06-PREV CTRL FUN PÚBLICA'!AV16</f>
        <v>7</v>
      </c>
      <c r="Y33" s="321">
        <f t="shared" si="7"/>
        <v>7</v>
      </c>
      <c r="Z33" s="610">
        <f t="shared" si="9"/>
        <v>1</v>
      </c>
      <c r="AA33" s="324">
        <f>IF(AND(Y33&gt;0,$F33&gt;0),Y33/$F33,0)</f>
        <v>0.4375</v>
      </c>
      <c r="AB33" s="325">
        <f>IF(AND(AA33&gt;0,E33&gt;0),AA33*E33,0)</f>
        <v>0.31818181818181807</v>
      </c>
      <c r="AC33" s="1419">
        <f>+AB33+AB34</f>
        <v>0.36363636363636354</v>
      </c>
      <c r="AE33" s="316">
        <f>+'06-PREV CTRL FUN PÚBLICA'!BD16</f>
        <v>1</v>
      </c>
      <c r="AF33" s="318">
        <f t="shared" si="0"/>
        <v>0</v>
      </c>
      <c r="AH33" s="316">
        <f>+'06-PREV CTRL FUN PÚBLICA'!BH16</f>
        <v>0.4375</v>
      </c>
      <c r="AI33" s="318">
        <f t="shared" si="5"/>
        <v>0</v>
      </c>
    </row>
    <row r="34" spans="2:35" ht="120" customHeight="1">
      <c r="B34" s="1455"/>
      <c r="C34" s="1458"/>
      <c r="D34" s="123"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4" s="124">
        <f>+'01-FR-03 POA INSTITUCIONAL'!E34</f>
        <v>0.27272727272727298</v>
      </c>
      <c r="F34" s="125">
        <f>+'01-FR-03 POA INSTITUCIONAL'!F34</f>
        <v>6</v>
      </c>
      <c r="G34" s="126" t="str">
        <f>+'01-FR-03 POA INSTITUCIONAL'!G34</f>
        <v>S.I.</v>
      </c>
      <c r="H34" s="127" t="str">
        <f>+'01-FR-03 POA INSTITUCIONAL'!H34</f>
        <v>Informes de seguimientos realizados en temas específicos.</v>
      </c>
      <c r="I34" s="128" t="str">
        <f>+'01-FR-03 POA INSTITUCIONAL'!I34</f>
        <v>Prevención y Control a la Función Pública</v>
      </c>
      <c r="J34" s="129"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130">
        <f>+'01-FR-03 POA INSTITUCIONAL'!K34</f>
        <v>1</v>
      </c>
      <c r="L34" s="130">
        <f>+'01-FR-03 POA INSTITUCIONAL'!L34</f>
        <v>1</v>
      </c>
      <c r="M34" s="130">
        <f>+'01-FR-03 POA INSTITUCIONAL'!M34</f>
        <v>3</v>
      </c>
      <c r="N34" s="130">
        <f>+'01-FR-03 POA INSTITUCIONAL'!N34</f>
        <v>1</v>
      </c>
      <c r="O34" s="314">
        <f>+'06-PREV CTRL FUN PÚBLICA'!V17</f>
        <v>0</v>
      </c>
      <c r="P34" s="314">
        <f>+'06-PREV CTRL FUN PÚBLICA'!W17</f>
        <v>0</v>
      </c>
      <c r="Q34" s="314">
        <f>+'06-PREV CTRL FUN PÚBLICA'!AD17</f>
        <v>0</v>
      </c>
      <c r="R34" s="314">
        <f>+'06-PREV CTRL FUN PÚBLICA'!AE17</f>
        <v>0</v>
      </c>
      <c r="S34" s="314">
        <f>+'06-PREV CTRL FUN PÚBLICA'!AL17</f>
        <v>0</v>
      </c>
      <c r="T34" s="314">
        <f>+'06-PREV CTRL FUN PÚBLICA'!AM17</f>
        <v>0</v>
      </c>
      <c r="U34" s="314">
        <f>+'06-PREV CTRL FUN PÚBLICA'!AT17</f>
        <v>1</v>
      </c>
      <c r="V34" s="314">
        <f>+'06-PREV CTRL FUN PÚBLICA'!AU17</f>
        <v>1</v>
      </c>
      <c r="W34" s="314">
        <f>'06-PREV CTRL FUN PÚBLICA'!AN17+'06-PREV CTRL FUN PÚBLICA'!AP17</f>
        <v>1</v>
      </c>
      <c r="X34" s="314">
        <f>+'06-PREV CTRL FUN PÚBLICA'!AV17</f>
        <v>1</v>
      </c>
      <c r="Y34" s="321">
        <f t="shared" si="7"/>
        <v>1</v>
      </c>
      <c r="Z34" s="610">
        <f t="shared" si="9"/>
        <v>1</v>
      </c>
      <c r="AA34" s="324">
        <f t="shared" ref="AA34:AA48" si="10">IF(AND(Y34&gt;0,$F34&gt;0),Y34/$F34,0)</f>
        <v>0.16666666666666666</v>
      </c>
      <c r="AB34" s="325">
        <f t="shared" ref="AB34:AB38" si="11">IF(AND(AA34&gt;0,E34&gt;0),AA34*E34,0)</f>
        <v>4.5454545454545497E-2</v>
      </c>
      <c r="AC34" s="1187"/>
      <c r="AE34" s="316">
        <f>+'06-PREV CTRL FUN PÚBLICA'!BD17</f>
        <v>1</v>
      </c>
      <c r="AF34" s="318">
        <f t="shared" si="0"/>
        <v>0</v>
      </c>
      <c r="AH34" s="316">
        <f>+'06-PREV CTRL FUN PÚBLICA'!BH17</f>
        <v>0.16666666666666666</v>
      </c>
      <c r="AI34" s="318">
        <f t="shared" si="5"/>
        <v>0</v>
      </c>
    </row>
    <row r="35" spans="2:35" ht="100.5" customHeight="1">
      <c r="B35" s="1455"/>
      <c r="C35" s="1457" t="s">
        <v>136</v>
      </c>
      <c r="D35" s="123" t="str">
        <f>+'01-FR-03 POA INSTITUCIONAL'!D35</f>
        <v>2.2.1 Realizar 817 acciones de prevención y control a la función pública para fortalecer la moralidad pública.</v>
      </c>
      <c r="E35" s="124">
        <f>+'01-FR-03 POA INSTITUCIONAL'!E35</f>
        <v>0.92840909090909096</v>
      </c>
      <c r="F35" s="125">
        <f>+'01-FR-03 POA INSTITUCIONAL'!F35</f>
        <v>817</v>
      </c>
      <c r="G35" s="126" t="str">
        <f>+'01-FR-03 POA INSTITUCIONAL'!G35</f>
        <v>S.I.</v>
      </c>
      <c r="H35" s="127" t="str">
        <f>+'01-FR-03 POA INSTITUCIONAL'!H35</f>
        <v>Acciones de Prevención y Control a la Función Pública realizadas, con informe.</v>
      </c>
      <c r="I35" s="128" t="str">
        <f>+'01-FR-03 POA INSTITUCIONAL'!I35</f>
        <v>Prevención y Control a la Función Pública</v>
      </c>
      <c r="J35" s="129"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130">
        <f>+'01-FR-03 POA INSTITUCIONAL'!K35</f>
        <v>200</v>
      </c>
      <c r="L35" s="130">
        <f>+'01-FR-03 POA INSTITUCIONAL'!L35</f>
        <v>286</v>
      </c>
      <c r="M35" s="130">
        <f>+'01-FR-03 POA INSTITUCIONAL'!M35</f>
        <v>259</v>
      </c>
      <c r="N35" s="130">
        <f>+'01-FR-03 POA INSTITUCIONAL'!N35</f>
        <v>72</v>
      </c>
      <c r="O35" s="314">
        <f>+'06-PREV CTRL FUN PÚBLICA'!V18</f>
        <v>41</v>
      </c>
      <c r="P35" s="314">
        <f>+'06-PREV CTRL FUN PÚBLICA'!W18</f>
        <v>16</v>
      </c>
      <c r="Q35" s="314">
        <f>+'06-PREV CTRL FUN PÚBLICA'!AD18</f>
        <v>77</v>
      </c>
      <c r="R35" s="314">
        <f>+'06-PREV CTRL FUN PÚBLICA'!AE18</f>
        <v>97</v>
      </c>
      <c r="S35" s="314">
        <f>+'06-PREV CTRL FUN PÚBLICA'!AL18</f>
        <v>114</v>
      </c>
      <c r="T35" s="314">
        <f>+'06-PREV CTRL FUN PÚBLICA'!AM18</f>
        <v>74</v>
      </c>
      <c r="U35" s="314">
        <f>+'06-PREV CTRL FUN PÚBLICA'!AT18</f>
        <v>54</v>
      </c>
      <c r="V35" s="314">
        <f>+'06-PREV CTRL FUN PÚBLICA'!AU18</f>
        <v>106</v>
      </c>
      <c r="W35" s="314">
        <f>'06-PREV CTRL FUN PÚBLICA'!AN18+'06-PREV CTRL FUN PÚBLICA'!AP18</f>
        <v>54</v>
      </c>
      <c r="X35" s="314">
        <f>+'06-PREV CTRL FUN PÚBLICA'!AV18</f>
        <v>286</v>
      </c>
      <c r="Y35" s="321">
        <f t="shared" si="7"/>
        <v>293</v>
      </c>
      <c r="Z35" s="610">
        <f t="shared" si="9"/>
        <v>1.0244755244755244</v>
      </c>
      <c r="AA35" s="324">
        <f t="shared" si="10"/>
        <v>0.35862913096695226</v>
      </c>
      <c r="AB35" s="325">
        <f t="shared" si="11"/>
        <v>0.33295454545454545</v>
      </c>
      <c r="AC35" s="1419">
        <f>+AB35+AB36</f>
        <v>0.40909090909090906</v>
      </c>
      <c r="AE35" s="316">
        <f>+'06-PREV CTRL FUN PÚBLICA'!BD18</f>
        <v>1.0244755244755244</v>
      </c>
      <c r="AF35" s="318">
        <f t="shared" si="0"/>
        <v>0</v>
      </c>
      <c r="AH35" s="316">
        <f>+'06-PREV CTRL FUN PÚBLICA'!BH18</f>
        <v>0.35862913096695226</v>
      </c>
      <c r="AI35" s="318">
        <f t="shared" si="5"/>
        <v>0</v>
      </c>
    </row>
    <row r="36" spans="2:35" ht="100.5" customHeight="1">
      <c r="B36" s="1455"/>
      <c r="C36" s="1458"/>
      <c r="D36" s="123" t="str">
        <f>+'01-FR-03 POA INSTITUCIONAL'!D36</f>
        <v>2.2.2 Realizar 135 acciones de prevención y control a la función pública - seguimientos, para fortalecer la moralidad pública en el Distrito Capital.</v>
      </c>
      <c r="E36" s="124">
        <f>+'01-FR-03 POA INSTITUCIONAL'!E36</f>
        <v>0.15340909090909091</v>
      </c>
      <c r="F36" s="125">
        <f>+'01-FR-03 POA INSTITUCIONAL'!F36</f>
        <v>135</v>
      </c>
      <c r="G36" s="126" t="str">
        <f>+'01-FR-03 POA INSTITUCIONAL'!G36</f>
        <v>S.I.</v>
      </c>
      <c r="H36" s="127" t="str">
        <f>+'01-FR-03 POA INSTITUCIONAL'!H36</f>
        <v>Seguimientos realizados sobre acciones previas, con informe</v>
      </c>
      <c r="I36" s="128" t="str">
        <f>+'01-FR-03 POA INSTITUCIONAL'!I36</f>
        <v>Prevención y Control a la Función Pública</v>
      </c>
      <c r="J36" s="129"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130">
        <f>+'01-FR-03 POA INSTITUCIONAL'!K36</f>
        <v>28</v>
      </c>
      <c r="L36" s="130">
        <f>+'01-FR-03 POA INSTITUCIONAL'!L36</f>
        <v>67</v>
      </c>
      <c r="M36" s="130">
        <f>+'01-FR-03 POA INSTITUCIONAL'!M36</f>
        <v>30</v>
      </c>
      <c r="N36" s="130">
        <f>+'01-FR-03 POA INSTITUCIONAL'!N36</f>
        <v>10</v>
      </c>
      <c r="O36" s="314">
        <f>+'06-PREV CTRL FUN PÚBLICA'!V19</f>
        <v>1</v>
      </c>
      <c r="P36" s="314">
        <f>+'06-PREV CTRL FUN PÚBLICA'!W19</f>
        <v>2</v>
      </c>
      <c r="Q36" s="314">
        <f>+'06-PREV CTRL FUN PÚBLICA'!AD19</f>
        <v>20</v>
      </c>
      <c r="R36" s="314">
        <f>+'06-PREV CTRL FUN PÚBLICA'!AE19</f>
        <v>9</v>
      </c>
      <c r="S36" s="314">
        <f>+'06-PREV CTRL FUN PÚBLICA'!AL19</f>
        <v>43</v>
      </c>
      <c r="T36" s="314">
        <f>+'06-PREV CTRL FUN PÚBLICA'!AM19</f>
        <v>18</v>
      </c>
      <c r="U36" s="314">
        <f>+'06-PREV CTRL FUN PÚBLICA'!AT19</f>
        <v>3</v>
      </c>
      <c r="V36" s="314">
        <f>+'06-PREV CTRL FUN PÚBLICA'!AU19</f>
        <v>38</v>
      </c>
      <c r="W36" s="314">
        <f>'06-PREV CTRL FUN PÚBLICA'!AN19+'06-PREV CTRL FUN PÚBLICA'!AP19</f>
        <v>3</v>
      </c>
      <c r="X36" s="314">
        <f>+'06-PREV CTRL FUN PÚBLICA'!AV19</f>
        <v>67</v>
      </c>
      <c r="Y36" s="321">
        <f t="shared" si="7"/>
        <v>67</v>
      </c>
      <c r="Z36" s="610">
        <f t="shared" si="9"/>
        <v>1</v>
      </c>
      <c r="AA36" s="324">
        <f t="shared" si="10"/>
        <v>0.49629629629629629</v>
      </c>
      <c r="AB36" s="325">
        <f t="shared" si="11"/>
        <v>7.6136363636363641E-2</v>
      </c>
      <c r="AC36" s="1187"/>
      <c r="AE36" s="316">
        <f>+'06-PREV CTRL FUN PÚBLICA'!BD19</f>
        <v>1</v>
      </c>
      <c r="AF36" s="318">
        <f t="shared" si="0"/>
        <v>0</v>
      </c>
      <c r="AH36" s="316">
        <f>+'06-PREV CTRL FUN PÚBLICA'!BH19</f>
        <v>0.49629629629629629</v>
      </c>
      <c r="AI36" s="318">
        <f t="shared" si="5"/>
        <v>0</v>
      </c>
    </row>
    <row r="37" spans="2:35" ht="65.25" customHeight="1">
      <c r="B37" s="1455"/>
      <c r="C37" s="1457" t="s">
        <v>137</v>
      </c>
      <c r="D37" s="123" t="str">
        <f>+'01-FR-03 POA INSTITUCIONAL'!D37</f>
        <v>2.3.1 Realizar 60 audiencias públicas y/o mesas de trabajo, las cuales permitan la participación ciudadana, con énfasis en los Derechos e intereses colectivos.</v>
      </c>
      <c r="E37" s="124">
        <f>+'01-FR-03 POA INSTITUCIONAL'!E37</f>
        <v>0.20338983050847459</v>
      </c>
      <c r="F37" s="125">
        <f>+'01-FR-03 POA INSTITUCIONAL'!F37</f>
        <v>60</v>
      </c>
      <c r="G37" s="126">
        <f>+'01-FR-03 POA INSTITUCIONAL'!G37</f>
        <v>75</v>
      </c>
      <c r="H37" s="127" t="str">
        <f>+'01-FR-03 POA INSTITUCIONAL'!H37</f>
        <v>Audiencias públicas y/o mesas de trabajo realizadas.</v>
      </c>
      <c r="I37" s="128" t="str">
        <f>+'01-FR-03 POA INSTITUCIONAL'!I37</f>
        <v>Prevención y Control a la Función Pública</v>
      </c>
      <c r="J37" s="129" t="str">
        <f>+'01-FR-03 POA INSTITUCIONAL'!J37</f>
        <v>Personería Delegada para la Coordinación de Prevención y Control a la Función Pública y sus Personerías Delegadas.</v>
      </c>
      <c r="K37" s="130">
        <f>+'01-FR-03 POA INSTITUCIONAL'!K37</f>
        <v>12</v>
      </c>
      <c r="L37" s="130">
        <f>+'01-FR-03 POA INSTITUCIONAL'!L37</f>
        <v>21</v>
      </c>
      <c r="M37" s="130">
        <f>+'01-FR-03 POA INSTITUCIONAL'!M37</f>
        <v>23</v>
      </c>
      <c r="N37" s="130">
        <f>+'01-FR-03 POA INSTITUCIONAL'!N37</f>
        <v>4</v>
      </c>
      <c r="O37" s="314">
        <f>+'06-PREV CTRL FUN PÚBLICA'!V20</f>
        <v>2</v>
      </c>
      <c r="P37" s="314">
        <f>+'06-PREV CTRL FUN PÚBLICA'!W20</f>
        <v>0</v>
      </c>
      <c r="Q37" s="314">
        <f>+'06-PREV CTRL FUN PÚBLICA'!AD20</f>
        <v>6</v>
      </c>
      <c r="R37" s="314">
        <f>+'06-PREV CTRL FUN PÚBLICA'!AE20</f>
        <v>3</v>
      </c>
      <c r="S37" s="314">
        <f>+'06-PREV CTRL FUN PÚBLICA'!AL20</f>
        <v>5</v>
      </c>
      <c r="T37" s="314">
        <f>+'06-PREV CTRL FUN PÚBLICA'!AM20</f>
        <v>9</v>
      </c>
      <c r="U37" s="314">
        <f>+'06-PREV CTRL FUN PÚBLICA'!AT20</f>
        <v>8</v>
      </c>
      <c r="V37" s="314">
        <f>+'06-PREV CTRL FUN PÚBLICA'!AU20</f>
        <v>11</v>
      </c>
      <c r="W37" s="314">
        <f>'06-PREV CTRL FUN PÚBLICA'!AN20+'06-PREV CTRL FUN PÚBLICA'!AP20</f>
        <v>6</v>
      </c>
      <c r="X37" s="314">
        <f>+'06-PREV CTRL FUN PÚBLICA'!AV20</f>
        <v>21</v>
      </c>
      <c r="Y37" s="321">
        <f t="shared" si="7"/>
        <v>23</v>
      </c>
      <c r="Z37" s="610">
        <f t="shared" si="9"/>
        <v>1.0952380952380953</v>
      </c>
      <c r="AA37" s="324">
        <f t="shared" si="10"/>
        <v>0.38333333333333336</v>
      </c>
      <c r="AB37" s="325">
        <f t="shared" si="11"/>
        <v>7.796610169491526E-2</v>
      </c>
      <c r="AC37" s="1419">
        <f>+AB37+AB38+AB39</f>
        <v>0.49830508474576274</v>
      </c>
      <c r="AE37" s="316">
        <f>+'06-PREV CTRL FUN PÚBLICA'!BD20</f>
        <v>1.0952380952380953</v>
      </c>
      <c r="AF37" s="318">
        <f t="shared" si="0"/>
        <v>0</v>
      </c>
      <c r="AH37" s="316">
        <f>+'06-PREV CTRL FUN PÚBLICA'!BH20</f>
        <v>0.38333333333333336</v>
      </c>
      <c r="AI37" s="318">
        <f t="shared" si="5"/>
        <v>0</v>
      </c>
    </row>
    <row r="38" spans="2:35" ht="63.75" customHeight="1">
      <c r="B38" s="1455"/>
      <c r="C38" s="1459"/>
      <c r="D38" s="123" t="str">
        <f>+'01-FR-03 POA INSTITUCIONAL'!D38</f>
        <v>2.3.2 Realizar 160 acompañamientos a los ciudadanos que intervienen en los diferentes espacios de participación ciudadana.</v>
      </c>
      <c r="E38" s="124">
        <f>+'01-FR-03 POA INSTITUCIONAL'!E38</f>
        <v>0.5423728813559322</v>
      </c>
      <c r="F38" s="125">
        <f>+'01-FR-03 POA INSTITUCIONAL'!F38</f>
        <v>160</v>
      </c>
      <c r="G38" s="126" t="str">
        <f>+'01-FR-03 POA INSTITUCIONAL'!G38</f>
        <v>S.I.</v>
      </c>
      <c r="H38" s="127" t="str">
        <f>+'01-FR-03 POA INSTITUCIONAL'!H38</f>
        <v>Acompañamientos a los ciudadanos realizados.</v>
      </c>
      <c r="I38" s="128" t="str">
        <f>+'01-FR-03 POA INSTITUCIONAL'!I38</f>
        <v>Prevención y Control a la Función Pública</v>
      </c>
      <c r="J38" s="129" t="str">
        <f>+'01-FR-03 POA INSTITUCIONAL'!J38</f>
        <v xml:space="preserve">Personería Delegada para la Coordinación de Gestión de las Personerías Locales y sus Personerías Locales. </v>
      </c>
      <c r="K38" s="130">
        <f>+'01-FR-03 POA INSTITUCIONAL'!K38</f>
        <v>40</v>
      </c>
      <c r="L38" s="130">
        <f>+'01-FR-03 POA INSTITUCIONAL'!L38</f>
        <v>60</v>
      </c>
      <c r="M38" s="130">
        <f>+'01-FR-03 POA INSTITUCIONAL'!M38</f>
        <v>40</v>
      </c>
      <c r="N38" s="130">
        <f>+'01-FR-03 POA INSTITUCIONAL'!N38</f>
        <v>20</v>
      </c>
      <c r="O38" s="314">
        <f>+'06-PREV CTRL FUN PÚBLICA'!V21</f>
        <v>12</v>
      </c>
      <c r="P38" s="314">
        <f>+'06-PREV CTRL FUN PÚBLICA'!W21</f>
        <v>18</v>
      </c>
      <c r="Q38" s="314">
        <f>+'06-PREV CTRL FUN PÚBLICA'!AD21</f>
        <v>18</v>
      </c>
      <c r="R38" s="314">
        <f>+'06-PREV CTRL FUN PÚBLICA'!AE21</f>
        <v>13</v>
      </c>
      <c r="S38" s="314">
        <f>+'06-PREV CTRL FUN PÚBLICA'!AL21</f>
        <v>18</v>
      </c>
      <c r="T38" s="314">
        <f>+'06-PREV CTRL FUN PÚBLICA'!AM21</f>
        <v>7</v>
      </c>
      <c r="U38" s="314">
        <f>+'06-PREV CTRL FUN PÚBLICA'!AT21</f>
        <v>12</v>
      </c>
      <c r="V38" s="314">
        <f>+'06-PREV CTRL FUN PÚBLICA'!AU21</f>
        <v>29</v>
      </c>
      <c r="W38" s="314">
        <f>'06-PREV CTRL FUN PÚBLICA'!AN21+'06-PREV CTRL FUN PÚBLICA'!AP21</f>
        <v>12</v>
      </c>
      <c r="X38" s="314">
        <f>+'06-PREV CTRL FUN PÚBLICA'!AV21</f>
        <v>60</v>
      </c>
      <c r="Y38" s="321">
        <f t="shared" si="7"/>
        <v>67</v>
      </c>
      <c r="Z38" s="610">
        <f t="shared" si="9"/>
        <v>1.1166666666666667</v>
      </c>
      <c r="AA38" s="324">
        <f t="shared" si="10"/>
        <v>0.41875000000000001</v>
      </c>
      <c r="AB38" s="325">
        <f t="shared" si="11"/>
        <v>0.22711864406779661</v>
      </c>
      <c r="AC38" s="1186"/>
      <c r="AE38" s="316">
        <f>+'06-PREV CTRL FUN PÚBLICA'!BD21</f>
        <v>1.1166666666666667</v>
      </c>
      <c r="AF38" s="318">
        <f t="shared" si="0"/>
        <v>0</v>
      </c>
      <c r="AH38" s="316">
        <f>+'06-PREV CTRL FUN PÚBLICA'!BH21</f>
        <v>0.41875000000000001</v>
      </c>
      <c r="AI38" s="318">
        <f t="shared" si="5"/>
        <v>0</v>
      </c>
    </row>
    <row r="39" spans="2:35" ht="102" customHeight="1">
      <c r="B39" s="1456"/>
      <c r="C39" s="1458"/>
      <c r="D39" s="123" t="str">
        <f>+'01-FR-03 POA INSTITUCIONAL'!D39</f>
        <v>2.3.3 Realizar 100 espacios de diálogo con las personas para retroalimentar las actividades de participación ciudadana</v>
      </c>
      <c r="E39" s="124">
        <f>+'01-FR-03 POA INSTITUCIONAL'!E39</f>
        <v>0.33898305084745761</v>
      </c>
      <c r="F39" s="125">
        <f>+'01-FR-03 POA INSTITUCIONAL'!F39</f>
        <v>100</v>
      </c>
      <c r="G39" s="126" t="str">
        <f>+'01-FR-03 POA INSTITUCIONAL'!G39</f>
        <v>S.I.</v>
      </c>
      <c r="H39" s="127" t="str">
        <f>+'01-FR-03 POA INSTITUCIONAL'!H39</f>
        <v>Espacios de dialogo realizados.</v>
      </c>
      <c r="I39" s="128" t="str">
        <f>+'01-FR-03 POA INSTITUCIONAL'!I39</f>
        <v>Prevención y Control a la Función Pública</v>
      </c>
      <c r="J39" s="129" t="str">
        <f>+'01-FR-03 POA INSTITUCIONAL'!J39</f>
        <v>Personería Delegada para la Coordinación de Gestión de las Personerías Locales y sus Personerías Locales. 
Personería Delegada para la Coordinación de Prevención y Control a la Función Pública y sus Personerías Delegadas.</v>
      </c>
      <c r="K39" s="130">
        <f>+'01-FR-03 POA INSTITUCIONAL'!K39</f>
        <v>20</v>
      </c>
      <c r="L39" s="130">
        <f>+'01-FR-03 POA INSTITUCIONAL'!L39</f>
        <v>30</v>
      </c>
      <c r="M39" s="130">
        <f>+'01-FR-03 POA INSTITUCIONAL'!M39</f>
        <v>30</v>
      </c>
      <c r="N39" s="130">
        <f>+'01-FR-03 POA INSTITUCIONAL'!N39</f>
        <v>20</v>
      </c>
      <c r="O39" s="314">
        <f>+'06-PREV CTRL FUN PÚBLICA'!V22</f>
        <v>6</v>
      </c>
      <c r="P39" s="314">
        <f>+'06-PREV CTRL FUN PÚBLICA'!W22</f>
        <v>13</v>
      </c>
      <c r="Q39" s="314">
        <f>+'06-PREV CTRL FUN PÚBLICA'!AD22</f>
        <v>9</v>
      </c>
      <c r="R39" s="314">
        <f>+'06-PREV CTRL FUN PÚBLICA'!AE22</f>
        <v>4</v>
      </c>
      <c r="S39" s="314">
        <f>+'06-PREV CTRL FUN PÚBLICA'!AL22</f>
        <v>9</v>
      </c>
      <c r="T39" s="314">
        <f>+'06-PREV CTRL FUN PÚBLICA'!AM22</f>
        <v>18</v>
      </c>
      <c r="U39" s="314">
        <f>+'06-PREV CTRL FUN PÚBLICA'!AT22</f>
        <v>6</v>
      </c>
      <c r="V39" s="314">
        <f>+'06-PREV CTRL FUN PÚBLICA'!AU22</f>
        <v>22</v>
      </c>
      <c r="W39" s="314">
        <f>'06-PREV CTRL FUN PÚBLICA'!AN22+'06-PREV CTRL FUN PÚBLICA'!AP22</f>
        <v>6</v>
      </c>
      <c r="X39" s="314">
        <f>+'06-PREV CTRL FUN PÚBLICA'!AV22</f>
        <v>30</v>
      </c>
      <c r="Y39" s="321">
        <f t="shared" si="7"/>
        <v>57</v>
      </c>
      <c r="Z39" s="610">
        <f t="shared" si="9"/>
        <v>1.9</v>
      </c>
      <c r="AA39" s="324">
        <f t="shared" si="10"/>
        <v>0.56999999999999995</v>
      </c>
      <c r="AB39" s="325">
        <f>IF(AND(AA39&gt;0,E39&gt;0),AA39*E39,0)</f>
        <v>0.19322033898305083</v>
      </c>
      <c r="AC39" s="1187"/>
      <c r="AE39" s="316">
        <f>+'06-PREV CTRL FUN PÚBLICA'!BD22</f>
        <v>1.9</v>
      </c>
      <c r="AF39" s="318">
        <f t="shared" si="0"/>
        <v>0</v>
      </c>
      <c r="AH39" s="316">
        <f>+'06-PREV CTRL FUN PÚBLICA'!BH22</f>
        <v>0.56999999999999995</v>
      </c>
      <c r="AI39" s="318">
        <f t="shared" si="5"/>
        <v>0</v>
      </c>
    </row>
    <row r="40" spans="2:35" ht="93.75" customHeight="1">
      <c r="B40" s="1451" t="s">
        <v>138</v>
      </c>
      <c r="C40" s="1460" t="s">
        <v>278</v>
      </c>
      <c r="D40" s="27" t="str">
        <f>+'01-FR-03 POA INSTITUCIONAL'!D40</f>
        <v xml:space="preserve">3.1.1 Identificar y decidir de fondo 6,700  procesos, priorizando aquellos que se encuentren con riesgo de prescripción y/o vencidos en su etapa procesal (indagación, investigación y juzgamiento). </v>
      </c>
      <c r="E40" s="38">
        <f>+'01-FR-03 POA INSTITUCIONAL'!E40</f>
        <v>0.8</v>
      </c>
      <c r="F40" s="111">
        <f>+'01-FR-03 POA INSTITUCIONAL'!F40</f>
        <v>6700</v>
      </c>
      <c r="G40" s="1030">
        <f>+'01-FR-03 POA INSTITUCIONAL'!G40</f>
        <v>6287</v>
      </c>
      <c r="H40" s="113" t="str">
        <f>+'01-FR-03 POA INSTITUCIONAL'!H40</f>
        <v>Procesos priorizados identificados y decididos de fondo</v>
      </c>
      <c r="I40" s="114" t="str">
        <f>+'01-FR-03 POA INSTITUCIONAL'!I40</f>
        <v>Potestad Disciplinaria</v>
      </c>
      <c r="J40" s="115" t="str">
        <f>+'01-FR-03 POA INSTITUCIONAL'!J40</f>
        <v>Personería Delegada para la Coordinación de Potestad Disciplinaria</v>
      </c>
      <c r="K40" s="116">
        <f>+'01-FR-03 POA INSTITUCIONAL'!K40</f>
        <v>1600</v>
      </c>
      <c r="L40" s="116">
        <f>+'01-FR-03 POA INSTITUCIONAL'!L40</f>
        <v>1800</v>
      </c>
      <c r="M40" s="116">
        <f>+'01-FR-03 POA INSTITUCIONAL'!M40</f>
        <v>1800</v>
      </c>
      <c r="N40" s="116">
        <f>+'01-FR-03 POA INSTITUCIONAL'!N40</f>
        <v>1500</v>
      </c>
      <c r="O40" s="326">
        <f>+'07-POTESTAD DISCIPLINARIA'!V16</f>
        <v>300</v>
      </c>
      <c r="P40" s="326">
        <f>+'07-POTESTAD DISCIPLINARIA'!W16</f>
        <v>318</v>
      </c>
      <c r="Q40" s="326">
        <f>+'07-POTESTAD DISCIPLINARIA'!AD16</f>
        <v>490</v>
      </c>
      <c r="R40" s="326">
        <f>+'07-POTESTAD DISCIPLINARIA'!AE16</f>
        <v>366</v>
      </c>
      <c r="S40" s="326">
        <f>+'07-POTESTAD DISCIPLINARIA'!AL16</f>
        <v>630</v>
      </c>
      <c r="T40" s="326">
        <f>+'07-POTESTAD DISCIPLINARIA'!AM16</f>
        <v>450</v>
      </c>
      <c r="U40" s="326">
        <f>+'07-POTESTAD DISCIPLINARIA'!AT16</f>
        <v>380</v>
      </c>
      <c r="V40" s="326">
        <f>+'07-POTESTAD DISCIPLINARIA'!AU16</f>
        <v>605</v>
      </c>
      <c r="W40" s="326">
        <f>'07-POTESTAD DISCIPLINARIA'!AN16+'07-POTESTAD DISCIPLINARIA'!AP16</f>
        <v>290</v>
      </c>
      <c r="X40" s="326">
        <f>+'07-POTESTAD DISCIPLINARIA'!AV16</f>
        <v>1800</v>
      </c>
      <c r="Y40" s="328">
        <f t="shared" si="7"/>
        <v>1739</v>
      </c>
      <c r="Z40" s="608">
        <f t="shared" si="9"/>
        <v>0.96611111111111114</v>
      </c>
      <c r="AA40" s="313">
        <f t="shared" si="10"/>
        <v>0.25955223880597017</v>
      </c>
      <c r="AB40" s="319">
        <f t="shared" ref="AB40:AB48" si="12">IF(AND(AA40&gt;0,E40&gt;0),AA40*E40,0)</f>
        <v>0.20764179104477615</v>
      </c>
      <c r="AC40" s="1138">
        <f>SUM(AB40:AB41)</f>
        <v>0.30454179104477613</v>
      </c>
      <c r="AE40" s="316">
        <f>+'07-POTESTAD DISCIPLINARIA'!BD16</f>
        <v>0.96611111111111114</v>
      </c>
      <c r="AF40" s="318">
        <f t="shared" si="0"/>
        <v>0</v>
      </c>
      <c r="AH40" s="316">
        <f>+'07-POTESTAD DISCIPLINARIA'!BH16</f>
        <v>0.25955223880597017</v>
      </c>
      <c r="AI40" s="318">
        <f t="shared" si="5"/>
        <v>0</v>
      </c>
    </row>
    <row r="41" spans="2:35" ht="67.5" customHeight="1">
      <c r="B41" s="1452"/>
      <c r="C41" s="1461"/>
      <c r="D41" s="27" t="str">
        <f>+'01-FR-03 POA INSTITUCIONAL'!D41</f>
        <v>3.1.2 Evaluar y dar impulso procesal al 100% las noticias disciplinarias (quejas) puestas en conocimiento de la Entidad.</v>
      </c>
      <c r="E41" s="38">
        <f>+'01-FR-03 POA INSTITUCIONAL'!E41</f>
        <v>0.2</v>
      </c>
      <c r="F41" s="111">
        <f>+'01-FR-03 POA INSTITUCIONAL'!F41</f>
        <v>1</v>
      </c>
      <c r="G41" s="1030">
        <f>+'01-FR-03 POA INSTITUCIONAL'!G41</f>
        <v>0.98</v>
      </c>
      <c r="H41" s="113" t="str">
        <f>+'01-FR-03 POA INSTITUCIONAL'!H41</f>
        <v>Noticias disciplinarias  evaluadas y con impulso procesal</v>
      </c>
      <c r="I41" s="114" t="str">
        <f>+'01-FR-03 POA INSTITUCIONAL'!I41</f>
        <v>Potestad Disciplinaria</v>
      </c>
      <c r="J41" s="115" t="str">
        <f>+'01-FR-03 POA INSTITUCIONAL'!J41</f>
        <v>Personería Delegada para la Coordinación de Potestad Disciplinaria</v>
      </c>
      <c r="K41" s="116">
        <f>+'01-FR-03 POA INSTITUCIONAL'!K41</f>
        <v>1</v>
      </c>
      <c r="L41" s="116">
        <f>+'01-FR-03 POA INSTITUCIONAL'!L41</f>
        <v>1</v>
      </c>
      <c r="M41" s="116">
        <f>+'01-FR-03 POA INSTITUCIONAL'!M41</f>
        <v>1</v>
      </c>
      <c r="N41" s="116">
        <f>+'01-FR-03 POA INSTITUCIONAL'!N41</f>
        <v>1</v>
      </c>
      <c r="O41" s="311">
        <f>+'07-POTESTAD DISCIPLINARIA'!V17</f>
        <v>1</v>
      </c>
      <c r="P41" s="311">
        <f>+'07-POTESTAD DISCIPLINARIA'!W17</f>
        <v>0.79066666666666663</v>
      </c>
      <c r="Q41" s="311">
        <f>+'07-POTESTAD DISCIPLINARIA'!AD17</f>
        <v>1</v>
      </c>
      <c r="R41" s="311">
        <f>+'07-POTESTAD DISCIPLINARIA'!AE17</f>
        <v>0.91633333333333322</v>
      </c>
      <c r="S41" s="311">
        <f>+'07-POTESTAD DISCIPLINARIA'!AL17</f>
        <v>1</v>
      </c>
      <c r="T41" s="311">
        <f>+'07-POTESTAD DISCIPLINARIA'!AM17</f>
        <v>0.91733333333333322</v>
      </c>
      <c r="U41" s="28">
        <f>+'07-POTESTAD DISCIPLINARIA'!AT17</f>
        <v>1</v>
      </c>
      <c r="V41" s="28">
        <f>+'07-POTESTAD DISCIPLINARIA'!AU17</f>
        <v>1.2533333333333332</v>
      </c>
      <c r="W41" s="28">
        <f>AVERAGE('07-POTESTAD DISCIPLINARIA'!AN17,'07-POTESTAD DISCIPLINARIA'!AP17)</f>
        <v>1</v>
      </c>
      <c r="X41" s="311">
        <f>+'07-POTESTAD DISCIPLINARIA'!AV17</f>
        <v>1</v>
      </c>
      <c r="Y41" s="313">
        <f>IFERROR(IF(OR($X$41="",$X$41=0),0,ROUNDDOWN(AVERAGE($P41,R41,T41,V41),3)),0)</f>
        <v>0.96899999999999997</v>
      </c>
      <c r="Z41" s="932">
        <f>IF(AND($X41&gt;0),Y41/$X41,"No programado")*1</f>
        <v>0.96899999999999997</v>
      </c>
      <c r="AA41" s="608">
        <f>((IF(AND(Y41&gt;0,$F41&gt;0),Y41/$F41,0))/4)*2</f>
        <v>0.48449999999999999</v>
      </c>
      <c r="AB41" s="319">
        <f t="shared" si="12"/>
        <v>9.69E-2</v>
      </c>
      <c r="AC41" s="1139"/>
      <c r="AE41" s="316">
        <f>+'07-POTESTAD DISCIPLINARIA'!BD17</f>
        <v>0.96899999999999997</v>
      </c>
      <c r="AF41" s="318">
        <f t="shared" si="0"/>
        <v>0</v>
      </c>
      <c r="AH41" s="316">
        <f>+'07-POTESTAD DISCIPLINARIA'!BH17</f>
        <v>0.24224999999999999</v>
      </c>
      <c r="AI41" s="318">
        <f t="shared" si="5"/>
        <v>0.24224999999999999</v>
      </c>
    </row>
    <row r="42" spans="2:35" ht="95.25" customHeight="1">
      <c r="B42" s="1452"/>
      <c r="C42" s="1460" t="s">
        <v>139</v>
      </c>
      <c r="D42" s="27" t="str">
        <f>+'01-FR-03 POA INSTITUCIONAL'!D42</f>
        <v>3.2.1 Realizar una visita de seguimiento a las 51 Oficinas de Control Interno Disciplinario del Distrito e identificar hechos constitutivos de faltas relevantes en temas de interés e impacto en cada anualidad.</v>
      </c>
      <c r="E42" s="38">
        <f>+'01-FR-03 POA INSTITUCIONAL'!E42</f>
        <v>0.5</v>
      </c>
      <c r="F42" s="111">
        <f>+'01-FR-03 POA INSTITUCIONAL'!F42</f>
        <v>204</v>
      </c>
      <c r="G42" s="1030">
        <f>+'01-FR-03 POA INSTITUCIONAL'!G42</f>
        <v>204</v>
      </c>
      <c r="H42" s="113" t="str">
        <f>+'01-FR-03 POA INSTITUCIONAL'!H42</f>
        <v>Visitas de seguimiento a Oficinas de Control Interno Disciplinario realizadas</v>
      </c>
      <c r="I42" s="114" t="str">
        <f>+'01-FR-03 POA INSTITUCIONAL'!I42</f>
        <v>Potestad Disciplinaria</v>
      </c>
      <c r="J42" s="115" t="str">
        <f>+'01-FR-03 POA INSTITUCIONAL'!J42</f>
        <v>Personería Delegada para la Coordinación de Potestad Disciplinaria</v>
      </c>
      <c r="K42" s="116">
        <f>+'01-FR-03 POA INSTITUCIONAL'!K42</f>
        <v>51</v>
      </c>
      <c r="L42" s="116">
        <f>+'01-FR-03 POA INSTITUCIONAL'!L42</f>
        <v>51</v>
      </c>
      <c r="M42" s="116">
        <f>+'01-FR-03 POA INSTITUCIONAL'!M42</f>
        <v>51</v>
      </c>
      <c r="N42" s="116">
        <f>+'01-FR-03 POA INSTITUCIONAL'!N42</f>
        <v>51</v>
      </c>
      <c r="O42" s="326">
        <f>+'07-POTESTAD DISCIPLINARIA'!V18</f>
        <v>0</v>
      </c>
      <c r="P42" s="326">
        <f>+'07-POTESTAD DISCIPLINARIA'!W18</f>
        <v>0</v>
      </c>
      <c r="Q42" s="326">
        <f>+'07-POTESTAD DISCIPLINARIA'!AD18</f>
        <v>30</v>
      </c>
      <c r="R42" s="326">
        <f>+'07-POTESTAD DISCIPLINARIA'!AE18</f>
        <v>0</v>
      </c>
      <c r="S42" s="326">
        <f>+'07-POTESTAD DISCIPLINARIA'!AL18</f>
        <v>21</v>
      </c>
      <c r="T42" s="326">
        <f>+'07-POTESTAD DISCIPLINARIA'!AM18</f>
        <v>9</v>
      </c>
      <c r="U42" s="326">
        <f>+'07-POTESTAD DISCIPLINARIA'!AT18</f>
        <v>0</v>
      </c>
      <c r="V42" s="326">
        <f>+'07-POTESTAD DISCIPLINARIA'!AU18</f>
        <v>42</v>
      </c>
      <c r="W42" s="326">
        <f>'07-POTESTAD DISCIPLINARIA'!AN18+'07-POTESTAD DISCIPLINARIA'!AP18</f>
        <v>0</v>
      </c>
      <c r="X42" s="326">
        <f>+'07-POTESTAD DISCIPLINARIA'!AV18</f>
        <v>51</v>
      </c>
      <c r="Y42" s="328">
        <f t="shared" si="7"/>
        <v>51</v>
      </c>
      <c r="Z42" s="608">
        <f t="shared" ref="Z42:Z60" si="13">IF(AND(Y42&gt;0,$X42&gt;0),Y42/$X42,0)</f>
        <v>1</v>
      </c>
      <c r="AA42" s="313">
        <f t="shared" si="10"/>
        <v>0.25</v>
      </c>
      <c r="AB42" s="319">
        <f t="shared" si="12"/>
        <v>0.125</v>
      </c>
      <c r="AC42" s="1138">
        <f>SUM(AB42:AB43)</f>
        <v>0.37224999999999997</v>
      </c>
      <c r="AE42" s="316">
        <f>+'07-POTESTAD DISCIPLINARIA'!BD18</f>
        <v>1</v>
      </c>
      <c r="AF42" s="318">
        <f t="shared" si="0"/>
        <v>0</v>
      </c>
      <c r="AH42" s="316">
        <f>+'07-POTESTAD DISCIPLINARIA'!BH18</f>
        <v>0.25</v>
      </c>
      <c r="AI42" s="318">
        <f t="shared" si="5"/>
        <v>0</v>
      </c>
    </row>
    <row r="43" spans="2:35" ht="95.25" customHeight="1">
      <c r="B43" s="1452"/>
      <c r="C43" s="1461"/>
      <c r="D43" s="27" t="str">
        <f>+'01-FR-03 POA INSTITUCIONAL'!D43</f>
        <v>3.2.2 Asumir por competencia preferente el 100% de los procesos cuyos temas sean considerados de interés e impacto el Distrito Capital.</v>
      </c>
      <c r="E43" s="38">
        <f>+'01-FR-03 POA INSTITUCIONAL'!E43</f>
        <v>0.5</v>
      </c>
      <c r="F43" s="28">
        <f>+'01-FR-03 POA INSTITUCIONAL'!F43</f>
        <v>1</v>
      </c>
      <c r="G43" s="146">
        <f>+'01-FR-03 POA INSTITUCIONAL'!G43</f>
        <v>1</v>
      </c>
      <c r="H43" s="113" t="str">
        <f>+'01-FR-03 POA INSTITUCIONAL'!H43</f>
        <v>Procesos de interés e impacto asumidos por competencia</v>
      </c>
      <c r="I43" s="114" t="str">
        <f>+'01-FR-03 POA INSTITUCIONAL'!I43</f>
        <v>Potestad Disciplinaria</v>
      </c>
      <c r="J43" s="115" t="str">
        <f>+'01-FR-03 POA INSTITUCIONAL'!J43</f>
        <v>Personería Delegada para la Coordinación de Potestad Disciplinaria</v>
      </c>
      <c r="K43" s="117">
        <f>+'01-FR-03 POA INSTITUCIONAL'!K43</f>
        <v>1</v>
      </c>
      <c r="L43" s="117">
        <f>+'01-FR-03 POA INSTITUCIONAL'!L43</f>
        <v>1</v>
      </c>
      <c r="M43" s="117">
        <f>+'01-FR-03 POA INSTITUCIONAL'!M43</f>
        <v>1</v>
      </c>
      <c r="N43" s="117">
        <f>+'01-FR-03 POA INSTITUCIONAL'!N43</f>
        <v>1</v>
      </c>
      <c r="O43" s="28">
        <f>+'07-POTESTAD DISCIPLINARIA'!V19</f>
        <v>1</v>
      </c>
      <c r="P43" s="28">
        <f>+'07-POTESTAD DISCIPLINARIA'!W19</f>
        <v>1</v>
      </c>
      <c r="Q43" s="311">
        <f>+'07-POTESTAD DISCIPLINARIA'!AD19</f>
        <v>1</v>
      </c>
      <c r="R43" s="311">
        <f>+'07-POTESTAD DISCIPLINARIA'!AE19</f>
        <v>1</v>
      </c>
      <c r="S43" s="311">
        <f>+'07-POTESTAD DISCIPLINARIA'!AL19</f>
        <v>1</v>
      </c>
      <c r="T43" s="311">
        <f>+'07-POTESTAD DISCIPLINARIA'!AM19</f>
        <v>0.92966666666666675</v>
      </c>
      <c r="U43" s="28">
        <f>+'07-POTESTAD DISCIPLINARIA'!AT19</f>
        <v>1</v>
      </c>
      <c r="V43" s="28">
        <f>+'07-POTESTAD DISCIPLINARIA'!AU19</f>
        <v>1.0276666666666667</v>
      </c>
      <c r="W43" s="28">
        <f>AVERAGE('07-POTESTAD DISCIPLINARIA'!AN19,'07-POTESTAD DISCIPLINARIA'!AP19)</f>
        <v>1</v>
      </c>
      <c r="X43" s="311">
        <f>+'07-POTESTAD DISCIPLINARIA'!AV19</f>
        <v>1</v>
      </c>
      <c r="Y43" s="588">
        <f>IFERROR(IF(OR($X$43="",$X$43=0),0,ROUNDDOWN(AVERAGE($P43,R43,T43,V43),3)),0)</f>
        <v>0.98899999999999999</v>
      </c>
      <c r="Z43" s="932">
        <f>IF(AND(Y43&gt;0,$X43&gt;0),Y43/$X43,0)*1</f>
        <v>0.98899999999999999</v>
      </c>
      <c r="AA43" s="934">
        <f>((IF(AND(Y43&gt;0,$F43&gt;0),Y43/$F43,0))/4)*2</f>
        <v>0.4945</v>
      </c>
      <c r="AB43" s="319">
        <f>IF(AND(AA43&gt;0,E43&gt;0),AA43*E43,0)</f>
        <v>0.24725</v>
      </c>
      <c r="AC43" s="1140"/>
      <c r="AE43" s="316">
        <f>+'07-POTESTAD DISCIPLINARIA'!BD19</f>
        <v>0.98499999999999999</v>
      </c>
      <c r="AF43" s="318">
        <f t="shared" si="0"/>
        <v>4.0000000000000036E-3</v>
      </c>
      <c r="AH43" s="316">
        <f>+'07-POTESTAD DISCIPLINARIA'!BH19</f>
        <v>0.24625</v>
      </c>
      <c r="AI43" s="318">
        <f t="shared" si="5"/>
        <v>0.24825</v>
      </c>
    </row>
    <row r="44" spans="2:35" ht="126.75" customHeight="1">
      <c r="B44" s="1452"/>
      <c r="C44" s="135" t="s">
        <v>140</v>
      </c>
      <c r="D44" s="27" t="str">
        <f>+'01-FR-03 POA INSTITUCIONAL'!D44</f>
        <v>3.3.1 Generar 8 escenarios de intercambio de conocimiento con los(as) servidores(as) públicos(as) para fortalecer el conocimiento en la sustanciación de procesos disciplinarios en el Distrito Capital.</v>
      </c>
      <c r="E44" s="38">
        <f>+'01-FR-03 POA INSTITUCIONAL'!E44</f>
        <v>1</v>
      </c>
      <c r="F44" s="111">
        <f>+'01-FR-03 POA INSTITUCIONAL'!F44</f>
        <v>8</v>
      </c>
      <c r="G44" s="1030">
        <f>+'01-FR-03 POA INSTITUCIONAL'!G44</f>
        <v>8</v>
      </c>
      <c r="H44" s="113" t="str">
        <f>+'01-FR-03 POA INSTITUCIONAL'!H44</f>
        <v>Escenarios de intercambio de conocimiento generados</v>
      </c>
      <c r="I44" s="114" t="str">
        <f>+'01-FR-03 POA INSTITUCIONAL'!I44</f>
        <v>Potestad Disciplinaria</v>
      </c>
      <c r="J44" s="115" t="str">
        <f>+'01-FR-03 POA INSTITUCIONAL'!J44</f>
        <v>Personería Delegada para la Coordinación de Potestad Disciplinaria</v>
      </c>
      <c r="K44" s="116">
        <f>+'01-FR-03 POA INSTITUCIONAL'!K44</f>
        <v>2</v>
      </c>
      <c r="L44" s="116">
        <f>+'01-FR-03 POA INSTITUCIONAL'!L44</f>
        <v>2</v>
      </c>
      <c r="M44" s="116">
        <f>+'01-FR-03 POA INSTITUCIONAL'!M44</f>
        <v>2</v>
      </c>
      <c r="N44" s="116">
        <f>+'01-FR-03 POA INSTITUCIONAL'!N44</f>
        <v>2</v>
      </c>
      <c r="O44" s="326">
        <f>+'07-POTESTAD DISCIPLINARIA'!V20</f>
        <v>0</v>
      </c>
      <c r="P44" s="326">
        <f>+'07-POTESTAD DISCIPLINARIA'!W20</f>
        <v>0</v>
      </c>
      <c r="Q44" s="326">
        <f>+'07-POTESTAD DISCIPLINARIA'!AD20</f>
        <v>0</v>
      </c>
      <c r="R44" s="326">
        <f>+'07-POTESTAD DISCIPLINARIA'!AE20</f>
        <v>1</v>
      </c>
      <c r="S44" s="326">
        <f>+'07-POTESTAD DISCIPLINARIA'!AL20</f>
        <v>1</v>
      </c>
      <c r="T44" s="326">
        <f>+'07-POTESTAD DISCIPLINARIA'!AM20</f>
        <v>0</v>
      </c>
      <c r="U44" s="326">
        <f>+'07-POTESTAD DISCIPLINARIA'!AT20</f>
        <v>1</v>
      </c>
      <c r="V44" s="326">
        <f>+'07-POTESTAD DISCIPLINARIA'!AU20</f>
        <v>1</v>
      </c>
      <c r="W44" s="326">
        <f>'07-POTESTAD DISCIPLINARIA'!AN20+'07-POTESTAD DISCIPLINARIA'!AP20</f>
        <v>1</v>
      </c>
      <c r="X44" s="327">
        <f>+'07-POTESTAD DISCIPLINARIA'!AV20</f>
        <v>2</v>
      </c>
      <c r="Y44" s="328">
        <f t="shared" si="7"/>
        <v>2</v>
      </c>
      <c r="Z44" s="608">
        <f t="shared" si="13"/>
        <v>1</v>
      </c>
      <c r="AA44" s="313">
        <f t="shared" si="10"/>
        <v>0.25</v>
      </c>
      <c r="AB44" s="319">
        <f t="shared" si="12"/>
        <v>0.25</v>
      </c>
      <c r="AC44" s="978">
        <f>SUM(AB44)</f>
        <v>0.25</v>
      </c>
      <c r="AE44" s="316">
        <f>+'07-POTESTAD DISCIPLINARIA'!BD20</f>
        <v>1</v>
      </c>
      <c r="AF44" s="318">
        <f t="shared" si="0"/>
        <v>0</v>
      </c>
      <c r="AH44" s="316">
        <f>+'07-POTESTAD DISCIPLINARIA'!BH20</f>
        <v>0.25</v>
      </c>
      <c r="AI44" s="318">
        <f t="shared" si="5"/>
        <v>0</v>
      </c>
    </row>
    <row r="45" spans="2:35" ht="61.5" customHeight="1">
      <c r="B45" s="1452"/>
      <c r="C45" s="1460" t="s">
        <v>277</v>
      </c>
      <c r="D45" s="27" t="str">
        <f>+'01-FR-03 POA INSTITUCIONAL'!D45</f>
        <v>3.4.1 Implementar un sistema de comunicación efectiva y eficiente con las Oficinas de Control Interno del Distrito Capital.</v>
      </c>
      <c r="E45" s="38">
        <f>+'01-FR-03 POA INSTITUCIONAL'!E45</f>
        <v>0.2</v>
      </c>
      <c r="F45" s="111">
        <f>+'01-FR-03 POA INSTITUCIONAL'!F45</f>
        <v>1</v>
      </c>
      <c r="G45" s="1030" t="str">
        <f>+'01-FR-03 POA INSTITUCIONAL'!G45</f>
        <v>S.I.</v>
      </c>
      <c r="H45" s="113" t="str">
        <f>+'01-FR-03 POA INSTITUCIONAL'!H45</f>
        <v xml:space="preserve">Sistema de Comunicación con las Oficinas de Control Interno Disciplinario implementado </v>
      </c>
      <c r="I45" s="114" t="str">
        <f>+'01-FR-03 POA INSTITUCIONAL'!I45</f>
        <v>Potestad Disciplinaria</v>
      </c>
      <c r="J45" s="115" t="str">
        <f>+'01-FR-03 POA INSTITUCIONAL'!J45</f>
        <v>Personería Delegada para la Coordinación de Potestad Disciplinaria</v>
      </c>
      <c r="K45" s="539">
        <f>+'01-FR-03 POA INSTITUCIONAL'!K45</f>
        <v>0.5</v>
      </c>
      <c r="L45" s="539">
        <f>+'01-FR-03 POA INSTITUCIONAL'!L45</f>
        <v>0.5</v>
      </c>
      <c r="M45" s="539">
        <f>+'01-FR-03 POA INSTITUCIONAL'!M45</f>
        <v>0</v>
      </c>
      <c r="N45" s="539">
        <f>+'01-FR-03 POA INSTITUCIONAL'!N45</f>
        <v>0</v>
      </c>
      <c r="O45" s="327">
        <f>+'07-POTESTAD DISCIPLINARIA'!V21</f>
        <v>0.15000000000000002</v>
      </c>
      <c r="P45" s="327">
        <f>+'07-POTESTAD DISCIPLINARIA'!W21</f>
        <v>0.15000000000000002</v>
      </c>
      <c r="Q45" s="327">
        <f>+'07-POTESTAD DISCIPLINARIA'!AD21</f>
        <v>0.15000000000000002</v>
      </c>
      <c r="R45" s="327">
        <f>+'07-POTESTAD DISCIPLINARIA'!AE21</f>
        <v>0.15000000000000002</v>
      </c>
      <c r="S45" s="327">
        <f>+'07-POTESTAD DISCIPLINARIA'!AL21</f>
        <v>0.15000000000000002</v>
      </c>
      <c r="T45" s="327">
        <f>+'07-POTESTAD DISCIPLINARIA'!AM21</f>
        <v>0.15000000000000002</v>
      </c>
      <c r="U45" s="327">
        <f>+'07-POTESTAD DISCIPLINARIA'!AT21</f>
        <v>0.05</v>
      </c>
      <c r="V45" s="327">
        <f>+'07-POTESTAD DISCIPLINARIA'!AU21</f>
        <v>0.05</v>
      </c>
      <c r="W45" s="327">
        <f>'07-POTESTAD DISCIPLINARIA'!AN21+'07-POTESTAD DISCIPLINARIA'!AP21</f>
        <v>0.05</v>
      </c>
      <c r="X45" s="327">
        <f>+'07-POTESTAD DISCIPLINARIA'!AV21</f>
        <v>0.50000000000000011</v>
      </c>
      <c r="Y45" s="329">
        <f t="shared" si="7"/>
        <v>0.50000000000000011</v>
      </c>
      <c r="Z45" s="608">
        <f t="shared" si="13"/>
        <v>1</v>
      </c>
      <c r="AA45" s="313">
        <f t="shared" si="10"/>
        <v>0.50000000000000011</v>
      </c>
      <c r="AB45" s="319">
        <f t="shared" si="12"/>
        <v>0.10000000000000003</v>
      </c>
      <c r="AC45" s="1163">
        <f>SUM(AB45:AB47)</f>
        <v>0.41000000000000003</v>
      </c>
      <c r="AE45" s="316">
        <f>+'07-POTESTAD DISCIPLINARIA'!BD21</f>
        <v>1</v>
      </c>
      <c r="AF45" s="318">
        <f t="shared" si="0"/>
        <v>0</v>
      </c>
      <c r="AH45" s="316">
        <f>+'07-POTESTAD DISCIPLINARIA'!BH21</f>
        <v>0.50000000000000011</v>
      </c>
      <c r="AI45" s="318">
        <f t="shared" si="5"/>
        <v>0</v>
      </c>
    </row>
    <row r="46" spans="2:35" ht="61.5" customHeight="1">
      <c r="B46" s="1452"/>
      <c r="C46" s="1462"/>
      <c r="D46" s="27" t="str">
        <f>+'01-FR-03 POA INSTITUCIONAL'!D46</f>
        <v xml:space="preserve">3.4.2 Diseñar e implementar un sistema de información misional que generé el expediente electrónico  </v>
      </c>
      <c r="E46" s="38">
        <f>+'01-FR-03 POA INSTITUCIONAL'!E46</f>
        <v>0.7</v>
      </c>
      <c r="F46" s="111">
        <f>+'01-FR-03 POA INSTITUCIONAL'!F46</f>
        <v>1</v>
      </c>
      <c r="G46" s="1030" t="str">
        <f>+'01-FR-03 POA INSTITUCIONAL'!G46</f>
        <v>S.I.</v>
      </c>
      <c r="H46" s="113" t="str">
        <f>+'01-FR-03 POA INSTITUCIONAL'!H46</f>
        <v xml:space="preserve">Sistema de información misional implementado </v>
      </c>
      <c r="I46" s="114" t="str">
        <f>+'01-FR-03 POA INSTITUCIONAL'!I46</f>
        <v>Potestad Disciplinaria</v>
      </c>
      <c r="J46" s="115" t="str">
        <f>+'01-FR-03 POA INSTITUCIONAL'!J46</f>
        <v>Personería Delegada para la Coordinación de Potestad Disciplinaria</v>
      </c>
      <c r="K46" s="539">
        <f>+'01-FR-03 POA INSTITUCIONAL'!K46</f>
        <v>0.2</v>
      </c>
      <c r="L46" s="539">
        <f>+'01-FR-03 POA INSTITUCIONAL'!L46</f>
        <v>0.4</v>
      </c>
      <c r="M46" s="539">
        <f>+'01-FR-03 POA INSTITUCIONAL'!M46</f>
        <v>0.3</v>
      </c>
      <c r="N46" s="539">
        <f>+'01-FR-03 POA INSTITUCIONAL'!N46</f>
        <v>0.1</v>
      </c>
      <c r="O46" s="327">
        <f>+'07-POTESTAD DISCIPLINARIA'!V22</f>
        <v>0.05</v>
      </c>
      <c r="P46" s="327">
        <f>+'07-POTESTAD DISCIPLINARIA'!W22</f>
        <v>0</v>
      </c>
      <c r="Q46" s="327">
        <f>+'07-POTESTAD DISCIPLINARIA'!AD22</f>
        <v>0.11</v>
      </c>
      <c r="R46" s="327">
        <f>+'07-POTESTAD DISCIPLINARIA'!AE22</f>
        <v>0.11</v>
      </c>
      <c r="S46" s="327">
        <f>+'07-POTESTAD DISCIPLINARIA'!AL22</f>
        <v>0.15000000000000002</v>
      </c>
      <c r="T46" s="327">
        <f>+'07-POTESTAD DISCIPLINARIA'!AM22</f>
        <v>0.2</v>
      </c>
      <c r="U46" s="327">
        <f>+'07-POTESTAD DISCIPLINARIA'!AT22</f>
        <v>0.09</v>
      </c>
      <c r="V46" s="327">
        <f>+'07-POTESTAD DISCIPLINARIA'!AU22</f>
        <v>0.09</v>
      </c>
      <c r="W46" s="327">
        <f>'07-POTESTAD DISCIPLINARIA'!AN22+'07-POTESTAD DISCIPLINARIA'!AP22</f>
        <v>0.09</v>
      </c>
      <c r="X46" s="327">
        <f>+'07-POTESTAD DISCIPLINARIA'!AV22</f>
        <v>0.4</v>
      </c>
      <c r="Y46" s="329">
        <f t="shared" si="7"/>
        <v>0.4</v>
      </c>
      <c r="Z46" s="608">
        <f t="shared" si="13"/>
        <v>1</v>
      </c>
      <c r="AA46" s="313">
        <f t="shared" si="10"/>
        <v>0.4</v>
      </c>
      <c r="AB46" s="319">
        <f t="shared" si="12"/>
        <v>0.27999999999999997</v>
      </c>
      <c r="AC46" s="1163"/>
      <c r="AE46" s="316">
        <f>+'07-POTESTAD DISCIPLINARIA'!BD22</f>
        <v>1</v>
      </c>
      <c r="AF46" s="318">
        <f t="shared" si="0"/>
        <v>0</v>
      </c>
      <c r="AH46" s="316">
        <f>+'07-POTESTAD DISCIPLINARIA'!BH22</f>
        <v>0.4</v>
      </c>
      <c r="AI46" s="318">
        <f t="shared" si="5"/>
        <v>0</v>
      </c>
    </row>
    <row r="47" spans="2:35" ht="61.5" customHeight="1">
      <c r="B47" s="1453"/>
      <c r="C47" s="1461"/>
      <c r="D47" s="27" t="str">
        <f>+'01-FR-03 POA INSTITUCIONAL'!D47</f>
        <v xml:space="preserve">3.4.3 Diseñar e implementar una relatoría de las decisiones de fondo adoptadas en ejercicio de la potestad disciplinaria  </v>
      </c>
      <c r="E47" s="38">
        <f>+'01-FR-03 POA INSTITUCIONAL'!E47</f>
        <v>0.1</v>
      </c>
      <c r="F47" s="111">
        <f>+'01-FR-03 POA INSTITUCIONAL'!F47</f>
        <v>1</v>
      </c>
      <c r="G47" s="1030" t="str">
        <f>+'01-FR-03 POA INSTITUCIONAL'!G47</f>
        <v>S.I.</v>
      </c>
      <c r="H47" s="113" t="str">
        <f>+'01-FR-03 POA INSTITUCIONAL'!H47</f>
        <v>Relatoría diseñada e implementada</v>
      </c>
      <c r="I47" s="114" t="str">
        <f>+'01-FR-03 POA INSTITUCIONAL'!I47</f>
        <v>Potestad Disciplinaria</v>
      </c>
      <c r="J47" s="115" t="str">
        <f>+'01-FR-03 POA INSTITUCIONAL'!J47</f>
        <v>Personería Delegada para la Coordinación de Potestad Disciplinaria</v>
      </c>
      <c r="K47" s="539">
        <f>+'01-FR-03 POA INSTITUCIONAL'!K47</f>
        <v>0.1</v>
      </c>
      <c r="L47" s="539">
        <f>+'01-FR-03 POA INSTITUCIONAL'!L47</f>
        <v>0.3</v>
      </c>
      <c r="M47" s="539">
        <f>+'01-FR-03 POA INSTITUCIONAL'!M47</f>
        <v>0.4</v>
      </c>
      <c r="N47" s="539">
        <f>+'01-FR-03 POA INSTITUCIONAL'!N47</f>
        <v>0.2</v>
      </c>
      <c r="O47" s="327">
        <f>+'07-POTESTAD DISCIPLINARIA'!V23</f>
        <v>0.06</v>
      </c>
      <c r="P47" s="327">
        <f>+'07-POTESTAD DISCIPLINARIA'!W23</f>
        <v>0.06</v>
      </c>
      <c r="Q47" s="327">
        <f>+'07-POTESTAD DISCIPLINARIA'!AD23</f>
        <v>0.09</v>
      </c>
      <c r="R47" s="327">
        <f>+'07-POTESTAD DISCIPLINARIA'!AE23</f>
        <v>0.09</v>
      </c>
      <c r="S47" s="327">
        <f>+'07-POTESTAD DISCIPLINARIA'!AL23</f>
        <v>0.09</v>
      </c>
      <c r="T47" s="762">
        <f>+'07-POTESTAD DISCIPLINARIA'!AM23</f>
        <v>0.09</v>
      </c>
      <c r="U47" s="327">
        <f>+'07-POTESTAD DISCIPLINARIA'!AT23</f>
        <v>0.06</v>
      </c>
      <c r="V47" s="327">
        <f>+'07-POTESTAD DISCIPLINARIA'!AU23</f>
        <v>6.0000000000000005E-2</v>
      </c>
      <c r="W47" s="327">
        <f>'07-POTESTAD DISCIPLINARIA'!AN23+'07-POTESTAD DISCIPLINARIA'!AP23</f>
        <v>0.06</v>
      </c>
      <c r="X47" s="327">
        <f>+'07-POTESTAD DISCIPLINARIA'!AV23</f>
        <v>0.3</v>
      </c>
      <c r="Y47" s="329">
        <f t="shared" si="7"/>
        <v>0.3</v>
      </c>
      <c r="Z47" s="608">
        <f t="shared" si="13"/>
        <v>1</v>
      </c>
      <c r="AA47" s="313">
        <f t="shared" si="10"/>
        <v>0.3</v>
      </c>
      <c r="AB47" s="319">
        <f t="shared" si="12"/>
        <v>0.03</v>
      </c>
      <c r="AC47" s="1163"/>
      <c r="AE47" s="316">
        <f>+'07-POTESTAD DISCIPLINARIA'!BD23</f>
        <v>1</v>
      </c>
      <c r="AF47" s="318">
        <f t="shared" si="0"/>
        <v>0</v>
      </c>
      <c r="AH47" s="316">
        <f>+'07-POTESTAD DISCIPLINARIA'!BH23</f>
        <v>0.3</v>
      </c>
      <c r="AI47" s="318">
        <f t="shared" si="5"/>
        <v>0</v>
      </c>
    </row>
    <row r="48" spans="2:35" ht="75" customHeight="1">
      <c r="B48" s="1455" t="s">
        <v>141</v>
      </c>
      <c r="C48" s="1457" t="s">
        <v>142</v>
      </c>
      <c r="D48" s="123" t="str">
        <f>+'01-FR-03 POA INSTITUCIONAL'!D48</f>
        <v>4.1.1 Implementar el 100 % de los proyectos de hoja de ruta del Plan Estratégico de Tecnología de la Información de tal forma que se optimicen los procesos de la Entidad</v>
      </c>
      <c r="E48" s="136">
        <f>+'01-FR-03 POA INSTITUCIONAL'!E48</f>
        <v>0.14000000000000001</v>
      </c>
      <c r="F48" s="137">
        <f>+'01-FR-03 POA INSTITUCIONAL'!F48</f>
        <v>1</v>
      </c>
      <c r="G48" s="126" t="str">
        <f>+'01-FR-03 POA INSTITUCIONAL'!G48</f>
        <v>S.I.</v>
      </c>
      <c r="H48" s="138" t="str">
        <f>+'01-FR-03 POA INSTITUCIONAL'!H48</f>
        <v>Porcentaje de proyectos implementados de acuerdo al plan de tecnologías de la Información</v>
      </c>
      <c r="I48" s="123" t="str">
        <f>+'01-FR-03 POA INSTITUCIONAL'!I48</f>
        <v>Direccionamiento TIC</v>
      </c>
      <c r="J48" s="139" t="str">
        <f>+'01-FR-03 POA INSTITUCIONAL'!J48</f>
        <v>Dirección de Tecnologías de la  Información y las Comunicaciones</v>
      </c>
      <c r="K48" s="140">
        <f>+'01-FR-03 POA INSTITUCIONAL'!K48</f>
        <v>0.3</v>
      </c>
      <c r="L48" s="140">
        <f>+'01-FR-03 POA INSTITUCIONAL'!L48</f>
        <v>0.4</v>
      </c>
      <c r="M48" s="140">
        <f>+'01-FR-03 POA INSTITUCIONAL'!M48</f>
        <v>0.25</v>
      </c>
      <c r="N48" s="140">
        <f>+'01-FR-03 POA INSTITUCIONAL'!N48</f>
        <v>0.05</v>
      </c>
      <c r="O48" s="330">
        <f>+'03-DIRECCIONAMIENTO TIC'!V16</f>
        <v>7.0000000000000007E-2</v>
      </c>
      <c r="P48" s="330">
        <f>+'03-DIRECCIONAMIENTO TIC'!W16</f>
        <v>7.0000000000000007E-2</v>
      </c>
      <c r="Q48" s="330">
        <f>+'03-DIRECCIONAMIENTO TIC'!AD16</f>
        <v>0.13</v>
      </c>
      <c r="R48" s="330">
        <f>+'03-DIRECCIONAMIENTO TIC'!AE16</f>
        <v>0.13</v>
      </c>
      <c r="S48" s="330">
        <f>+'03-DIRECCIONAMIENTO TIC'!AL16</f>
        <v>0.13</v>
      </c>
      <c r="T48" s="330">
        <f>+'03-DIRECCIONAMIENTO TIC'!AM16</f>
        <v>0.13</v>
      </c>
      <c r="U48" s="330">
        <f>+'03-DIRECCIONAMIENTO TIC'!AT16</f>
        <v>7.0000000000000007E-2</v>
      </c>
      <c r="V48" s="330">
        <f>+'03-DIRECCIONAMIENTO TIC'!AU16</f>
        <v>7.0000000000000007E-2</v>
      </c>
      <c r="W48" s="330">
        <f>'03-DIRECCIONAMIENTO TIC'!AN16+'03-DIRECCIONAMIENTO TIC'!AP16</f>
        <v>0.05</v>
      </c>
      <c r="X48" s="330">
        <f>+'03-DIRECCIONAMIENTO TIC'!AV16</f>
        <v>0.4</v>
      </c>
      <c r="Y48" s="331">
        <f t="shared" si="7"/>
        <v>0.4</v>
      </c>
      <c r="Z48" s="607">
        <f t="shared" si="13"/>
        <v>1</v>
      </c>
      <c r="AA48" s="330">
        <f t="shared" si="10"/>
        <v>0.4</v>
      </c>
      <c r="AB48" s="330">
        <f t="shared" si="12"/>
        <v>5.6000000000000008E-2</v>
      </c>
      <c r="AC48" s="1422">
        <f>SUM(AB48:AB54)</f>
        <v>0.4</v>
      </c>
      <c r="AE48" s="316">
        <f>+'03-DIRECCIONAMIENTO TIC'!BD16</f>
        <v>1</v>
      </c>
      <c r="AF48" s="318">
        <f t="shared" si="0"/>
        <v>0</v>
      </c>
      <c r="AH48" s="316">
        <f>+'03-DIRECCIONAMIENTO TIC'!BH16</f>
        <v>0.4</v>
      </c>
      <c r="AI48" s="318">
        <f t="shared" si="5"/>
        <v>0</v>
      </c>
    </row>
    <row r="49" spans="2:36" ht="80.25" customHeight="1">
      <c r="B49" s="1455"/>
      <c r="C49" s="1459"/>
      <c r="D49" s="123" t="str">
        <f>+'01-FR-03 POA INSTITUCIONAL'!D49</f>
        <v>4.1.2 Ejecutar en un 100 % las actividades programadas en el plan de Seguridad de la Información, garantizando la disponibilidad, confiabilidad e integridad de los activos de información</v>
      </c>
      <c r="E49" s="136">
        <f>+'01-FR-03 POA INSTITUCIONAL'!E49</f>
        <v>0.14000000000000001</v>
      </c>
      <c r="F49" s="137">
        <f>+'01-FR-03 POA INSTITUCIONAL'!F49</f>
        <v>1</v>
      </c>
      <c r="G49" s="126" t="str">
        <f>+'01-FR-03 POA INSTITUCIONAL'!G49</f>
        <v>S.I.</v>
      </c>
      <c r="H49" s="138" t="str">
        <f>+'01-FR-03 POA INSTITUCIONAL'!H49</f>
        <v>Porcentaje de actividades ejecutadas de acuerdo al plan de Seguridad de información</v>
      </c>
      <c r="I49" s="123" t="str">
        <f>+'01-FR-03 POA INSTITUCIONAL'!I49</f>
        <v>Direccionamiento TIC</v>
      </c>
      <c r="J49" s="139" t="str">
        <f>+'01-FR-03 POA INSTITUCIONAL'!J49</f>
        <v>Dirección de Tecnologías de la  Información y las Comunicaciones</v>
      </c>
      <c r="K49" s="140">
        <f>+'01-FR-03 POA INSTITUCIONAL'!K49</f>
        <v>0.3</v>
      </c>
      <c r="L49" s="140">
        <f>+'01-FR-03 POA INSTITUCIONAL'!L49</f>
        <v>0.4</v>
      </c>
      <c r="M49" s="140">
        <f>+'01-FR-03 POA INSTITUCIONAL'!M49</f>
        <v>0.25</v>
      </c>
      <c r="N49" s="140">
        <f>+'01-FR-03 POA INSTITUCIONAL'!N49</f>
        <v>0.05</v>
      </c>
      <c r="O49" s="330">
        <f>+'03-DIRECCIONAMIENTO TIC'!V17</f>
        <v>7.0000000000000007E-2</v>
      </c>
      <c r="P49" s="330">
        <f>+'03-DIRECCIONAMIENTO TIC'!W17</f>
        <v>7.0000000000000007E-2</v>
      </c>
      <c r="Q49" s="330">
        <f>+'03-DIRECCIONAMIENTO TIC'!AD17</f>
        <v>0.13</v>
      </c>
      <c r="R49" s="330">
        <f>+'03-DIRECCIONAMIENTO TIC'!AE17</f>
        <v>0.13</v>
      </c>
      <c r="S49" s="330">
        <f>+'03-DIRECCIONAMIENTO TIC'!AL17</f>
        <v>0.13</v>
      </c>
      <c r="T49" s="330">
        <f>+'03-DIRECCIONAMIENTO TIC'!AM17</f>
        <v>0.13</v>
      </c>
      <c r="U49" s="330">
        <f>+'03-DIRECCIONAMIENTO TIC'!AT17</f>
        <v>7.0000000000000007E-2</v>
      </c>
      <c r="V49" s="330">
        <f>+'03-DIRECCIONAMIENTO TIC'!AU17</f>
        <v>7.0000000000000007E-2</v>
      </c>
      <c r="W49" s="330">
        <f>'03-DIRECCIONAMIENTO TIC'!AN17+'03-DIRECCIONAMIENTO TIC'!AP17</f>
        <v>0.05</v>
      </c>
      <c r="X49" s="330">
        <f>+'03-DIRECCIONAMIENTO TIC'!AV17</f>
        <v>0.4</v>
      </c>
      <c r="Y49" s="331">
        <f t="shared" si="7"/>
        <v>0.4</v>
      </c>
      <c r="Z49" s="607">
        <f t="shared" si="13"/>
        <v>1</v>
      </c>
      <c r="AA49" s="330">
        <f t="shared" ref="AA49:AA58" si="14">IF(AND(Y49&gt;0,$F49&gt;0),Y49/$F49,0)</f>
        <v>0.4</v>
      </c>
      <c r="AB49" s="330">
        <f t="shared" ref="AB49:AB63" si="15">IF(AND(AA49&gt;0,E49&gt;0),AA49*E49,0)</f>
        <v>5.6000000000000008E-2</v>
      </c>
      <c r="AC49" s="1423"/>
      <c r="AE49" s="316">
        <f>+'03-DIRECCIONAMIENTO TIC'!BD17</f>
        <v>1</v>
      </c>
      <c r="AF49" s="318">
        <f t="shared" ref="AF49:AF51" si="16">Z49-AE49</f>
        <v>0</v>
      </c>
      <c r="AH49" s="316">
        <f>+'03-DIRECCIONAMIENTO TIC'!BH17</f>
        <v>0.4</v>
      </c>
      <c r="AI49" s="318">
        <f t="shared" ref="AI49:AI51" si="17">+AA49-AH49</f>
        <v>0</v>
      </c>
    </row>
    <row r="50" spans="2:36" ht="111" customHeight="1">
      <c r="B50" s="1455"/>
      <c r="C50" s="1459"/>
      <c r="D50" s="123" t="str">
        <f>+'01-FR-03 POA INSTITUCIONAL'!D50</f>
        <v>4.1.3 Realizar el 100% de las actividades definidas en la estrategia de servicios ciudadanos digitales, que permitan acceder a los tramites y servicios de la Entidad a través de canales digitales rápidos, fiables y seguros</v>
      </c>
      <c r="E50" s="136">
        <f>+'01-FR-03 POA INSTITUCIONAL'!E50</f>
        <v>0.14000000000000001</v>
      </c>
      <c r="F50" s="137">
        <f>+'01-FR-03 POA INSTITUCIONAL'!F50</f>
        <v>1</v>
      </c>
      <c r="G50" s="126" t="str">
        <f>+'01-FR-03 POA INSTITUCIONAL'!G50</f>
        <v>S.I.</v>
      </c>
      <c r="H50" s="138" t="str">
        <f>+'01-FR-03 POA INSTITUCIONAL'!H50</f>
        <v xml:space="preserve">Porcentaje de actividades ejecutadas  en la estrategia de servicios ciudadanos digitales </v>
      </c>
      <c r="I50" s="123" t="str">
        <f>+'01-FR-03 POA INSTITUCIONAL'!I50</f>
        <v>Direccionamiento TIC</v>
      </c>
      <c r="J50" s="139" t="str">
        <f>+'01-FR-03 POA INSTITUCIONAL'!J50</f>
        <v>Dirección de Tecnologías de la  Información y las Comunicaciones</v>
      </c>
      <c r="K50" s="140">
        <f>+'01-FR-03 POA INSTITUCIONAL'!K50</f>
        <v>0.3</v>
      </c>
      <c r="L50" s="140">
        <f>+'01-FR-03 POA INSTITUCIONAL'!L50</f>
        <v>0.4</v>
      </c>
      <c r="M50" s="140">
        <f>+'01-FR-03 POA INSTITUCIONAL'!M50</f>
        <v>0.25</v>
      </c>
      <c r="N50" s="140">
        <f>+'01-FR-03 POA INSTITUCIONAL'!N50</f>
        <v>0.05</v>
      </c>
      <c r="O50" s="330">
        <f>+'03-DIRECCIONAMIENTO TIC'!V18</f>
        <v>7.0000000000000007E-2</v>
      </c>
      <c r="P50" s="330">
        <f>+'03-DIRECCIONAMIENTO TIC'!W18</f>
        <v>7.0000000000000007E-2</v>
      </c>
      <c r="Q50" s="330">
        <f>+'03-DIRECCIONAMIENTO TIC'!AD18</f>
        <v>0.13</v>
      </c>
      <c r="R50" s="330">
        <f>+'03-DIRECCIONAMIENTO TIC'!AE18</f>
        <v>0.13</v>
      </c>
      <c r="S50" s="330">
        <f>+'03-DIRECCIONAMIENTO TIC'!AL18</f>
        <v>0.13</v>
      </c>
      <c r="T50" s="330">
        <f>+'03-DIRECCIONAMIENTO TIC'!AM18</f>
        <v>0.13</v>
      </c>
      <c r="U50" s="330">
        <f>+'03-DIRECCIONAMIENTO TIC'!AT18</f>
        <v>7.0000000000000007E-2</v>
      </c>
      <c r="V50" s="330">
        <f>+'03-DIRECCIONAMIENTO TIC'!AU18</f>
        <v>7.0000000000000007E-2</v>
      </c>
      <c r="W50" s="330">
        <f>'03-DIRECCIONAMIENTO TIC'!AN18+'03-DIRECCIONAMIENTO TIC'!AP18</f>
        <v>0.05</v>
      </c>
      <c r="X50" s="330">
        <f>+'03-DIRECCIONAMIENTO TIC'!AV18</f>
        <v>0.4</v>
      </c>
      <c r="Y50" s="331">
        <f t="shared" si="7"/>
        <v>0.4</v>
      </c>
      <c r="Z50" s="607">
        <f t="shared" si="13"/>
        <v>1</v>
      </c>
      <c r="AA50" s="330">
        <f t="shared" si="14"/>
        <v>0.4</v>
      </c>
      <c r="AB50" s="330">
        <f t="shared" si="15"/>
        <v>5.6000000000000008E-2</v>
      </c>
      <c r="AC50" s="1423"/>
      <c r="AE50" s="316">
        <f>+'03-DIRECCIONAMIENTO TIC'!BD18</f>
        <v>1</v>
      </c>
      <c r="AF50" s="318">
        <f t="shared" si="16"/>
        <v>0</v>
      </c>
      <c r="AH50" s="316">
        <f>+'03-DIRECCIONAMIENTO TIC'!BH18</f>
        <v>0.4</v>
      </c>
      <c r="AI50" s="318">
        <f t="shared" si="17"/>
        <v>0</v>
      </c>
    </row>
    <row r="51" spans="2:36" ht="82.5" customHeight="1">
      <c r="B51" s="1455"/>
      <c r="C51" s="1459"/>
      <c r="D51" s="123" t="str">
        <f>+'01-FR-03 POA INSTITUCIONAL'!D51</f>
        <v>4.1.4 Implementar en un 100% los lineamientos que adopte la Entidad para mejorar la gestión de datos que facilite la toma de decisiones</v>
      </c>
      <c r="E51" s="136">
        <f>+'01-FR-03 POA INSTITUCIONAL'!E51</f>
        <v>0.14000000000000001</v>
      </c>
      <c r="F51" s="137">
        <f>+'01-FR-03 POA INSTITUCIONAL'!F51</f>
        <v>1</v>
      </c>
      <c r="G51" s="126" t="str">
        <f>+'01-FR-03 POA INSTITUCIONAL'!G51</f>
        <v>S.I.</v>
      </c>
      <c r="H51" s="138" t="str">
        <f>+'01-FR-03 POA INSTITUCIONAL'!H51</f>
        <v>Porcentaje de lineamientos adoptados  en la estrategia de gestión de datos</v>
      </c>
      <c r="I51" s="123" t="str">
        <f>+'01-FR-03 POA INSTITUCIONAL'!I51</f>
        <v>Direccionamiento TIC</v>
      </c>
      <c r="J51" s="139" t="str">
        <f>+'01-FR-03 POA INSTITUCIONAL'!J51</f>
        <v>Dirección de Tecnologías de la  Información y las Comunicaciones</v>
      </c>
      <c r="K51" s="140">
        <f>+'01-FR-03 POA INSTITUCIONAL'!K51</f>
        <v>0.3</v>
      </c>
      <c r="L51" s="140">
        <f>+'01-FR-03 POA INSTITUCIONAL'!L51</f>
        <v>0.4</v>
      </c>
      <c r="M51" s="140">
        <f>+'01-FR-03 POA INSTITUCIONAL'!M51</f>
        <v>0.25</v>
      </c>
      <c r="N51" s="140">
        <f>+'01-FR-03 POA INSTITUCIONAL'!N51</f>
        <v>0.05</v>
      </c>
      <c r="O51" s="330">
        <f>+'03-DIRECCIONAMIENTO TIC'!V19</f>
        <v>7.0000000000000007E-2</v>
      </c>
      <c r="P51" s="330">
        <f>+'03-DIRECCIONAMIENTO TIC'!W19</f>
        <v>7.0000000000000007E-2</v>
      </c>
      <c r="Q51" s="330">
        <f>+'03-DIRECCIONAMIENTO TIC'!AD19</f>
        <v>0.13</v>
      </c>
      <c r="R51" s="330">
        <f>+'03-DIRECCIONAMIENTO TIC'!AE19</f>
        <v>0.13</v>
      </c>
      <c r="S51" s="330">
        <f>+'03-DIRECCIONAMIENTO TIC'!AL19</f>
        <v>0.13</v>
      </c>
      <c r="T51" s="330">
        <f>+'03-DIRECCIONAMIENTO TIC'!AM19</f>
        <v>0.13</v>
      </c>
      <c r="U51" s="330">
        <f>+'03-DIRECCIONAMIENTO TIC'!AT19</f>
        <v>7.0000000000000007E-2</v>
      </c>
      <c r="V51" s="330">
        <f>+'03-DIRECCIONAMIENTO TIC'!AU19</f>
        <v>7.0000000000000007E-2</v>
      </c>
      <c r="W51" s="330">
        <f>'03-DIRECCIONAMIENTO TIC'!AN19+'03-DIRECCIONAMIENTO TIC'!AP19</f>
        <v>0.05</v>
      </c>
      <c r="X51" s="330">
        <f>+'03-DIRECCIONAMIENTO TIC'!AV19</f>
        <v>0.4</v>
      </c>
      <c r="Y51" s="331">
        <f t="shared" si="7"/>
        <v>0.4</v>
      </c>
      <c r="Z51" s="607">
        <f t="shared" si="13"/>
        <v>1</v>
      </c>
      <c r="AA51" s="330">
        <f t="shared" si="14"/>
        <v>0.4</v>
      </c>
      <c r="AB51" s="330">
        <f t="shared" si="15"/>
        <v>5.6000000000000008E-2</v>
      </c>
      <c r="AC51" s="1423"/>
      <c r="AE51" s="316">
        <f>+'03-DIRECCIONAMIENTO TIC'!BD19</f>
        <v>1</v>
      </c>
      <c r="AF51" s="318">
        <f t="shared" si="16"/>
        <v>0</v>
      </c>
      <c r="AH51" s="316">
        <f>+'03-DIRECCIONAMIENTO TIC'!BH19</f>
        <v>0.4</v>
      </c>
      <c r="AI51" s="318">
        <f t="shared" si="17"/>
        <v>0</v>
      </c>
    </row>
    <row r="52" spans="2:36" ht="94.5" customHeight="1">
      <c r="B52" s="1455"/>
      <c r="C52" s="1459"/>
      <c r="D52" s="123" t="str">
        <f>+'01-FR-03 POA INSTITUCIONAL'!D52</f>
        <v>4.1.5 Desarrollar el 100% de los requerimientos prioritarios a Sistemas de Información y de apoyo que garanticen el óptimo desempeño de la gestión de los procesos en la Entidad</v>
      </c>
      <c r="E52" s="136">
        <f>+'01-FR-03 POA INSTITUCIONAL'!E52</f>
        <v>0.14000000000000001</v>
      </c>
      <c r="F52" s="137">
        <f>+'01-FR-03 POA INSTITUCIONAL'!F52</f>
        <v>1</v>
      </c>
      <c r="G52" s="126" t="str">
        <f>+'01-FR-03 POA INSTITUCIONAL'!G52</f>
        <v>S.I.</v>
      </c>
      <c r="H52" s="138" t="str">
        <f>+'01-FR-03 POA INSTITUCIONAL'!H52</f>
        <v>Cantidad de requerimientos prioritarios desarrollados para los sistemas información</v>
      </c>
      <c r="I52" s="123" t="str">
        <f>+'01-FR-03 POA INSTITUCIONAL'!I52</f>
        <v>Direccionamiento TIC</v>
      </c>
      <c r="J52" s="139" t="str">
        <f>+'01-FR-03 POA INSTITUCIONAL'!J52</f>
        <v>Dirección de Tecnologías de la  Información y las Comunicaciones</v>
      </c>
      <c r="K52" s="140">
        <f>+'01-FR-03 POA INSTITUCIONAL'!K52</f>
        <v>0.3</v>
      </c>
      <c r="L52" s="140">
        <f>+'01-FR-03 POA INSTITUCIONAL'!L52</f>
        <v>0.4</v>
      </c>
      <c r="M52" s="140">
        <f>+'01-FR-03 POA INSTITUCIONAL'!M52</f>
        <v>0.25</v>
      </c>
      <c r="N52" s="140">
        <f>+'01-FR-03 POA INSTITUCIONAL'!N52</f>
        <v>0.05</v>
      </c>
      <c r="O52" s="330">
        <f>+'03-DIRECCIONAMIENTO TIC'!V20</f>
        <v>7.0000000000000007E-2</v>
      </c>
      <c r="P52" s="330">
        <f>+'03-DIRECCIONAMIENTO TIC'!W20</f>
        <v>7.0000000000000007E-2</v>
      </c>
      <c r="Q52" s="330">
        <f>+'03-DIRECCIONAMIENTO TIC'!AD20</f>
        <v>0.13</v>
      </c>
      <c r="R52" s="330">
        <f>+'03-DIRECCIONAMIENTO TIC'!AE20</f>
        <v>0.13</v>
      </c>
      <c r="S52" s="330">
        <f>+'03-DIRECCIONAMIENTO TIC'!AL20</f>
        <v>0.13</v>
      </c>
      <c r="T52" s="330">
        <f>+'03-DIRECCIONAMIENTO TIC'!AM20</f>
        <v>0.13</v>
      </c>
      <c r="U52" s="330">
        <f>+'03-DIRECCIONAMIENTO TIC'!AT20</f>
        <v>7.0000000000000007E-2</v>
      </c>
      <c r="V52" s="330">
        <f>+'03-DIRECCIONAMIENTO TIC'!AU20</f>
        <v>7.0000000000000007E-2</v>
      </c>
      <c r="W52" s="330">
        <f>'03-DIRECCIONAMIENTO TIC'!AN20+'03-DIRECCIONAMIENTO TIC'!AP20</f>
        <v>0.05</v>
      </c>
      <c r="X52" s="330">
        <f>+'03-DIRECCIONAMIENTO TIC'!AV20</f>
        <v>0.4</v>
      </c>
      <c r="Y52" s="331">
        <f t="shared" si="7"/>
        <v>0.4</v>
      </c>
      <c r="Z52" s="607">
        <f t="shared" si="13"/>
        <v>1</v>
      </c>
      <c r="AA52" s="330">
        <f t="shared" si="14"/>
        <v>0.4</v>
      </c>
      <c r="AB52" s="330">
        <f t="shared" si="15"/>
        <v>5.6000000000000008E-2</v>
      </c>
      <c r="AC52" s="1423"/>
      <c r="AE52" s="316">
        <f>+'03-DIRECCIONAMIENTO TIC'!BD20</f>
        <v>1</v>
      </c>
      <c r="AF52" s="318">
        <f t="shared" ref="AF52:AF55" si="18">Z52-AE52</f>
        <v>0</v>
      </c>
      <c r="AH52" s="316">
        <f>+'03-DIRECCIONAMIENTO TIC'!BH20</f>
        <v>0.4</v>
      </c>
      <c r="AI52" s="318">
        <f t="shared" ref="AI52:AI55" si="19">+AA52-AH52</f>
        <v>0</v>
      </c>
    </row>
    <row r="53" spans="2:36" ht="71.25" customHeight="1">
      <c r="B53" s="1455"/>
      <c r="C53" s="1459"/>
      <c r="D53" s="123" t="str">
        <f>+'01-FR-03 POA INSTITUCIONAL'!D53</f>
        <v>4.1.6 Implementar en un 100% las actividades programadas en el plan de uso y apropiación de las TIC, para una óptima gestión institucional</v>
      </c>
      <c r="E53" s="136">
        <f>+'01-FR-03 POA INSTITUCIONAL'!E53</f>
        <v>0.15</v>
      </c>
      <c r="F53" s="137">
        <f>+'01-FR-03 POA INSTITUCIONAL'!F53</f>
        <v>1</v>
      </c>
      <c r="G53" s="126" t="str">
        <f>+'01-FR-03 POA INSTITUCIONAL'!G53</f>
        <v>S.I.</v>
      </c>
      <c r="H53" s="138" t="str">
        <f>+'01-FR-03 POA INSTITUCIONAL'!H53</f>
        <v>Porcentaje de actividades ejecutadas del plan de uso y apropiación</v>
      </c>
      <c r="I53" s="123" t="str">
        <f>+'01-FR-03 POA INSTITUCIONAL'!I53</f>
        <v>Direccionamiento TIC</v>
      </c>
      <c r="J53" s="139" t="str">
        <f>+'01-FR-03 POA INSTITUCIONAL'!J53</f>
        <v>Dirección de Tecnologías de la  Información y las Comunicaciones</v>
      </c>
      <c r="K53" s="140">
        <f>+'01-FR-03 POA INSTITUCIONAL'!K53</f>
        <v>0.3</v>
      </c>
      <c r="L53" s="140">
        <f>+'01-FR-03 POA INSTITUCIONAL'!L53</f>
        <v>0.4</v>
      </c>
      <c r="M53" s="140">
        <f>+'01-FR-03 POA INSTITUCIONAL'!M53</f>
        <v>0.25</v>
      </c>
      <c r="N53" s="140">
        <f>+'01-FR-03 POA INSTITUCIONAL'!N53</f>
        <v>0.05</v>
      </c>
      <c r="O53" s="330">
        <f>+'03-DIRECCIONAMIENTO TIC'!V21</f>
        <v>7.0000000000000007E-2</v>
      </c>
      <c r="P53" s="330">
        <f>+'03-DIRECCIONAMIENTO TIC'!W21</f>
        <v>7.0000000000000007E-2</v>
      </c>
      <c r="Q53" s="330">
        <f>+'03-DIRECCIONAMIENTO TIC'!AD21</f>
        <v>0.13</v>
      </c>
      <c r="R53" s="330">
        <f>+'03-DIRECCIONAMIENTO TIC'!AE21</f>
        <v>0.13</v>
      </c>
      <c r="S53" s="330">
        <f>+'03-DIRECCIONAMIENTO TIC'!AL21</f>
        <v>0.13</v>
      </c>
      <c r="T53" s="330">
        <f>+'03-DIRECCIONAMIENTO TIC'!AM21</f>
        <v>0.13</v>
      </c>
      <c r="U53" s="330">
        <f>+'03-DIRECCIONAMIENTO TIC'!AT21</f>
        <v>7.0000000000000007E-2</v>
      </c>
      <c r="V53" s="330">
        <f>+'03-DIRECCIONAMIENTO TIC'!AU21</f>
        <v>7.0000000000000007E-2</v>
      </c>
      <c r="W53" s="330">
        <f>'03-DIRECCIONAMIENTO TIC'!AN21+'03-DIRECCIONAMIENTO TIC'!AP21</f>
        <v>0.05</v>
      </c>
      <c r="X53" s="330">
        <f>+'03-DIRECCIONAMIENTO TIC'!AV21</f>
        <v>0.4</v>
      </c>
      <c r="Y53" s="331">
        <f t="shared" si="7"/>
        <v>0.4</v>
      </c>
      <c r="Z53" s="607">
        <f t="shared" si="13"/>
        <v>1</v>
      </c>
      <c r="AA53" s="330">
        <f t="shared" si="14"/>
        <v>0.4</v>
      </c>
      <c r="AB53" s="330">
        <f t="shared" si="15"/>
        <v>0.06</v>
      </c>
      <c r="AC53" s="1423"/>
      <c r="AE53" s="316">
        <f>+'03-DIRECCIONAMIENTO TIC'!BD21</f>
        <v>1</v>
      </c>
      <c r="AF53" s="318">
        <f t="shared" si="18"/>
        <v>0</v>
      </c>
      <c r="AH53" s="316">
        <f>+'03-DIRECCIONAMIENTO TIC'!BH21</f>
        <v>0.4</v>
      </c>
      <c r="AI53" s="318">
        <f t="shared" si="19"/>
        <v>0</v>
      </c>
    </row>
    <row r="54" spans="2:36" ht="87.75" customHeight="1">
      <c r="B54" s="1455"/>
      <c r="C54" s="1458"/>
      <c r="D54" s="123" t="str">
        <f>+'01-FR-03 POA INSTITUCIONAL'!D54</f>
        <v>4.1.7 Optimizar la infraestructura tecnológica cumpliendo el 100% de las actividades de la hoja de ruta proyectada para garantizar la prestación continua de los servicios en la Entidad</v>
      </c>
      <c r="E54" s="136">
        <f>+'01-FR-03 POA INSTITUCIONAL'!E54</f>
        <v>0.15</v>
      </c>
      <c r="F54" s="137">
        <f>+'01-FR-03 POA INSTITUCIONAL'!F54</f>
        <v>1</v>
      </c>
      <c r="G54" s="126" t="str">
        <f>+'01-FR-03 POA INSTITUCIONAL'!G54</f>
        <v>S.I</v>
      </c>
      <c r="H54" s="138" t="str">
        <f>+'01-FR-03 POA INSTITUCIONAL'!H54</f>
        <v>Porcentaje de actividades ejecutadas de la hoja de ruta de optimización tecnológica</v>
      </c>
      <c r="I54" s="123" t="str">
        <f>+'01-FR-03 POA INSTITUCIONAL'!I54</f>
        <v>Direccionamiento TIC</v>
      </c>
      <c r="J54" s="139" t="str">
        <f>+'01-FR-03 POA INSTITUCIONAL'!J54</f>
        <v>Dirección de Tecnologías de la  Información y las Comunicaciones</v>
      </c>
      <c r="K54" s="140">
        <f>+'01-FR-03 POA INSTITUCIONAL'!K54</f>
        <v>0.3</v>
      </c>
      <c r="L54" s="140">
        <f>+'01-FR-03 POA INSTITUCIONAL'!L54</f>
        <v>0.4</v>
      </c>
      <c r="M54" s="140">
        <f>+'01-FR-03 POA INSTITUCIONAL'!M54</f>
        <v>0.25</v>
      </c>
      <c r="N54" s="140">
        <f>+'01-FR-03 POA INSTITUCIONAL'!N54</f>
        <v>0.05</v>
      </c>
      <c r="O54" s="330">
        <f>+'03-DIRECCIONAMIENTO TIC'!V22</f>
        <v>7.0000000000000007E-2</v>
      </c>
      <c r="P54" s="330">
        <f>+'03-DIRECCIONAMIENTO TIC'!W22</f>
        <v>7.0000000000000007E-2</v>
      </c>
      <c r="Q54" s="330">
        <f>+'03-DIRECCIONAMIENTO TIC'!AD22</f>
        <v>0.13</v>
      </c>
      <c r="R54" s="330">
        <f>+'03-DIRECCIONAMIENTO TIC'!AE22</f>
        <v>0.13</v>
      </c>
      <c r="S54" s="330">
        <f>+'03-DIRECCIONAMIENTO TIC'!AL22</f>
        <v>0.13</v>
      </c>
      <c r="T54" s="330">
        <f>+'03-DIRECCIONAMIENTO TIC'!AM22</f>
        <v>0.13</v>
      </c>
      <c r="U54" s="330">
        <f>+'03-DIRECCIONAMIENTO TIC'!AT22</f>
        <v>7.0000000000000007E-2</v>
      </c>
      <c r="V54" s="330">
        <f>+'03-DIRECCIONAMIENTO TIC'!AU22</f>
        <v>7.0000000000000007E-2</v>
      </c>
      <c r="W54" s="330">
        <f>'03-DIRECCIONAMIENTO TIC'!AN22+'03-DIRECCIONAMIENTO TIC'!AP22</f>
        <v>0.05</v>
      </c>
      <c r="X54" s="330">
        <f>+'03-DIRECCIONAMIENTO TIC'!AV22</f>
        <v>0.4</v>
      </c>
      <c r="Y54" s="331">
        <f t="shared" si="7"/>
        <v>0.4</v>
      </c>
      <c r="Z54" s="607">
        <f t="shared" si="13"/>
        <v>1</v>
      </c>
      <c r="AA54" s="330">
        <f t="shared" si="14"/>
        <v>0.4</v>
      </c>
      <c r="AB54" s="330">
        <f t="shared" si="15"/>
        <v>0.06</v>
      </c>
      <c r="AC54" s="1424"/>
      <c r="AE54" s="316">
        <f>+'03-DIRECCIONAMIENTO TIC'!BD22</f>
        <v>1</v>
      </c>
      <c r="AF54" s="318">
        <f t="shared" si="18"/>
        <v>0</v>
      </c>
      <c r="AH54" s="316">
        <f>+'03-DIRECCIONAMIENTO TIC'!BH22</f>
        <v>0.4</v>
      </c>
      <c r="AI54" s="318">
        <f t="shared" si="19"/>
        <v>0</v>
      </c>
    </row>
    <row r="55" spans="2:36" ht="105" customHeight="1">
      <c r="B55" s="1455"/>
      <c r="C55" s="1471" t="s">
        <v>143</v>
      </c>
      <c r="D55" s="27" t="str">
        <f>+'01-FR-03 POA INSTITUCIONAL'!D55</f>
        <v>4.2.1 Formular e implementar el 100% de las acciones para la Sostenibilidad y mejora del Sistema de Gestión de la Calidad 
-SGC- (Meta Transversal)</v>
      </c>
      <c r="E55" s="38">
        <f>+'01-FR-03 POA INSTITUCIONAL'!E55</f>
        <v>0.2</v>
      </c>
      <c r="F55" s="28">
        <f>+'01-FR-03 POA INSTITUCIONAL'!F55</f>
        <v>1</v>
      </c>
      <c r="G55" s="146">
        <f>+'01-FR-03 POA INSTITUCIONAL'!G55</f>
        <v>1</v>
      </c>
      <c r="H55" s="113" t="str">
        <f>+'01-FR-03 POA INSTITUCIONAL'!H55</f>
        <v xml:space="preserve">Porcentaje de acciones implementadas para la sostenibilidad y mejora del SGC </v>
      </c>
      <c r="I55" s="114" t="str">
        <f>+'01-FR-03 POA INSTITUCIONAL'!I55</f>
        <v>Direccionamiento Estratégico</v>
      </c>
      <c r="J55" s="115" t="str">
        <f>+'01-FR-03 POA INSTITUCIONAL'!J55</f>
        <v>Dirección de Planeación
Aportan: Dependencias lideradas por  Responsables de procesos y operativos de todos los procesos institucionales</v>
      </c>
      <c r="K55" s="117">
        <f>+'01-FR-03 POA INSTITUCIONAL'!K55</f>
        <v>1</v>
      </c>
      <c r="L55" s="117">
        <f>+'01-FR-03 POA INSTITUCIONAL'!L55</f>
        <v>1</v>
      </c>
      <c r="M55" s="117">
        <f>+'01-FR-03 POA INSTITUCIONAL'!M55</f>
        <v>1</v>
      </c>
      <c r="N55" s="117">
        <f>+'01-FR-03 POA INSTITUCIONAL'!N55</f>
        <v>1</v>
      </c>
      <c r="O55" s="334">
        <f>+'01-DIRECCIONAMIENTO ESTRATÉGICO'!V16</f>
        <v>0.24000000000000002</v>
      </c>
      <c r="P55" s="554">
        <f>+'01-DIRECCIONAMIENTO ESTRATÉGICO'!W16</f>
        <v>0.24000000000000002</v>
      </c>
      <c r="Q55" s="334">
        <f>+'01-DIRECCIONAMIENTO ESTRATÉGICO'!AD16</f>
        <v>0.27</v>
      </c>
      <c r="R55" s="554">
        <f>+'01-DIRECCIONAMIENTO ESTRATÉGICO'!AE16</f>
        <v>0.27799999999999997</v>
      </c>
      <c r="S55" s="334">
        <f>+'01-DIRECCIONAMIENTO ESTRATÉGICO'!AL16</f>
        <v>0.27</v>
      </c>
      <c r="T55" s="334">
        <f>+'01-DIRECCIONAMIENTO ESTRATÉGICO'!AM16</f>
        <v>0.27800000000000002</v>
      </c>
      <c r="U55" s="334">
        <f>+'01-DIRECCIONAMIENTO ESTRATÉGICO'!AT16</f>
        <v>0.22</v>
      </c>
      <c r="V55" s="788">
        <f>+'01-DIRECCIONAMIENTO ESTRATÉGICO'!AU16</f>
        <v>0.2036</v>
      </c>
      <c r="W55" s="788">
        <f>'01-DIRECCIONAMIENTO ESTRATÉGICO'!AN16+'01-DIRECCIONAMIENTO ESTRATÉGICO'!AP16</f>
        <v>0.19</v>
      </c>
      <c r="X55" s="334">
        <f>+'01-DIRECCIONAMIENTO ESTRATÉGICO'!AV16</f>
        <v>1</v>
      </c>
      <c r="Y55" s="353">
        <f t="shared" si="7"/>
        <v>0.99960000000000004</v>
      </c>
      <c r="Z55" s="604">
        <f t="shared" si="13"/>
        <v>0.99960000000000004</v>
      </c>
      <c r="AA55" s="588">
        <f>(IF(AND(Y55&gt;0,$F55&gt;0),Y55/$F55,0)/4)*2</f>
        <v>0.49980000000000002</v>
      </c>
      <c r="AB55" s="319">
        <f t="shared" si="15"/>
        <v>9.9960000000000007E-2</v>
      </c>
      <c r="AC55" s="1192">
        <f>SUM(AB55:AB60)</f>
        <v>0.4153012698412698</v>
      </c>
      <c r="AE55" s="316">
        <f>+'01-DIRECCIONAMIENTO ESTRATÉGICO'!BD16</f>
        <v>0.99960000000000004</v>
      </c>
      <c r="AF55" s="318">
        <f t="shared" si="18"/>
        <v>0</v>
      </c>
      <c r="AH55" s="316">
        <f>+'01-DIRECCIONAMIENTO ESTRATÉGICO'!BH16</f>
        <v>0.24990000000000001</v>
      </c>
      <c r="AI55" s="318">
        <f t="shared" si="19"/>
        <v>0.24990000000000001</v>
      </c>
    </row>
    <row r="56" spans="2:36" ht="96" customHeight="1">
      <c r="B56" s="1455"/>
      <c r="C56" s="1473"/>
      <c r="D56" s="27" t="str">
        <f>+'01-FR-03 POA INSTITUCIONAL'!D56</f>
        <v>4.2.2 Implementar el 40% de las actividades requeridas para la sostenibilidad y mejora del MIPG, de acuerdo con la metodología establecida por la Función Pública. (Meta Transversal)</v>
      </c>
      <c r="E56" s="38">
        <f>+'01-FR-03 POA INSTITUCIONAL'!E56</f>
        <v>0.2</v>
      </c>
      <c r="F56" s="28">
        <f>+'01-FR-03 POA INSTITUCIONAL'!F56</f>
        <v>0.4</v>
      </c>
      <c r="G56" s="146">
        <f>+'01-FR-03 POA INSTITUCIONAL'!G56</f>
        <v>0.6</v>
      </c>
      <c r="H56" s="113" t="str">
        <f>+'01-FR-03 POA INSTITUCIONAL'!H56</f>
        <v>Porcentaje de actividades implementadas para la sostenibilidad  y mejora del MIPG</v>
      </c>
      <c r="I56" s="114" t="str">
        <f>+'01-FR-03 POA INSTITUCIONAL'!I56</f>
        <v>Direccionamiento Estratégico</v>
      </c>
      <c r="J56" s="115" t="str">
        <f>+'01-FR-03 POA INSTITUCIONAL'!J56</f>
        <v>Dirección de Planeación
Aportan: Dependencias lideradas por  Responsables de procesos y operativos de todos los procesos institucionales</v>
      </c>
      <c r="K56" s="117">
        <f>+'01-FR-03 POA INSTITUCIONAL'!K56</f>
        <v>0.22</v>
      </c>
      <c r="L56" s="117">
        <f>+'01-FR-03 POA INSTITUCIONAL'!L56</f>
        <v>0.14000000000000001</v>
      </c>
      <c r="M56" s="117">
        <f>+'01-FR-03 POA INSTITUCIONAL'!M56</f>
        <v>0.02</v>
      </c>
      <c r="N56" s="117">
        <f>+'01-FR-03 POA INSTITUCIONAL'!N56</f>
        <v>0.02</v>
      </c>
      <c r="O56" s="334">
        <f>+'01-DIRECCIONAMIENTO ESTRATÉGICO'!V17</f>
        <v>5.1000000000000004E-2</v>
      </c>
      <c r="P56" s="334">
        <f>+'01-DIRECCIONAMIENTO ESTRATÉGICO'!W17</f>
        <v>5.1000000000000004E-2</v>
      </c>
      <c r="Q56" s="334">
        <f>+'01-DIRECCIONAMIENTO ESTRATÉGICO'!AD17</f>
        <v>3.5999999999999997E-2</v>
      </c>
      <c r="R56" s="334">
        <f>+'01-DIRECCIONAMIENTO ESTRATÉGICO'!AE17</f>
        <v>3.5400000000000001E-2</v>
      </c>
      <c r="S56" s="334">
        <f>+'01-DIRECCIONAMIENTO ESTRATÉGICO'!AL17</f>
        <v>2.7E-2</v>
      </c>
      <c r="T56" s="334">
        <f>+'01-DIRECCIONAMIENTO ESTRATÉGICO'!AM17</f>
        <v>2.7E-2</v>
      </c>
      <c r="U56" s="334">
        <f>+'01-DIRECCIONAMIENTO ESTRATÉGICO'!AT17</f>
        <v>2.6000000000000002E-2</v>
      </c>
      <c r="V56" s="334">
        <f>+'01-DIRECCIONAMIENTO ESTRATÉGICO'!AU17</f>
        <v>2.6599999999999999E-2</v>
      </c>
      <c r="W56" s="788">
        <f>'01-DIRECCIONAMIENTO ESTRATÉGICO'!AN17+'01-DIRECCIONAMIENTO ESTRATÉGICO'!AP17</f>
        <v>1.6E-2</v>
      </c>
      <c r="X56" s="334">
        <f>+'01-DIRECCIONAMIENTO ESTRATÉGICO'!AV17</f>
        <v>0.13999999999999999</v>
      </c>
      <c r="Y56" s="335">
        <f t="shared" si="7"/>
        <v>0.14000000000000001</v>
      </c>
      <c r="Z56" s="605">
        <f t="shared" si="13"/>
        <v>1.0000000000000002</v>
      </c>
      <c r="AA56" s="313">
        <f t="shared" si="14"/>
        <v>0.35000000000000003</v>
      </c>
      <c r="AB56" s="319">
        <f t="shared" si="15"/>
        <v>7.0000000000000007E-2</v>
      </c>
      <c r="AC56" s="1425"/>
      <c r="AE56" s="316">
        <f>+'01-DIRECCIONAMIENTO ESTRATÉGICO'!BD17</f>
        <v>1.0000000000000002</v>
      </c>
      <c r="AF56" s="318">
        <f t="shared" ref="AF56:AF61" si="20">Z56-AE56</f>
        <v>0</v>
      </c>
      <c r="AH56" s="316">
        <f>+'01-DIRECCIONAMIENTO ESTRATÉGICO'!BH17</f>
        <v>0.35000000000000003</v>
      </c>
      <c r="AI56" s="318">
        <f t="shared" ref="AI56:AI61" si="21">+AA56-AH56</f>
        <v>0</v>
      </c>
    </row>
    <row r="57" spans="2:36" ht="74.25" customHeight="1">
      <c r="B57" s="1455"/>
      <c r="C57" s="1473"/>
      <c r="D57" s="27" t="str">
        <f>+'01-FR-03 POA INSTITUCIONAL'!D57</f>
        <v>4.2.3 Implementar el 100% de los requisitos del Sistema de Gestión Ambiental –SGA-, bajo los estándares de la norma ISO 14001</v>
      </c>
      <c r="E57" s="38">
        <f>+'01-FR-03 POA INSTITUCIONAL'!E57</f>
        <v>0.15</v>
      </c>
      <c r="F57" s="28">
        <f>+'01-FR-03 POA INSTITUCIONAL'!F57</f>
        <v>1</v>
      </c>
      <c r="G57" s="146" t="str">
        <f>+'01-FR-03 POA INSTITUCIONAL'!G57</f>
        <v>S.I.</v>
      </c>
      <c r="H57" s="113" t="str">
        <f>+'01-FR-03 POA INSTITUCIONAL'!H57</f>
        <v xml:space="preserve">Porcentaje de requisitos del  SGA implementados bajo los estándares de la norma ISO 14001 </v>
      </c>
      <c r="I57" s="114" t="str">
        <f>+'01-FR-03 POA INSTITUCIONAL'!I57</f>
        <v>Direccionamiento Estratégico</v>
      </c>
      <c r="J57" s="115" t="str">
        <f>+'01-FR-03 POA INSTITUCIONAL'!J57</f>
        <v>Dirección de Planeación</v>
      </c>
      <c r="K57" s="117">
        <f>+'01-FR-03 POA INSTITUCIONAL'!K57</f>
        <v>0.38</v>
      </c>
      <c r="L57" s="117">
        <f>+'01-FR-03 POA INSTITUCIONAL'!L57</f>
        <v>0.33</v>
      </c>
      <c r="M57" s="117">
        <f>+'01-FR-03 POA INSTITUCIONAL'!M57</f>
        <v>0.28999999999999998</v>
      </c>
      <c r="N57" s="117">
        <f>+'01-FR-03 POA INSTITUCIONAL'!N57</f>
        <v>0</v>
      </c>
      <c r="O57" s="334">
        <f>+'01-DIRECCIONAMIENTO ESTRATÉGICO'!V18</f>
        <v>8.7999999999999995E-2</v>
      </c>
      <c r="P57" s="334">
        <f>+'01-DIRECCIONAMIENTO ESTRATÉGICO'!W18</f>
        <v>8.7999999999999995E-2</v>
      </c>
      <c r="Q57" s="334">
        <f>+'01-DIRECCIONAMIENTO ESTRATÉGICO'!AD18</f>
        <v>8.7999999999999995E-2</v>
      </c>
      <c r="R57" s="334">
        <f>+'01-DIRECCIONAMIENTO ESTRATÉGICO'!AE18</f>
        <v>8.7999999999999995E-2</v>
      </c>
      <c r="S57" s="334">
        <f>+'01-DIRECCIONAMIENTO ESTRATÉGICO'!AL18</f>
        <v>8.7999999999999995E-2</v>
      </c>
      <c r="T57" s="334">
        <f>+'01-DIRECCIONAMIENTO ESTRATÉGICO'!AM18</f>
        <v>8.7999999999999995E-2</v>
      </c>
      <c r="U57" s="334">
        <f>+'01-DIRECCIONAMIENTO ESTRATÉGICO'!AT18</f>
        <v>6.6000000000000003E-2</v>
      </c>
      <c r="V57" s="334">
        <f>+'01-DIRECCIONAMIENTO ESTRATÉGICO'!AU18</f>
        <v>6.6000000000000003E-2</v>
      </c>
      <c r="W57" s="788">
        <f>'01-DIRECCIONAMIENTO ESTRATÉGICO'!AN18+'01-DIRECCIONAMIENTO ESTRATÉGICO'!AP18</f>
        <v>4.3999999999999997E-2</v>
      </c>
      <c r="X57" s="334">
        <f>+'01-DIRECCIONAMIENTO ESTRATÉGICO'!AV18</f>
        <v>0.33</v>
      </c>
      <c r="Y57" s="335">
        <f t="shared" si="7"/>
        <v>0.33</v>
      </c>
      <c r="Z57" s="605">
        <f t="shared" si="13"/>
        <v>1</v>
      </c>
      <c r="AA57" s="313">
        <f t="shared" si="14"/>
        <v>0.33</v>
      </c>
      <c r="AB57" s="319">
        <f t="shared" si="15"/>
        <v>4.9500000000000002E-2</v>
      </c>
      <c r="AC57" s="1425"/>
      <c r="AE57" s="316">
        <f>+'01-DIRECCIONAMIENTO ESTRATÉGICO'!BD18</f>
        <v>1</v>
      </c>
      <c r="AF57" s="318">
        <f t="shared" si="20"/>
        <v>0</v>
      </c>
      <c r="AH57" s="316">
        <f>+'01-DIRECCIONAMIENTO ESTRATÉGICO'!BH18</f>
        <v>0.33</v>
      </c>
      <c r="AI57" s="318">
        <f t="shared" si="21"/>
        <v>0</v>
      </c>
    </row>
    <row r="58" spans="2:36" ht="63" customHeight="1">
      <c r="B58" s="1455"/>
      <c r="C58" s="1473"/>
      <c r="D58" s="27" t="str">
        <f>+'01-FR-03 POA INSTITUCIONAL'!D58</f>
        <v>4.2.4 Realizar 12 acciones de monitoreo y revisión  al Plan Anticorrupción y de Atención al Ciudadano -PAAC- de la vigencia.</v>
      </c>
      <c r="E58" s="38">
        <f>+'01-FR-03 POA INSTITUCIONAL'!E58</f>
        <v>0.1</v>
      </c>
      <c r="F58" s="111">
        <f>+'01-FR-03 POA INSTITUCIONAL'!F58</f>
        <v>12</v>
      </c>
      <c r="G58" s="1030" t="str">
        <f>+'01-FR-03 POA INSTITUCIONAL'!G58</f>
        <v>3 
(En el último año)</v>
      </c>
      <c r="H58" s="113" t="str">
        <f>+'01-FR-03 POA INSTITUCIONAL'!H58</f>
        <v>Acciones de monitoreo y revisión realizadas al PAAC</v>
      </c>
      <c r="I58" s="114" t="str">
        <f>+'01-FR-03 POA INSTITUCIONAL'!I58</f>
        <v>Direccionamiento Estratégico</v>
      </c>
      <c r="J58" s="115" t="str">
        <f>+'01-FR-03 POA INSTITUCIONAL'!J58</f>
        <v>Dirección de Planeación</v>
      </c>
      <c r="K58" s="116">
        <f>+'01-FR-03 POA INSTITUCIONAL'!K58</f>
        <v>3</v>
      </c>
      <c r="L58" s="116">
        <f>+'01-FR-03 POA INSTITUCIONAL'!L58</f>
        <v>3</v>
      </c>
      <c r="M58" s="116">
        <f>+'01-FR-03 POA INSTITUCIONAL'!M58</f>
        <v>3</v>
      </c>
      <c r="N58" s="116">
        <f>+'01-FR-03 POA INSTITUCIONAL'!N58</f>
        <v>3</v>
      </c>
      <c r="O58" s="145">
        <f>+'01-DIRECCIONAMIENTO ESTRATÉGICO'!V19</f>
        <v>1</v>
      </c>
      <c r="P58" s="145">
        <f>+'01-DIRECCIONAMIENTO ESTRATÉGICO'!W19</f>
        <v>1</v>
      </c>
      <c r="Q58" s="144">
        <f>+'01-DIRECCIONAMIENTO ESTRATÉGICO'!AD19</f>
        <v>1</v>
      </c>
      <c r="R58" s="144">
        <f>+'01-DIRECCIONAMIENTO ESTRATÉGICO'!AE19</f>
        <v>1</v>
      </c>
      <c r="S58" s="144">
        <f>+'01-DIRECCIONAMIENTO ESTRATÉGICO'!AL19</f>
        <v>1</v>
      </c>
      <c r="T58" s="144">
        <f>+'01-DIRECCIONAMIENTO ESTRATÉGICO'!AM19</f>
        <v>1</v>
      </c>
      <c r="U58" s="144">
        <f>+'01-DIRECCIONAMIENTO ESTRATÉGICO'!AT19</f>
        <v>0</v>
      </c>
      <c r="V58" s="144">
        <f>+'01-DIRECCIONAMIENTO ESTRATÉGICO'!AU19</f>
        <v>0</v>
      </c>
      <c r="W58" s="144">
        <f>+'01-DIRECCIONAMIENTO ESTRATÉGICO'!AN19+'01-DIRECCIONAMIENTO ESTRATÉGICO'!AP19</f>
        <v>0</v>
      </c>
      <c r="X58" s="144">
        <f>+'01-DIRECCIONAMIENTO ESTRATÉGICO'!AV19</f>
        <v>3</v>
      </c>
      <c r="Y58" s="329">
        <f t="shared" ref="Y58:Y60" si="22">+P58+R58+T58+V58</f>
        <v>3</v>
      </c>
      <c r="Z58" s="605">
        <f t="shared" si="13"/>
        <v>1</v>
      </c>
      <c r="AA58" s="313">
        <f t="shared" si="14"/>
        <v>0.25</v>
      </c>
      <c r="AB58" s="319">
        <f t="shared" si="15"/>
        <v>2.5000000000000001E-2</v>
      </c>
      <c r="AC58" s="1425"/>
      <c r="AE58" s="316">
        <f>+'01-DIRECCIONAMIENTO ESTRATÉGICO'!BD19</f>
        <v>1</v>
      </c>
      <c r="AF58" s="318">
        <f t="shared" si="20"/>
        <v>0</v>
      </c>
      <c r="AH58" s="316">
        <f>+'01-DIRECCIONAMIENTO ESTRATÉGICO'!BH19</f>
        <v>0.25</v>
      </c>
      <c r="AI58" s="318">
        <f t="shared" si="21"/>
        <v>0</v>
      </c>
    </row>
    <row r="59" spans="2:36" ht="63" customHeight="1">
      <c r="B59" s="1455"/>
      <c r="C59" s="1473"/>
      <c r="D59" s="27" t="str">
        <f>+'01-FR-03 POA INSTITUCIONAL'!D59</f>
        <v>4.2.5 Incrementar al 90% la percepción de los usuarios que califican como excelente y bueno el servicio en la Personería de Bogotá</v>
      </c>
      <c r="E59" s="38">
        <f>+'01-FR-03 POA INSTITUCIONAL'!E59</f>
        <v>0.2</v>
      </c>
      <c r="F59" s="28">
        <f>+'01-FR-03 POA INSTITUCIONAL'!F59</f>
        <v>0.9</v>
      </c>
      <c r="G59" s="146">
        <f>+'01-FR-03 POA INSTITUCIONAL'!G59</f>
        <v>0.86</v>
      </c>
      <c r="H59" s="113" t="str">
        <f>+'01-FR-03 POA INSTITUCIONAL'!H59</f>
        <v>Porcentaje de Percepción de los usuarios en calificación excelente y bueno incrementado</v>
      </c>
      <c r="I59" s="114" t="str">
        <f>+'01-FR-03 POA INSTITUCIONAL'!I59</f>
        <v>Servicio al Usuario</v>
      </c>
      <c r="J59" s="115" t="str">
        <f>+'01-FR-03 POA INSTITUCIONAL'!J59</f>
        <v>Secretaría General</v>
      </c>
      <c r="K59" s="117">
        <f>+'01-FR-03 POA INSTITUCIONAL'!K59</f>
        <v>0.9</v>
      </c>
      <c r="L59" s="117">
        <f>+'01-FR-03 POA INSTITUCIONAL'!L59</f>
        <v>0.9</v>
      </c>
      <c r="M59" s="117">
        <f>+'01-FR-03 POA INSTITUCIONAL'!M59</f>
        <v>0.9</v>
      </c>
      <c r="N59" s="117">
        <f>+'01-FR-03 POA INSTITUCIONAL'!N59</f>
        <v>0.9</v>
      </c>
      <c r="O59" s="356">
        <f>+'14-SERVICIO AL USUARIO'!V16</f>
        <v>0.9</v>
      </c>
      <c r="P59" s="357">
        <f>+'14-SERVICIO AL USUARIO'!W16</f>
        <v>0.95899999999999996</v>
      </c>
      <c r="Q59" s="356">
        <f>+'14-SERVICIO AL USUARIO'!AD16</f>
        <v>0</v>
      </c>
      <c r="R59" s="356">
        <f>+'14-SERVICIO AL USUARIO'!AE16</f>
        <v>0</v>
      </c>
      <c r="S59" s="356">
        <f>+'14-SERVICIO AL USUARIO'!AL16</f>
        <v>0.9</v>
      </c>
      <c r="T59" s="356">
        <f>+'14-SERVICIO AL USUARIO'!AM16</f>
        <v>0.96</v>
      </c>
      <c r="U59" s="356">
        <f>+'14-SERVICIO AL USUARIO'!AT16</f>
        <v>0</v>
      </c>
      <c r="V59" s="805">
        <f>+'14-SERVICIO AL USUARIO'!AU16</f>
        <v>0</v>
      </c>
      <c r="W59" s="805">
        <v>0</v>
      </c>
      <c r="X59" s="356">
        <f>+'14-SERVICIO AL USUARIO'!AV16</f>
        <v>0.9</v>
      </c>
      <c r="Y59" s="943">
        <f>IFERROR(IF(OR($X$59="",$X$59=0),0,ROUNDDOWN(AVERAGE($P59,T59),3)),0)</f>
        <v>0.95899999999999996</v>
      </c>
      <c r="Z59" s="605">
        <f>IF(AND(Y59&gt;0,$X59&gt;0),Y59/$X59,0)</f>
        <v>1.0655555555555556</v>
      </c>
      <c r="AA59" s="935">
        <f>((IF(AND(Y59&gt;0,$F59&gt;0),Y59/$F59,0))/4)*2</f>
        <v>0.53277777777777779</v>
      </c>
      <c r="AB59" s="358">
        <f t="shared" si="15"/>
        <v>0.10655555555555557</v>
      </c>
      <c r="AC59" s="1425"/>
      <c r="AE59" s="316">
        <f>+'14-SERVICIO AL USUARIO'!BD16</f>
        <v>1.0666666666666667</v>
      </c>
      <c r="AF59" s="318">
        <f t="shared" si="20"/>
        <v>-1.1111111111110628E-3</v>
      </c>
      <c r="AG59" s="110"/>
      <c r="AH59" s="316">
        <f>+'14-SERVICIO AL USUARIO'!BH16</f>
        <v>0.26666666666666666</v>
      </c>
      <c r="AI59" s="318">
        <f t="shared" si="21"/>
        <v>0.26611111111111113</v>
      </c>
    </row>
    <row r="60" spans="2:36" ht="70.5" customHeight="1">
      <c r="B60" s="1455"/>
      <c r="C60" s="1472"/>
      <c r="D60" s="27" t="str">
        <f>+'01-FR-03 POA INSTITUCIONAL'!D60</f>
        <v xml:space="preserve">4.2.6 Implementar 7 lineamientos en compromiso con la calidad para satisfacer las necesidades y expectativas de los (as) usuarios(as) y partes interesadas </v>
      </c>
      <c r="E60" s="38">
        <f>+'01-FR-03 POA INSTITUCIONAL'!E60</f>
        <v>0.15</v>
      </c>
      <c r="F60" s="111">
        <f>+'01-FR-03 POA INSTITUCIONAL'!F60</f>
        <v>7</v>
      </c>
      <c r="G60" s="1030">
        <f>+'01-FR-03 POA INSTITUCIONAL'!G60</f>
        <v>3</v>
      </c>
      <c r="H60" s="113" t="str">
        <f>+'01-FR-03 POA INSTITUCIONAL'!H60</f>
        <v>Lineamientos implementados</v>
      </c>
      <c r="I60" s="114" t="str">
        <f>+'01-FR-03 POA INSTITUCIONAL'!I60</f>
        <v>Servicio al Usuario</v>
      </c>
      <c r="J60" s="115" t="str">
        <f>+'01-FR-03 POA INSTITUCIONAL'!J60</f>
        <v>Secretaría General</v>
      </c>
      <c r="K60" s="116">
        <f>+'01-FR-03 POA INSTITUCIONAL'!K60</f>
        <v>2</v>
      </c>
      <c r="L60" s="116">
        <f>+'01-FR-03 POA INSTITUCIONAL'!L60</f>
        <v>3</v>
      </c>
      <c r="M60" s="116">
        <f>+'01-FR-03 POA INSTITUCIONAL'!M60</f>
        <v>1</v>
      </c>
      <c r="N60" s="116">
        <f>+'01-FR-03 POA INSTITUCIONAL'!N60</f>
        <v>1</v>
      </c>
      <c r="O60" s="359">
        <f>+'14-SERVICIO AL USUARIO'!V17</f>
        <v>1</v>
      </c>
      <c r="P60" s="359">
        <f>+'14-SERVICIO AL USUARIO'!W17</f>
        <v>1</v>
      </c>
      <c r="Q60" s="359">
        <f>+'14-SERVICIO AL USUARIO'!AD17</f>
        <v>1</v>
      </c>
      <c r="R60" s="359">
        <f>+'14-SERVICIO AL USUARIO'!AE17</f>
        <v>1</v>
      </c>
      <c r="S60" s="359">
        <f>+'14-SERVICIO AL USUARIO'!AL17</f>
        <v>0</v>
      </c>
      <c r="T60" s="359">
        <f>+'14-SERVICIO AL USUARIO'!AM17</f>
        <v>0</v>
      </c>
      <c r="U60" s="359">
        <f>+'14-SERVICIO AL USUARIO'!AT17</f>
        <v>1</v>
      </c>
      <c r="V60" s="359">
        <f>+'14-SERVICIO AL USUARIO'!AU17</f>
        <v>1</v>
      </c>
      <c r="W60" s="646">
        <f>+'14-SERVICIO AL USUARIO'!AN17+'14-SERVICIO AL USUARIO'!AP17</f>
        <v>1</v>
      </c>
      <c r="X60" s="359">
        <f>+'14-SERVICIO AL USUARIO'!AV17</f>
        <v>3</v>
      </c>
      <c r="Y60" s="360">
        <f t="shared" si="22"/>
        <v>3</v>
      </c>
      <c r="Z60" s="609">
        <f t="shared" si="13"/>
        <v>1</v>
      </c>
      <c r="AA60" s="342">
        <f>IF(AND(Y60&gt;0,$F60&gt;0),Y60/$F60,0)</f>
        <v>0.42857142857142855</v>
      </c>
      <c r="AB60" s="358">
        <f t="shared" si="15"/>
        <v>6.4285714285714279E-2</v>
      </c>
      <c r="AC60" s="1426"/>
      <c r="AE60" s="316">
        <f>+'14-SERVICIO AL USUARIO'!BD17</f>
        <v>1</v>
      </c>
      <c r="AF60" s="318">
        <f t="shared" si="20"/>
        <v>0</v>
      </c>
      <c r="AG60" s="110"/>
      <c r="AH60" s="316">
        <f>+'14-SERVICIO AL USUARIO'!BH17</f>
        <v>0.42857142857142855</v>
      </c>
      <c r="AI60" s="318">
        <f t="shared" si="21"/>
        <v>0</v>
      </c>
      <c r="AJ60" s="786"/>
    </row>
    <row r="61" spans="2:36" ht="60" customHeight="1">
      <c r="B61" s="1455"/>
      <c r="C61" s="1457" t="s">
        <v>144</v>
      </c>
      <c r="D61" s="123" t="str">
        <f>+'01-FR-03 POA INSTITUCIONAL'!D61</f>
        <v xml:space="preserve">4.3.1 Gestionar el 100% de las novedades y situaciones administrativas de los servidores públicos de la Entidad.
</v>
      </c>
      <c r="E61" s="136">
        <f>+'01-FR-03 POA INSTITUCIONAL'!E61</f>
        <v>0.1</v>
      </c>
      <c r="F61" s="137">
        <f>+'01-FR-03 POA INSTITUCIONAL'!F61</f>
        <v>1</v>
      </c>
      <c r="G61" s="126">
        <f>+'01-FR-03 POA INSTITUCIONAL'!G61</f>
        <v>1</v>
      </c>
      <c r="H61" s="138" t="str">
        <f>+'01-FR-03 POA INSTITUCIONAL'!H61</f>
        <v>Porcentaje de novedades y situaciones administrativas gestionadas</v>
      </c>
      <c r="I61" s="123" t="str">
        <f>+'01-FR-03 POA INSTITUCIONAL'!I61</f>
        <v>Gestión del Talento Humano</v>
      </c>
      <c r="J61" s="139" t="str">
        <f>+'01-FR-03 POA INSTITUCIONAL'!J61</f>
        <v xml:space="preserve">
Dirección de Talento Humano
</v>
      </c>
      <c r="K61" s="140">
        <f>+'01-FR-03 POA INSTITUCIONAL'!K61</f>
        <v>1</v>
      </c>
      <c r="L61" s="140">
        <f>+'01-FR-03 POA INSTITUCIONAL'!L61</f>
        <v>1</v>
      </c>
      <c r="M61" s="140">
        <f>+'01-FR-03 POA INSTITUCIONAL'!M61</f>
        <v>1</v>
      </c>
      <c r="N61" s="140">
        <f>+'01-FR-03 POA INSTITUCIONAL'!N61</f>
        <v>1</v>
      </c>
      <c r="O61" s="338">
        <f>+'08-G. DEL TALENTO HUMANO'!V16</f>
        <v>1</v>
      </c>
      <c r="P61" s="338">
        <f>+'08-G. DEL TALENTO HUMANO'!W16</f>
        <v>1</v>
      </c>
      <c r="Q61" s="153">
        <f>+'08-G. DEL TALENTO HUMANO'!AD16</f>
        <v>1</v>
      </c>
      <c r="R61" s="338">
        <f>+'08-G. DEL TALENTO HUMANO'!AE16</f>
        <v>1</v>
      </c>
      <c r="S61" s="153">
        <f>+'08-G. DEL TALENTO HUMANO'!AL16</f>
        <v>1</v>
      </c>
      <c r="T61" s="153">
        <f>'08-G. DEL TALENTO HUMANO'!AM16</f>
        <v>1</v>
      </c>
      <c r="U61" s="153">
        <f>+'08-G. DEL TALENTO HUMANO'!AT16</f>
        <v>1</v>
      </c>
      <c r="V61" s="153">
        <f>+'08-G. DEL TALENTO HUMANO'!AU16</f>
        <v>1</v>
      </c>
      <c r="W61" s="153">
        <f>AVERAGE('08-G. DEL TALENTO HUMANO'!AN16,'08-G. DEL TALENTO HUMANO'!AP16)</f>
        <v>1</v>
      </c>
      <c r="X61" s="153">
        <f>+'08-G. DEL TALENTO HUMANO'!AV16</f>
        <v>1</v>
      </c>
      <c r="Y61" s="324">
        <f>IFERROR(IF(OR($X$61="",$X$61=0),0,ROUNDDOWN(AVERAGE($P61,R61,T61,V61),3)),0)</f>
        <v>1</v>
      </c>
      <c r="Z61" s="933">
        <f>IF(AND(Y61&gt;0,$X61&gt;0),Y61/$X61,0)*1</f>
        <v>1</v>
      </c>
      <c r="AA61" s="933">
        <f>((IF(AND(Y61&gt;0,$F61&gt;0),Y61/$F61,0))/4)*2</f>
        <v>0.5</v>
      </c>
      <c r="AB61" s="339">
        <f t="shared" si="15"/>
        <v>0.05</v>
      </c>
      <c r="AC61" s="1427">
        <f>SUM(AB61:AB68)</f>
        <v>0.46514322913623524</v>
      </c>
      <c r="AE61" s="316">
        <f>+'08-G. DEL TALENTO HUMANO'!BD16</f>
        <v>1</v>
      </c>
      <c r="AF61" s="318">
        <f t="shared" si="20"/>
        <v>0</v>
      </c>
      <c r="AH61" s="316">
        <f>+'08-G. DEL TALENTO HUMANO'!BH16</f>
        <v>0.25</v>
      </c>
      <c r="AI61" s="318">
        <f t="shared" si="21"/>
        <v>0.25</v>
      </c>
    </row>
    <row r="62" spans="2:36" ht="88.5" customHeight="1">
      <c r="B62" s="1455"/>
      <c r="C62" s="1459"/>
      <c r="D62" s="123" t="str">
        <f>+'01-FR-03 POA INSTITUCIONAL'!D62</f>
        <v xml:space="preserve">4.3.2 Incluir el 97,8% de las Novedades en la nómina oportunamente, para liquidación y pago </v>
      </c>
      <c r="E62" s="136">
        <f>+'01-FR-03 POA INSTITUCIONAL'!E62</f>
        <v>0.1</v>
      </c>
      <c r="F62" s="807">
        <f>+'01-FR-03 POA INSTITUCIONAL'!F62</f>
        <v>0.97799999999999998</v>
      </c>
      <c r="G62" s="126">
        <f>+'01-FR-03 POA INSTITUCIONAL'!G62</f>
        <v>0.97</v>
      </c>
      <c r="H62" s="138" t="str">
        <f>+'01-FR-03 POA INSTITUCIONAL'!H62</f>
        <v xml:space="preserve">Novedades incluidas en la nómina  oportunamente  </v>
      </c>
      <c r="I62" s="123" t="str">
        <f>+'01-FR-03 POA INSTITUCIONAL'!I62</f>
        <v>Gestión del Talento Humano</v>
      </c>
      <c r="J62" s="139" t="str">
        <f>+'01-FR-03 POA INSTITUCIONAL'!J62</f>
        <v>Dependencia Líder: 
Dirección de Talento Humano
Dependencia Operativa:
Subdirección de Gestión del Talento Humano</v>
      </c>
      <c r="K62" s="140">
        <f>+'01-FR-03 POA INSTITUCIONAL'!K62</f>
        <v>0.97</v>
      </c>
      <c r="L62" s="140">
        <f>+'01-FR-03 POA INSTITUCIONAL'!L62</f>
        <v>0.98</v>
      </c>
      <c r="M62" s="140">
        <f>+'01-FR-03 POA INSTITUCIONAL'!M62</f>
        <v>0.98</v>
      </c>
      <c r="N62" s="140">
        <f>+'01-FR-03 POA INSTITUCIONAL'!N62</f>
        <v>0.98</v>
      </c>
      <c r="O62" s="338">
        <f>+'08-G. DEL TALENTO HUMANO'!V17</f>
        <v>0.98</v>
      </c>
      <c r="P62" s="338">
        <f>+'08-G. DEL TALENTO HUMANO'!W17</f>
        <v>0.98766666666666669</v>
      </c>
      <c r="Q62" s="153">
        <f>+'08-G. DEL TALENTO HUMANO'!AD17</f>
        <v>0.98</v>
      </c>
      <c r="R62" s="338">
        <f>+'08-G. DEL TALENTO HUMANO'!AE17</f>
        <v>0.95699999999999996</v>
      </c>
      <c r="S62" s="153">
        <f>+'08-G. DEL TALENTO HUMANO'!AL17</f>
        <v>0.98</v>
      </c>
      <c r="T62" s="338">
        <f>'08-G. DEL TALENTO HUMANO'!AM17</f>
        <v>0.9903333333333334</v>
      </c>
      <c r="U62" s="153">
        <f>+'08-G. DEL TALENTO HUMANO'!AT17</f>
        <v>0.98</v>
      </c>
      <c r="V62" s="153">
        <f>+'08-G. DEL TALENTO HUMANO'!AU17</f>
        <v>0.996</v>
      </c>
      <c r="W62" s="153">
        <f>AVERAGE('08-G. DEL TALENTO HUMANO'!AN17,'08-G. DEL TALENTO HUMANO'!AP17)</f>
        <v>0.98</v>
      </c>
      <c r="X62" s="338">
        <f>+'08-G. DEL TALENTO HUMANO'!AV17</f>
        <v>0.98000000000000032</v>
      </c>
      <c r="Y62" s="324">
        <f>IFERROR(IF(OR($X$62="",$X$62=0),0,ROUNDDOWN(AVERAGE($P62,R62,T62,V62),3)),0)</f>
        <v>0.98199999999999998</v>
      </c>
      <c r="Z62" s="933">
        <f>IF(AND(Y62&gt;0,$X62&gt;0),Y62/$X62,0)*1</f>
        <v>1.0020408163265302</v>
      </c>
      <c r="AA62" s="933">
        <f>((IF(AND(Y62&gt;0,$F62&gt;0),Y62/$F62,0))/4)*2</f>
        <v>0.50204498977505108</v>
      </c>
      <c r="AB62" s="339">
        <f t="shared" si="15"/>
        <v>5.0204498977505112E-2</v>
      </c>
      <c r="AC62" s="1428"/>
      <c r="AE62" s="316">
        <f>+'08-G. DEL TALENTO HUMANO'!BD17</f>
        <v>1.0020408163265302</v>
      </c>
      <c r="AF62" s="318">
        <f t="shared" ref="AF62:AF71" si="23">Z62-AE62</f>
        <v>0</v>
      </c>
      <c r="AH62" s="316">
        <f>+'08-G. DEL TALENTO HUMANO'!BH17</f>
        <v>0.25102249488752554</v>
      </c>
      <c r="AI62" s="318">
        <f t="shared" ref="AI62:AI69" si="24">+AA62-AH62</f>
        <v>0.25102249488752554</v>
      </c>
    </row>
    <row r="63" spans="2:36" ht="99.75" customHeight="1">
      <c r="B63" s="1455"/>
      <c r="C63" s="1459"/>
      <c r="D63" s="123" t="str">
        <f>+'01-FR-03 POA INSTITUCIONAL'!D63</f>
        <v xml:space="preserve">4.3.3 Lograr el 94,5 % de usuarios internos  satisfechos con las solicitudes de servicios atendidas de la SGTH (Certificaciones laborales, bonos pensionales y autorizaciones de retiro de cesantías). </v>
      </c>
      <c r="E63" s="136">
        <f>+'01-FR-03 POA INSTITUCIONAL'!E63</f>
        <v>0.1</v>
      </c>
      <c r="F63" s="807">
        <f>+'01-FR-03 POA INSTITUCIONAL'!F63</f>
        <v>0.94499999999999995</v>
      </c>
      <c r="G63" s="126" t="str">
        <f>+'01-FR-03 POA INSTITUCIONAL'!G63</f>
        <v>S.I.</v>
      </c>
      <c r="H63" s="138" t="str">
        <f>+'01-FR-03 POA INSTITUCIONAL'!H63</f>
        <v>Porcentaje de Usuarios internos satisfechos con las solicitudes de los servicios atendidas de la SGTH (Certificaciones laborales, bonos pensionales y autorizaciones de retiro de cesantías)</v>
      </c>
      <c r="I63" s="123" t="str">
        <f>+'01-FR-03 POA INSTITUCIONAL'!I63</f>
        <v>Gestión del Talento Humano</v>
      </c>
      <c r="J63" s="139" t="str">
        <f>+'01-FR-03 POA INSTITUCIONAL'!J63</f>
        <v>Dependencia Líder: 
Dirección de Talento Humano
Dependencia Operativa:
Subdirección de Gestión del Talento Humano</v>
      </c>
      <c r="K63" s="140">
        <f>+'01-FR-03 POA INSTITUCIONAL'!K63</f>
        <v>0.9</v>
      </c>
      <c r="L63" s="140">
        <f>+'01-FR-03 POA INSTITUCIONAL'!L63</f>
        <v>0.96</v>
      </c>
      <c r="M63" s="140">
        <f>+'01-FR-03 POA INSTITUCIONAL'!M63</f>
        <v>0.96</v>
      </c>
      <c r="N63" s="140">
        <f>+'01-FR-03 POA INSTITUCIONAL'!N63</f>
        <v>0.96</v>
      </c>
      <c r="O63" s="338">
        <f>+'08-G. DEL TALENTO HUMANO'!V18</f>
        <v>0.96</v>
      </c>
      <c r="P63" s="338">
        <f>+'08-G. DEL TALENTO HUMANO'!W18</f>
        <v>0.92900000000000005</v>
      </c>
      <c r="Q63" s="153">
        <f>+'08-G. DEL TALENTO HUMANO'!AD18</f>
        <v>0.96</v>
      </c>
      <c r="R63" s="338">
        <f>+'08-G. DEL TALENTO HUMANO'!AE18</f>
        <v>0.99199999999999999</v>
      </c>
      <c r="S63" s="153">
        <f>+'08-G. DEL TALENTO HUMANO'!AL18</f>
        <v>0.96</v>
      </c>
      <c r="T63" s="338">
        <f>'08-G. DEL TALENTO HUMANO'!AM18</f>
        <v>0.97</v>
      </c>
      <c r="U63" s="153">
        <f>+'08-G. DEL TALENTO HUMANO'!AT18</f>
        <v>0.96</v>
      </c>
      <c r="V63" s="153">
        <f>+'08-G. DEL TALENTO HUMANO'!AU18</f>
        <v>0.97599999999999998</v>
      </c>
      <c r="W63" s="153">
        <f>AVERAGE('08-G. DEL TALENTO HUMANO'!AN18,'08-G. DEL TALENTO HUMANO'!AP18)</f>
        <v>0.96</v>
      </c>
      <c r="X63" s="338">
        <f>+'08-G. DEL TALENTO HUMANO'!AV18</f>
        <v>0.96000000000000008</v>
      </c>
      <c r="Y63" s="324">
        <f>IFERROR(IF(OR($X$63="",$X$63=0),0,ROUNDDOWN(AVERAGE(R63,T63,P63,V63),3)),0)</f>
        <v>0.96599999999999997</v>
      </c>
      <c r="Z63" s="933">
        <f>IF(AND(Y63&gt;0,$X63&gt;0),Y63/$X63,0)*1</f>
        <v>1.0062499999999999</v>
      </c>
      <c r="AA63" s="933">
        <f>((IF(AND(Y63&gt;0,$F63&gt;0),Y63/$F63,0))/4)*2</f>
        <v>0.51111111111111107</v>
      </c>
      <c r="AB63" s="339">
        <f t="shared" si="15"/>
        <v>5.1111111111111107E-2</v>
      </c>
      <c r="AC63" s="1428"/>
      <c r="AE63" s="316">
        <f>+'08-G. DEL TALENTO HUMANO'!BD18</f>
        <v>1.0197916666666667</v>
      </c>
      <c r="AF63" s="318">
        <f t="shared" si="23"/>
        <v>-1.3541666666666785E-2</v>
      </c>
      <c r="AH63" s="316">
        <f>+'08-G. DEL TALENTO HUMANO'!BH18</f>
        <v>0.258994708994709</v>
      </c>
      <c r="AI63" s="318">
        <f t="shared" si="24"/>
        <v>0.25211640211640207</v>
      </c>
    </row>
    <row r="64" spans="2:36" ht="87" customHeight="1">
      <c r="B64" s="1455"/>
      <c r="C64" s="1459"/>
      <c r="D64" s="123" t="str">
        <f>+'01-FR-03 POA INSTITUCIONAL'!D64</f>
        <v xml:space="preserve">4.3.4 Formular e implementar el 100% del Plan Institucional de Capacitación de la vigencia.
</v>
      </c>
      <c r="E64" s="136">
        <f>+'01-FR-03 POA INSTITUCIONAL'!E64</f>
        <v>0.15</v>
      </c>
      <c r="F64" s="137">
        <f>+'01-FR-03 POA INSTITUCIONAL'!F64</f>
        <v>1</v>
      </c>
      <c r="G64" s="126">
        <f>+'01-FR-03 POA INSTITUCIONAL'!G64</f>
        <v>1</v>
      </c>
      <c r="H64" s="138" t="str">
        <f>+'01-FR-03 POA INSTITUCIONAL'!H64</f>
        <v>Plan Institucional de Capacitación formulado y ejecutado</v>
      </c>
      <c r="I64" s="123" t="str">
        <f>+'01-FR-03 POA INSTITUCIONAL'!I64</f>
        <v>Gestión del Talento Humano</v>
      </c>
      <c r="J64" s="139" t="str">
        <f>+'01-FR-03 POA INSTITUCIONAL'!J64</f>
        <v>Dependencia Líder: 
Dirección de Talento Humano
Dependencia Operativa:
Subdirección de Desarrollo del Talento Humano</v>
      </c>
      <c r="K64" s="140">
        <f>+'01-FR-03 POA INSTITUCIONAL'!K64</f>
        <v>1</v>
      </c>
      <c r="L64" s="140">
        <f>+'01-FR-03 POA INSTITUCIONAL'!L64</f>
        <v>1</v>
      </c>
      <c r="M64" s="140">
        <f>+'01-FR-03 POA INSTITUCIONAL'!M64</f>
        <v>1</v>
      </c>
      <c r="N64" s="140">
        <f>+'01-FR-03 POA INSTITUCIONAL'!N64</f>
        <v>1</v>
      </c>
      <c r="O64" s="338">
        <f>+'08-G. DEL TALENTO HUMANO'!V19</f>
        <v>0.3</v>
      </c>
      <c r="P64" s="338">
        <f>+'08-G. DEL TALENTO HUMANO'!W19</f>
        <v>0.3</v>
      </c>
      <c r="Q64" s="338">
        <f>+'08-G. DEL TALENTO HUMANO'!AD19</f>
        <v>0.15000000000000002</v>
      </c>
      <c r="R64" s="338">
        <f>+'08-G. DEL TALENTO HUMANO'!AE19</f>
        <v>0.15000000000000002</v>
      </c>
      <c r="S64" s="338">
        <f>+'08-G. DEL TALENTO HUMANO'!AL19</f>
        <v>0.2</v>
      </c>
      <c r="T64" s="763">
        <f>+'08-G. DEL TALENTO HUMANO'!AM19</f>
        <v>0.1</v>
      </c>
      <c r="U64" s="338">
        <f>+'08-G. DEL TALENTO HUMANO'!AT19</f>
        <v>0.35000000000000003</v>
      </c>
      <c r="V64" s="338">
        <f>+'08-G. DEL TALENTO HUMANO'!AU19</f>
        <v>0.44999999999999996</v>
      </c>
      <c r="W64" s="338">
        <f>'08-G. DEL TALENTO HUMANO'!AN19+'08-G. DEL TALENTO HUMANO'!AP19</f>
        <v>0.2</v>
      </c>
      <c r="X64" s="338">
        <f>+'08-G. DEL TALENTO HUMANO'!AV19</f>
        <v>1</v>
      </c>
      <c r="Y64" s="331">
        <f t="shared" ref="Y64:Y68" si="25">+P64+R64+T64+V64</f>
        <v>1</v>
      </c>
      <c r="Z64" s="611">
        <f>IF(AND(Y64&gt;0,$X64&gt;0),Y64/$X64,0)</f>
        <v>1</v>
      </c>
      <c r="AA64" s="339">
        <f>(IF(AND(Y64&gt;0,$F64&gt;0),Y64/$F64,0)/4)*2</f>
        <v>0.5</v>
      </c>
      <c r="AB64" s="340">
        <f>IF(AND(AA64&gt;0,E64&gt;0),AA64*E64,0)</f>
        <v>7.4999999999999997E-2</v>
      </c>
      <c r="AC64" s="1428"/>
      <c r="AE64" s="316">
        <f>+'08-G. DEL TALENTO HUMANO'!BD19</f>
        <v>1</v>
      </c>
      <c r="AF64" s="318">
        <f t="shared" si="23"/>
        <v>0</v>
      </c>
      <c r="AH64" s="316">
        <f>+'08-G. DEL TALENTO HUMANO'!BH19</f>
        <v>0.25</v>
      </c>
      <c r="AI64" s="318">
        <f>+AA64-AH64</f>
        <v>0.25</v>
      </c>
    </row>
    <row r="65" spans="2:35" ht="88.2" customHeight="1">
      <c r="B65" s="1455"/>
      <c r="C65" s="1459"/>
      <c r="D65" s="123" t="str">
        <f>+'01-FR-03 POA INSTITUCIONAL'!D65</f>
        <v>4.3.5 Formular e implementar el 100% del Plan Institucional de Bienestar de la vigencia .</v>
      </c>
      <c r="E65" s="136">
        <f>+'01-FR-03 POA INSTITUCIONAL'!E65</f>
        <v>0.15</v>
      </c>
      <c r="F65" s="137">
        <f>+'01-FR-03 POA INSTITUCIONAL'!F65</f>
        <v>1</v>
      </c>
      <c r="G65" s="126">
        <f>+'01-FR-03 POA INSTITUCIONAL'!G65</f>
        <v>1</v>
      </c>
      <c r="H65" s="138" t="str">
        <f>+'01-FR-03 POA INSTITUCIONAL'!H65</f>
        <v>Plan Institucional de Bienestar formulado y ejecutado</v>
      </c>
      <c r="I65" s="123" t="str">
        <f>+'01-FR-03 POA INSTITUCIONAL'!I65</f>
        <v>Gestión del Talento Humano</v>
      </c>
      <c r="J65" s="139" t="str">
        <f>+'01-FR-03 POA INSTITUCIONAL'!J65</f>
        <v>Dependencia Líder: 
Dirección de Talento Humano
Dependencia Operativa:
Subdirección de Desarrollo del Talento Humano</v>
      </c>
      <c r="K65" s="140">
        <f>+'01-FR-03 POA INSTITUCIONAL'!K65</f>
        <v>1</v>
      </c>
      <c r="L65" s="140">
        <f>+'01-FR-03 POA INSTITUCIONAL'!L65</f>
        <v>1</v>
      </c>
      <c r="M65" s="140">
        <f>+'01-FR-03 POA INSTITUCIONAL'!M65</f>
        <v>1</v>
      </c>
      <c r="N65" s="140">
        <f>+'01-FR-03 POA INSTITUCIONAL'!N65</f>
        <v>1</v>
      </c>
      <c r="O65" s="338">
        <f>+'08-G. DEL TALENTO HUMANO'!V20</f>
        <v>0.25830000000000003</v>
      </c>
      <c r="P65" s="338">
        <f>+'08-G. DEL TALENTO HUMANO'!W20</f>
        <v>0.25830000000000003</v>
      </c>
      <c r="Q65" s="338">
        <f>+'08-G. DEL TALENTO HUMANO'!AD20</f>
        <v>0.17499999999999999</v>
      </c>
      <c r="R65" s="338">
        <f>+'08-G. DEL TALENTO HUMANO'!AE20</f>
        <v>0.1361</v>
      </c>
      <c r="S65" s="153">
        <f>+'08-G. DEL TALENTO HUMANO'!AL20</f>
        <v>0.22369999999999995</v>
      </c>
      <c r="T65" s="338">
        <f>+'08-G. DEL TALENTO HUMANO'!AM20</f>
        <v>0.24309999999999998</v>
      </c>
      <c r="U65" s="153">
        <f>+'08-G. DEL TALENTO HUMANO'!AT20</f>
        <v>0.34299999999999997</v>
      </c>
      <c r="V65" s="153">
        <f>+'08-G. DEL TALENTO HUMANO'!AU20</f>
        <v>0.34289999999999998</v>
      </c>
      <c r="W65" s="338">
        <f>'08-G. DEL TALENTO HUMANO'!AN20+'08-G. DEL TALENTO HUMANO'!AP20</f>
        <v>0.18479999999999999</v>
      </c>
      <c r="X65" s="153">
        <f>+'08-G. DEL TALENTO HUMANO'!AV20</f>
        <v>1</v>
      </c>
      <c r="Y65" s="331">
        <f t="shared" si="25"/>
        <v>0.98039999999999994</v>
      </c>
      <c r="Z65" s="611">
        <f>IF(AND(Y65&gt;0,$X65&gt;0),Y65/$X65,0)</f>
        <v>0.98039999999999994</v>
      </c>
      <c r="AA65" s="339">
        <f>(IF(AND(Y65&gt;0,$F65&gt;0),Y65/$F65,0)/4)*2</f>
        <v>0.49019999999999997</v>
      </c>
      <c r="AB65" s="340">
        <f t="shared" ref="AB65:AB69" si="26">IF(AND(AA65&gt;0,E65&gt;0),AA65*E65,0)</f>
        <v>7.3529999999999998E-2</v>
      </c>
      <c r="AC65" s="1428"/>
      <c r="AE65" s="316">
        <f>+'08-G. DEL TALENTO HUMANO'!BD20</f>
        <v>0.98039999999999994</v>
      </c>
      <c r="AF65" s="318">
        <f t="shared" si="23"/>
        <v>0</v>
      </c>
      <c r="AH65" s="316">
        <f>+'08-G. DEL TALENTO HUMANO'!BH20</f>
        <v>0.24509999999999998</v>
      </c>
      <c r="AI65" s="318">
        <f t="shared" si="24"/>
        <v>0.24509999999999998</v>
      </c>
    </row>
    <row r="66" spans="2:35" ht="99.6" customHeight="1">
      <c r="B66" s="1455"/>
      <c r="C66" s="1459"/>
      <c r="D66" s="123" t="str">
        <f>+'01-FR-03 POA INSTITUCIONAL'!D66</f>
        <v>4.3.6 Formular e implementar el 100% del Plan Institucional de Incentivos de la vigencia.</v>
      </c>
      <c r="E66" s="136">
        <f>+'01-FR-03 POA INSTITUCIONAL'!E66</f>
        <v>0.15</v>
      </c>
      <c r="F66" s="137">
        <f>+'01-FR-03 POA INSTITUCIONAL'!F66</f>
        <v>1</v>
      </c>
      <c r="G66" s="126">
        <f>+'01-FR-03 POA INSTITUCIONAL'!G66</f>
        <v>1</v>
      </c>
      <c r="H66" s="138" t="str">
        <f>+'01-FR-03 POA INSTITUCIONAL'!H66</f>
        <v>Plan Institucional de Incentivos formulado y ejecutado</v>
      </c>
      <c r="I66" s="123" t="str">
        <f>+'01-FR-03 POA INSTITUCIONAL'!I66</f>
        <v>Gestión del Talento Humano</v>
      </c>
      <c r="J66" s="139" t="str">
        <f>+'01-FR-03 POA INSTITUCIONAL'!J66</f>
        <v>Dependencia Líder: 
Dirección de Talento Humano
Dependencia Operativa:
Subdirección de Desarrollo del Talento Humano</v>
      </c>
      <c r="K66" s="140">
        <f>+'01-FR-03 POA INSTITUCIONAL'!K66</f>
        <v>1</v>
      </c>
      <c r="L66" s="140">
        <f>+'01-FR-03 POA INSTITUCIONAL'!L66</f>
        <v>1</v>
      </c>
      <c r="M66" s="140">
        <f>+'01-FR-03 POA INSTITUCIONAL'!M66</f>
        <v>1</v>
      </c>
      <c r="N66" s="140">
        <f>+'01-FR-03 POA INSTITUCIONAL'!N66</f>
        <v>1</v>
      </c>
      <c r="O66" s="338">
        <f>+'08-G. DEL TALENTO HUMANO'!V21</f>
        <v>0.25</v>
      </c>
      <c r="P66" s="338">
        <f>+'08-G. DEL TALENTO HUMANO'!W21</f>
        <v>0.25</v>
      </c>
      <c r="Q66" s="338">
        <f>+'08-G. DEL TALENTO HUMANO'!AD21</f>
        <v>0.1</v>
      </c>
      <c r="R66" s="338">
        <f>+'08-G. DEL TALENTO HUMANO'!AE21</f>
        <v>0.1</v>
      </c>
      <c r="S66" s="153">
        <f>+'08-G. DEL TALENTO HUMANO'!AL21</f>
        <v>0.1</v>
      </c>
      <c r="T66" s="763">
        <f>+'08-G. DEL TALENTO HUMANO'!AM21</f>
        <v>0.1</v>
      </c>
      <c r="U66" s="153">
        <f>+'08-G. DEL TALENTO HUMANO'!AT21</f>
        <v>0.54999999999999993</v>
      </c>
      <c r="V66" s="153">
        <f>+'08-G. DEL TALENTO HUMANO'!AU21</f>
        <v>0.5</v>
      </c>
      <c r="W66" s="338">
        <f>'08-G. DEL TALENTO HUMANO'!AN21+'08-G. DEL TALENTO HUMANO'!AP21</f>
        <v>0.1</v>
      </c>
      <c r="X66" s="153">
        <f>+'08-G. DEL TALENTO HUMANO'!AV21</f>
        <v>0.99999999999999989</v>
      </c>
      <c r="Y66" s="545">
        <f t="shared" si="25"/>
        <v>0.95</v>
      </c>
      <c r="Z66" s="611">
        <f t="shared" ref="Z66:Z68" si="27">IF(AND(Y66&gt;0,$X66&gt;0),Y66/$X66,0)</f>
        <v>0.95000000000000007</v>
      </c>
      <c r="AA66" s="339">
        <f>(IF(AND(Y66&gt;0,$F66&gt;0),Y66/$F66,0)/4)*2</f>
        <v>0.47499999999999998</v>
      </c>
      <c r="AB66" s="340">
        <f t="shared" si="26"/>
        <v>7.1249999999999994E-2</v>
      </c>
      <c r="AC66" s="1428"/>
      <c r="AE66" s="316">
        <f>+'08-G. DEL TALENTO HUMANO'!BD21</f>
        <v>0.95000000000000007</v>
      </c>
      <c r="AF66" s="318">
        <f t="shared" si="23"/>
        <v>0</v>
      </c>
      <c r="AH66" s="316">
        <f>+'08-G. DEL TALENTO HUMANO'!BH21</f>
        <v>0.23749999999999999</v>
      </c>
      <c r="AI66" s="318">
        <f t="shared" si="24"/>
        <v>0.23749999999999999</v>
      </c>
    </row>
    <row r="67" spans="2:35" ht="85.95" customHeight="1">
      <c r="B67" s="1455"/>
      <c r="C67" s="1459"/>
      <c r="D67" s="123" t="str">
        <f>+'01-FR-03 POA INSTITUCIONAL'!D67</f>
        <v>4.3.7 Diseñar e implementar el 100 % del Plan Anual de Trabajo del Sistema de Gestión de Seguridad y Salud en el Trabajo SG-SST de la vigencia.</v>
      </c>
      <c r="E67" s="136">
        <f>+'01-FR-03 POA INSTITUCIONAL'!E67</f>
        <v>0.15</v>
      </c>
      <c r="F67" s="137">
        <f>+'01-FR-03 POA INSTITUCIONAL'!F67</f>
        <v>1</v>
      </c>
      <c r="G67" s="126">
        <f>+'01-FR-03 POA INSTITUCIONAL'!G67</f>
        <v>0.99</v>
      </c>
      <c r="H67" s="138" t="str">
        <f>+'01-FR-03 POA INSTITUCIONAL'!H67</f>
        <v>Plan Anual de Trabajo del Sistema de Gestión de Seguridad y Salud en el Trabajo SG-SST diseñado y ejecutado</v>
      </c>
      <c r="I67" s="123" t="str">
        <f>+'01-FR-03 POA INSTITUCIONAL'!I67</f>
        <v>Gestión del Talento Humano</v>
      </c>
      <c r="J67" s="139" t="str">
        <f>+'01-FR-03 POA INSTITUCIONAL'!J67</f>
        <v>Dependencia Líder: 
Dirección de Talento Humano
Dependencia Operativa:
Subdirección de Desarrollo del Talento Humano</v>
      </c>
      <c r="K67" s="140">
        <f>+'01-FR-03 POA INSTITUCIONAL'!K67</f>
        <v>1</v>
      </c>
      <c r="L67" s="140">
        <f>+'01-FR-03 POA INSTITUCIONAL'!L67</f>
        <v>1</v>
      </c>
      <c r="M67" s="140">
        <f>+'01-FR-03 POA INSTITUCIONAL'!M67</f>
        <v>1</v>
      </c>
      <c r="N67" s="140">
        <f>+'01-FR-03 POA INSTITUCIONAL'!N67</f>
        <v>1</v>
      </c>
      <c r="O67" s="338">
        <f>+'08-G. DEL TALENTO HUMANO'!V22</f>
        <v>0.40160000000000001</v>
      </c>
      <c r="P67" s="338">
        <f>+'08-G. DEL TALENTO HUMANO'!W22</f>
        <v>0.40160000000000001</v>
      </c>
      <c r="Q67" s="338">
        <f>+'08-G. DEL TALENTO HUMANO'!AD22</f>
        <v>0.19600000000000001</v>
      </c>
      <c r="R67" s="338">
        <f>+'08-G. DEL TALENTO HUMANO'!AE22</f>
        <v>0.19600000000000001</v>
      </c>
      <c r="S67" s="153">
        <f>+'08-G. DEL TALENTO HUMANO'!AL22</f>
        <v>0.1232</v>
      </c>
      <c r="T67" s="763">
        <f>+'08-G. DEL TALENTO HUMANO'!AM22</f>
        <v>0.12319999999999999</v>
      </c>
      <c r="U67" s="153">
        <f>+'08-G. DEL TALENTO HUMANO'!AT22</f>
        <v>0.2792</v>
      </c>
      <c r="V67" s="153">
        <f>+'08-G. DEL TALENTO HUMANO'!AU22</f>
        <v>0.2792</v>
      </c>
      <c r="W67" s="338">
        <f>'08-G. DEL TALENTO HUMANO'!AN22+'08-G. DEL TALENTO HUMANO'!AP22</f>
        <v>6.1600000000000002E-2</v>
      </c>
      <c r="X67" s="153">
        <f>+'08-G. DEL TALENTO HUMANO'!AV22</f>
        <v>1</v>
      </c>
      <c r="Y67" s="545">
        <f t="shared" si="25"/>
        <v>1</v>
      </c>
      <c r="Z67" s="611">
        <f t="shared" si="27"/>
        <v>1</v>
      </c>
      <c r="AA67" s="339">
        <f>(IF(AND(Y67&gt;0,$F67&gt;0),Y67/$F67,0)/4)*2</f>
        <v>0.5</v>
      </c>
      <c r="AB67" s="340">
        <f t="shared" si="26"/>
        <v>7.4999999999999997E-2</v>
      </c>
      <c r="AC67" s="1428"/>
      <c r="AE67" s="316">
        <f>+'08-G. DEL TALENTO HUMANO'!BD22</f>
        <v>1</v>
      </c>
      <c r="AF67" s="318">
        <f t="shared" si="23"/>
        <v>0</v>
      </c>
      <c r="AH67" s="316">
        <f>+'08-G. DEL TALENTO HUMANO'!BH22</f>
        <v>0.25</v>
      </c>
      <c r="AI67" s="318">
        <f t="shared" si="24"/>
        <v>0.25</v>
      </c>
    </row>
    <row r="68" spans="2:35" ht="84.75" customHeight="1">
      <c r="B68" s="1455"/>
      <c r="C68" s="1458"/>
      <c r="D68" s="123" t="str">
        <f>+'01-FR-03 POA INSTITUCIONAL'!D68</f>
        <v>4.3.8 Realizar 21 capacitaciones sobre los Sistemas de Gestión y Evaluación del Desempeño Laboral de la Entidad.</v>
      </c>
      <c r="E68" s="124">
        <f>+'01-FR-03 POA INSTITUCIONAL'!E68</f>
        <v>0.1</v>
      </c>
      <c r="F68" s="155">
        <f>+'01-FR-03 POA INSTITUCIONAL'!F68</f>
        <v>21</v>
      </c>
      <c r="G68" s="156" t="str">
        <f>+'01-FR-03 POA INSTITUCIONAL'!G68</f>
        <v>S.I.</v>
      </c>
      <c r="H68" s="149" t="str">
        <f>+'01-FR-03 POA INSTITUCIONAL'!H68</f>
        <v>Capacitaciones realizadas sobre los Sistemas de Gestión y Evaluación del Desempeño Laboral de la Personería de Bogotá, D.C.</v>
      </c>
      <c r="I68" s="150" t="str">
        <f>+'01-FR-03 POA INSTITUCIONAL'!I68</f>
        <v>Gestión del Talento Humano</v>
      </c>
      <c r="J68" s="151" t="str">
        <f>+'01-FR-03 POA INSTITUCIONAL'!J68</f>
        <v>Dirección de Talento Humano</v>
      </c>
      <c r="K68" s="157">
        <f>+'01-FR-03 POA INSTITUCIONAL'!K68</f>
        <v>9</v>
      </c>
      <c r="L68" s="157">
        <f>+'01-FR-03 POA INSTITUCIONAL'!L68</f>
        <v>4</v>
      </c>
      <c r="M68" s="157">
        <f>+'01-FR-03 POA INSTITUCIONAL'!M68</f>
        <v>4</v>
      </c>
      <c r="N68" s="157">
        <f>+'01-FR-03 POA INSTITUCIONAL'!N68</f>
        <v>4</v>
      </c>
      <c r="O68" s="157">
        <f>+'08-G. DEL TALENTO HUMANO'!V23</f>
        <v>2</v>
      </c>
      <c r="P68" s="157">
        <f>+'08-G. DEL TALENTO HUMANO'!W23</f>
        <v>2</v>
      </c>
      <c r="Q68" s="157">
        <f>+'08-G. DEL TALENTO HUMANO'!AD23</f>
        <v>1</v>
      </c>
      <c r="R68" s="157">
        <f>+'08-G. DEL TALENTO HUMANO'!AE23</f>
        <v>1</v>
      </c>
      <c r="S68" s="157">
        <f>+'08-G. DEL TALENTO HUMANO'!AL23</f>
        <v>1</v>
      </c>
      <c r="T68" s="157">
        <f>+'08-G. DEL TALENTO HUMANO'!AM23</f>
        <v>1</v>
      </c>
      <c r="U68" s="157">
        <f>+'08-G. DEL TALENTO HUMANO'!AT23</f>
        <v>0</v>
      </c>
      <c r="V68" s="157">
        <f>+'08-G. DEL TALENTO HUMANO'!AU23</f>
        <v>0</v>
      </c>
      <c r="W68" s="651">
        <f>+'08-G. DEL TALENTO HUMANO'!AN23+'08-G. DEL TALENTO HUMANO'!AP23</f>
        <v>0</v>
      </c>
      <c r="X68" s="157">
        <f>+'08-G. DEL TALENTO HUMANO'!AV23</f>
        <v>4</v>
      </c>
      <c r="Y68" s="157">
        <f t="shared" si="25"/>
        <v>4</v>
      </c>
      <c r="Z68" s="611">
        <f t="shared" si="27"/>
        <v>1</v>
      </c>
      <c r="AA68" s="339">
        <f t="shared" ref="AA68" si="28">IF(AND(Y68&gt;0,$F68&gt;0),Y68/$F68,0)</f>
        <v>0.19047619047619047</v>
      </c>
      <c r="AB68" s="340">
        <f t="shared" si="26"/>
        <v>1.9047619047619049E-2</v>
      </c>
      <c r="AC68" s="1429"/>
      <c r="AE68" s="316">
        <f>+'08-G. DEL TALENTO HUMANO'!BD23</f>
        <v>1</v>
      </c>
      <c r="AF68" s="318">
        <f t="shared" si="23"/>
        <v>0</v>
      </c>
      <c r="AH68" s="316">
        <f>+'08-G. DEL TALENTO HUMANO'!BH23</f>
        <v>0.19047619047619047</v>
      </c>
      <c r="AI68" s="318">
        <f t="shared" si="24"/>
        <v>0</v>
      </c>
    </row>
    <row r="69" spans="2:35" ht="76.5" customHeight="1">
      <c r="B69" s="1455"/>
      <c r="C69" s="1476" t="s">
        <v>145</v>
      </c>
      <c r="D69" s="27" t="str">
        <f>+'01-FR-03 POA INSTITUCIONAL'!D69</f>
        <v>4.4.1 Atender el 100% de los servicios de mantenimiento, almacén, transporte. Aseo y cafetería</v>
      </c>
      <c r="E69" s="38">
        <f>+'01-FR-03 POA INSTITUCIONAL'!E69</f>
        <v>0.1</v>
      </c>
      <c r="F69" s="28">
        <f>+'01-FR-03 POA INSTITUCIONAL'!F69</f>
        <v>1</v>
      </c>
      <c r="G69" s="146">
        <f>+'01-FR-03 POA INSTITUCIONAL'!G69</f>
        <v>0.99199999999999999</v>
      </c>
      <c r="H69" s="113" t="str">
        <f>+'01-FR-03 POA INSTITUCIONAL'!H69</f>
        <v>Porcentaje de servicios atendidos</v>
      </c>
      <c r="I69" s="114" t="str">
        <f>+'01-FR-03 POA INSTITUCIONAL'!I69</f>
        <v>Gestión Administrativa</v>
      </c>
      <c r="J69" s="115" t="str">
        <f>+'01-FR-03 POA INSTITUCIONAL'!J69</f>
        <v>Subdirección de Gestión Documental y Recursos Físicos
Dirección Administrativa y Financiera</v>
      </c>
      <c r="K69" s="117">
        <f>+'01-FR-03 POA INSTITUCIONAL'!K69</f>
        <v>1</v>
      </c>
      <c r="L69" s="117">
        <f>+'01-FR-03 POA INSTITUCIONAL'!L69</f>
        <v>1</v>
      </c>
      <c r="M69" s="117">
        <f>+'01-FR-03 POA INSTITUCIONAL'!M69</f>
        <v>1</v>
      </c>
      <c r="N69" s="117">
        <f>+'01-FR-03 POA INSTITUCIONAL'!N69</f>
        <v>1</v>
      </c>
      <c r="O69" s="311">
        <f>+'09-G.  ADMINISTRATIVA'!V16</f>
        <v>1</v>
      </c>
      <c r="P69" s="311">
        <f>+'09-G.  ADMINISTRATIVA'!W16</f>
        <v>1</v>
      </c>
      <c r="Q69" s="311">
        <f>+'09-G.  ADMINISTRATIVA'!AD16</f>
        <v>1</v>
      </c>
      <c r="R69" s="311">
        <f>+'09-G.  ADMINISTRATIVA'!AE16</f>
        <v>1</v>
      </c>
      <c r="S69" s="311">
        <f>+'09-G.  ADMINISTRATIVA'!AL16</f>
        <v>1</v>
      </c>
      <c r="T69" s="311">
        <f>+'09-G.  ADMINISTRATIVA'!AM16</f>
        <v>1</v>
      </c>
      <c r="U69" s="311">
        <f>+'09-G.  ADMINISTRATIVA'!AT16</f>
        <v>1</v>
      </c>
      <c r="V69" s="311">
        <f>+'09-G.  ADMINISTRATIVA'!AU16</f>
        <v>1</v>
      </c>
      <c r="W69" s="311">
        <f>AVERAGE('09-G.  ADMINISTRATIVA'!AN16,'09-G.  ADMINISTRATIVA'!AP16)</f>
        <v>1</v>
      </c>
      <c r="X69" s="311">
        <f>+'09-G.  ADMINISTRATIVA'!AV16</f>
        <v>1</v>
      </c>
      <c r="Y69" s="342">
        <f>IFERROR(IF(OR($X$69="",$X$69=0),0,ROUNDDOWN(AVERAGE($P69,R69,T69,V69),3)),0)</f>
        <v>1</v>
      </c>
      <c r="Z69" s="932">
        <f>IF(AND(Y69&gt;0,$X69&gt;0),Y69/$X69,0)*1</f>
        <v>1</v>
      </c>
      <c r="AA69" s="947">
        <f>((IF(AND(Y69&gt;0,$F69&gt;0),Y69/$F69,0))/4)*2</f>
        <v>0.5</v>
      </c>
      <c r="AB69" s="313">
        <f t="shared" si="26"/>
        <v>0.05</v>
      </c>
      <c r="AC69" s="1306">
        <f>SUM(AB69:AB86)</f>
        <v>0.4890270621948995</v>
      </c>
      <c r="AE69" s="316">
        <f>+'09-G.  ADMINISTRATIVA'!BD16</f>
        <v>1</v>
      </c>
      <c r="AF69" s="318">
        <f t="shared" si="23"/>
        <v>0</v>
      </c>
      <c r="AH69" s="316">
        <f>+'09-G.  ADMINISTRATIVA'!BH16</f>
        <v>0.25</v>
      </c>
      <c r="AI69" s="318">
        <f t="shared" si="24"/>
        <v>0.25</v>
      </c>
    </row>
    <row r="70" spans="2:35" ht="62.25" customHeight="1">
      <c r="B70" s="1455"/>
      <c r="C70" s="1219"/>
      <c r="D70" s="27" t="str">
        <f>+'01-FR-03 POA INSTITUCIONAL'!D70</f>
        <v>4.4.2 Ejecutar el 97% de las actividades del Plan Estratégico de Seguridad Vial (PESV)</v>
      </c>
      <c r="E70" s="38">
        <f>+'01-FR-03 POA INSTITUCIONAL'!E70</f>
        <v>0.1</v>
      </c>
      <c r="F70" s="28">
        <f>+'01-FR-03 POA INSTITUCIONAL'!F70</f>
        <v>0.97</v>
      </c>
      <c r="G70" s="146">
        <f>+'01-FR-03 POA INSTITUCIONAL'!G70</f>
        <v>0.96599999999999997</v>
      </c>
      <c r="H70" s="113" t="str">
        <f>+'01-FR-03 POA INSTITUCIONAL'!H70</f>
        <v>Porcentaje de actividades del PESV ejecutadas</v>
      </c>
      <c r="I70" s="114" t="str">
        <f>+'01-FR-03 POA INSTITUCIONAL'!I70</f>
        <v>Gestión Administrativa</v>
      </c>
      <c r="J70" s="115" t="str">
        <f>+'01-FR-03 POA INSTITUCIONAL'!J70</f>
        <v>Subdirección de Gestión Documental y Recursos Físicos
Dirección Administrativa y Financiera</v>
      </c>
      <c r="K70" s="117">
        <f>+'01-FR-03 POA INSTITUCIONAL'!K70</f>
        <v>0.97</v>
      </c>
      <c r="L70" s="117">
        <f>+'01-FR-03 POA INSTITUCIONAL'!L70</f>
        <v>0.97</v>
      </c>
      <c r="M70" s="117">
        <f>+'01-FR-03 POA INSTITUCIONAL'!M70</f>
        <v>0.97</v>
      </c>
      <c r="N70" s="117">
        <f>+'01-FR-03 POA INSTITUCIONAL'!N70</f>
        <v>0.97</v>
      </c>
      <c r="O70" s="311">
        <f>+'09-G.  ADMINISTRATIVA'!V17</f>
        <v>0.97000000000000008</v>
      </c>
      <c r="P70" s="311">
        <f>+'09-G.  ADMINISTRATIVA'!W17</f>
        <v>1.0923333333333334</v>
      </c>
      <c r="Q70" s="311">
        <f>+'09-G.  ADMINISTRATIVA'!AD17</f>
        <v>0.97000000000000008</v>
      </c>
      <c r="R70" s="311">
        <f>+'09-G.  ADMINISTRATIVA'!AE17</f>
        <v>1.0946666666666667</v>
      </c>
      <c r="S70" s="311">
        <f>+'09-G.  ADMINISTRATIVA'!AL17</f>
        <v>0.97000000000000008</v>
      </c>
      <c r="T70" s="311">
        <f>+'09-G.  ADMINISTRATIVA'!AM17</f>
        <v>1.272</v>
      </c>
      <c r="U70" s="311">
        <f>+'09-G.  ADMINISTRATIVA'!AT17</f>
        <v>0.97000000000000008</v>
      </c>
      <c r="V70" s="311">
        <f>+'09-G.  ADMINISTRATIVA'!AU17</f>
        <v>1.0666666666666667</v>
      </c>
      <c r="W70" s="311">
        <f>AVERAGE('09-G.  ADMINISTRATIVA'!AN17,'09-G.  ADMINISTRATIVA'!AP17)</f>
        <v>0.97</v>
      </c>
      <c r="X70" s="311">
        <f>+'09-G.  ADMINISTRATIVA'!AV17</f>
        <v>0.97000000000000008</v>
      </c>
      <c r="Y70" s="342">
        <f>IFERROR(IF(OR($X$70="",$X$70=0),0,ROUNDDOWN(AVERAGE($P70,R70,T70,V70),3)),0)</f>
        <v>1.131</v>
      </c>
      <c r="Z70" s="934">
        <f>IF(AND(Y70&gt;0,$X70&gt;0),Y70/$X70,0)*1</f>
        <v>1.1659793814432988</v>
      </c>
      <c r="AA70" s="947">
        <f>((IF(AND(Y70&gt;0,$F70&gt;0),Y70/$F70,0))/4)*2</f>
        <v>0.58298969072164952</v>
      </c>
      <c r="AB70" s="313">
        <f t="shared" ref="AB70" si="29">IF(AND(AA70&gt;0,E70&gt;0),AA70*E70,0)</f>
        <v>5.8298969072164954E-2</v>
      </c>
      <c r="AC70" s="1139"/>
      <c r="AE70" s="316">
        <f>+'09-G.  ADMINISTRATIVA'!BD17</f>
        <v>1.1659793814432988</v>
      </c>
      <c r="AF70" s="318">
        <f t="shared" si="23"/>
        <v>0</v>
      </c>
      <c r="AH70" s="316">
        <f>+'09-G.  ADMINISTRATIVA'!BH17</f>
        <v>0.29149484536082476</v>
      </c>
      <c r="AI70" s="318">
        <f t="shared" ref="AI70:AI71" si="30">+AA70-AH70</f>
        <v>0.29149484536082476</v>
      </c>
    </row>
    <row r="71" spans="2:35" ht="64.5" customHeight="1">
      <c r="B71" s="1455"/>
      <c r="C71" s="1219"/>
      <c r="D71" s="27" t="str">
        <f>+'01-FR-03 POA INSTITUCIONAL'!D71</f>
        <v>4.4.3 Ejecutar el 95% del presupuesto aprobado para la Entidad</v>
      </c>
      <c r="E71" s="38">
        <f>+'01-FR-03 POA INSTITUCIONAL'!E71</f>
        <v>7.0000000000000007E-2</v>
      </c>
      <c r="F71" s="28">
        <f>+'01-FR-03 POA INSTITUCIONAL'!F71</f>
        <v>0.95</v>
      </c>
      <c r="G71" s="146" t="str">
        <f>+'01-FR-03 POA INSTITUCIONAL'!G71</f>
        <v>S.I.</v>
      </c>
      <c r="H71" s="113" t="str">
        <f>+'01-FR-03 POA INSTITUCIONAL'!H71</f>
        <v>Porcentaje del presupuesto aprobado y ejecutado.</v>
      </c>
      <c r="I71" s="114" t="str">
        <f>+'01-FR-03 POA INSTITUCIONAL'!I71</f>
        <v>Gestión Financiera</v>
      </c>
      <c r="J71" s="115" t="str">
        <f>+'01-FR-03 POA INSTITUCIONAL'!J71</f>
        <v>Subdirección de Gestión Financiera
Dirección Administrativa y Financiera</v>
      </c>
      <c r="K71" s="117">
        <f>+'01-FR-03 POA INSTITUCIONAL'!K71</f>
        <v>0.95</v>
      </c>
      <c r="L71" s="117">
        <f>+'01-FR-03 POA INSTITUCIONAL'!L71</f>
        <v>0.95</v>
      </c>
      <c r="M71" s="117">
        <f>+'01-FR-03 POA INSTITUCIONAL'!M71</f>
        <v>0.95</v>
      </c>
      <c r="N71" s="117">
        <f>+'01-FR-03 POA INSTITUCIONAL'!N71</f>
        <v>0.95</v>
      </c>
      <c r="O71" s="311">
        <f>+'10-GESTIÓN FINANCIERA'!V16</f>
        <v>0.22000000000000003</v>
      </c>
      <c r="P71" s="311">
        <f>+'10-GESTIÓN FINANCIERA'!W16</f>
        <v>0.27100000000000002</v>
      </c>
      <c r="Q71" s="311">
        <f>+'10-GESTIÓN FINANCIERA'!AD16</f>
        <v>0.25</v>
      </c>
      <c r="R71" s="311">
        <f>+'10-GESTIÓN FINANCIERA'!AE16</f>
        <v>0.23899999999999999</v>
      </c>
      <c r="S71" s="311">
        <f>+'10-GESTIÓN FINANCIERA'!AL16</f>
        <v>0.25</v>
      </c>
      <c r="T71" s="311">
        <f>+'10-GESTIÓN FINANCIERA'!AM16</f>
        <v>0.21600000000000003</v>
      </c>
      <c r="U71" s="311">
        <f>+'10-GESTIÓN FINANCIERA'!AT16</f>
        <v>0.23</v>
      </c>
      <c r="V71" s="311">
        <f>+'10-GESTIÓN FINANCIERA'!AU16</f>
        <v>0.28700000000000003</v>
      </c>
      <c r="W71" s="311">
        <f>'10-GESTIÓN FINANCIERA'!AN16+'10-GESTIÓN FINANCIERA'!AP16</f>
        <v>0.16</v>
      </c>
      <c r="X71" s="311">
        <f>+'10-GESTIÓN FINANCIERA'!AV16</f>
        <v>0.95</v>
      </c>
      <c r="Y71" s="343">
        <f t="shared" ref="Y71" si="31">+P71+R71+T71+V71</f>
        <v>1.0129999999999999</v>
      </c>
      <c r="Z71" s="612">
        <f>IF(AND(Y71&gt;0,$X71&gt;0),Y71/$X71,0)</f>
        <v>1.0663157894736841</v>
      </c>
      <c r="AA71" s="345">
        <f>(IF(AND(Y71&gt;0,$F71&gt;0),Y71/$F71,0)/4)*2</f>
        <v>0.53315789473684205</v>
      </c>
      <c r="AB71" s="344">
        <f>IF(AND(AA71&gt;0,E71&gt;0),AA71*E71,0)</f>
        <v>3.7321052631578949E-2</v>
      </c>
      <c r="AC71" s="1139"/>
      <c r="AE71" s="316">
        <f>+'10-GESTIÓN FINANCIERA'!BD16</f>
        <v>1.0663157894736841</v>
      </c>
      <c r="AF71" s="318">
        <f t="shared" si="23"/>
        <v>0</v>
      </c>
      <c r="AH71" s="316">
        <f>+'10-GESTIÓN FINANCIERA'!BH16</f>
        <v>0.26657894736842103</v>
      </c>
      <c r="AI71" s="318">
        <f t="shared" si="30"/>
        <v>0.26657894736842103</v>
      </c>
    </row>
    <row r="72" spans="2:35" ht="64.5" customHeight="1">
      <c r="B72" s="1455"/>
      <c r="C72" s="1219"/>
      <c r="D72" s="27" t="str">
        <f>+'01-FR-03 POA INSTITUCIONAL'!D72</f>
        <v>4.4.4 Programar y ejecutar el 95% de los compromisos de pago adquiridos por la Entidad</v>
      </c>
      <c r="E72" s="38">
        <f>+'01-FR-03 POA INSTITUCIONAL'!E72</f>
        <v>7.0000000000000007E-2</v>
      </c>
      <c r="F72" s="28">
        <f>+'01-FR-03 POA INSTITUCIONAL'!F72</f>
        <v>0.95</v>
      </c>
      <c r="G72" s="146" t="str">
        <f>+'01-FR-03 POA INSTITUCIONAL'!G72</f>
        <v>S.I.</v>
      </c>
      <c r="H72" s="113" t="str">
        <f>+'01-FR-03 POA INSTITUCIONAL'!H72</f>
        <v>Porcentaje de los compromisos de pago programados y ejecutados.</v>
      </c>
      <c r="I72" s="114" t="str">
        <f>+'01-FR-03 POA INSTITUCIONAL'!I72</f>
        <v>Gestión Financiera</v>
      </c>
      <c r="J72" s="115" t="str">
        <f>+'01-FR-03 POA INSTITUCIONAL'!J72</f>
        <v>Subdirección de Gestión Financiera
Dirección Administrativa y Financiera</v>
      </c>
      <c r="K72" s="117">
        <f>+'01-FR-03 POA INSTITUCIONAL'!K72</f>
        <v>0.95</v>
      </c>
      <c r="L72" s="117">
        <f>+'01-FR-03 POA INSTITUCIONAL'!L72</f>
        <v>0.95</v>
      </c>
      <c r="M72" s="117">
        <f>+'01-FR-03 POA INSTITUCIONAL'!M72</f>
        <v>0.95</v>
      </c>
      <c r="N72" s="117">
        <f>+'01-FR-03 POA INSTITUCIONAL'!N72</f>
        <v>0.95</v>
      </c>
      <c r="O72" s="311">
        <f>+'10-GESTIÓN FINANCIERA'!V17</f>
        <v>0.14000000000000001</v>
      </c>
      <c r="P72" s="311">
        <f>+'10-GESTIÓN FINANCIERA'!W17</f>
        <v>0.13159999999999999</v>
      </c>
      <c r="Q72" s="311">
        <f>+'10-GESTIÓN FINANCIERA'!AD17</f>
        <v>0.25</v>
      </c>
      <c r="R72" s="311">
        <f>+'10-GESTIÓN FINANCIERA'!AE17</f>
        <v>0.27860000000000001</v>
      </c>
      <c r="S72" s="311">
        <f>+'10-GESTIÓN FINANCIERA'!AL17</f>
        <v>0.23000000000000004</v>
      </c>
      <c r="T72" s="311">
        <f>+'10-GESTIÓN FINANCIERA'!AM17</f>
        <v>0.23043</v>
      </c>
      <c r="U72" s="311">
        <f>+'10-GESTIÓN FINANCIERA'!AT17</f>
        <v>0.32999999999999996</v>
      </c>
      <c r="V72" s="311">
        <f>+'10-GESTIÓN FINANCIERA'!AU17</f>
        <v>0.38486169428374289</v>
      </c>
      <c r="W72" s="311">
        <f>'10-GESTIÓN FINANCIERA'!AN17+'10-GESTIÓN FINANCIERA'!AP17</f>
        <v>0.16999999999999998</v>
      </c>
      <c r="X72" s="311">
        <f>+'10-GESTIÓN FINANCIERA'!AV17</f>
        <v>0.95000000000000007</v>
      </c>
      <c r="Y72" s="343">
        <f t="shared" ref="Y72:Y73" si="32">+P72+R72+T72+V72</f>
        <v>1.0254916942837429</v>
      </c>
      <c r="Z72" s="612">
        <f t="shared" ref="Z72:Z74" si="33">IF(AND(Y72&gt;0,$X72&gt;0),Y72/$X72,0)</f>
        <v>1.0794649413513082</v>
      </c>
      <c r="AA72" s="345">
        <f>(IF(AND(Y72&gt;0,$F72&gt;0),Y72/$F72,0)/4)*2</f>
        <v>0.53973247067565422</v>
      </c>
      <c r="AB72" s="344">
        <f t="shared" ref="AB72:AB73" si="34">IF(AND(AA72&gt;0,E72&gt;0),AA72*E72,0)</f>
        <v>3.7781272947295802E-2</v>
      </c>
      <c r="AC72" s="1139"/>
      <c r="AE72" s="316">
        <f>+'10-GESTIÓN FINANCIERA'!BD17</f>
        <v>1.0794649413513082</v>
      </c>
      <c r="AF72" s="318">
        <f t="shared" ref="AF72:AF99" si="35">Z72-AE72</f>
        <v>0</v>
      </c>
      <c r="AH72" s="316">
        <f>+'10-GESTIÓN FINANCIERA'!BH17</f>
        <v>0.26986623533782711</v>
      </c>
      <c r="AI72" s="318">
        <f t="shared" ref="AI72:AI99" si="36">+AA72-AH72</f>
        <v>0.26986623533782711</v>
      </c>
    </row>
    <row r="73" spans="2:35" ht="64.5" customHeight="1">
      <c r="B73" s="1455"/>
      <c r="C73" s="1219"/>
      <c r="D73" s="27" t="str">
        <f>+'01-FR-03 POA INSTITUCIONAL'!D73</f>
        <v>4.4.5 Elaborar y presentar el 100% de los estados financieros de la Entidad</v>
      </c>
      <c r="E73" s="38">
        <f>+'01-FR-03 POA INSTITUCIONAL'!E73</f>
        <v>0.06</v>
      </c>
      <c r="F73" s="28">
        <f>+'01-FR-03 POA INSTITUCIONAL'!F73</f>
        <v>1</v>
      </c>
      <c r="G73" s="146" t="str">
        <f>+'01-FR-03 POA INSTITUCIONAL'!G73</f>
        <v>S.I.</v>
      </c>
      <c r="H73" s="113" t="str">
        <f>+'01-FR-03 POA INSTITUCIONAL'!H73</f>
        <v>Porcentaje de estados financieros de la Entidad elaborados y presentados.</v>
      </c>
      <c r="I73" s="114" t="str">
        <f>+'01-FR-03 POA INSTITUCIONAL'!I73</f>
        <v>Gestión Financiera</v>
      </c>
      <c r="J73" s="115" t="str">
        <f>+'01-FR-03 POA INSTITUCIONAL'!J73</f>
        <v>Subdirección de Gestión Financiera
Dirección Administrativa y Financiera</v>
      </c>
      <c r="K73" s="117">
        <f>+'01-FR-03 POA INSTITUCIONAL'!K73</f>
        <v>1</v>
      </c>
      <c r="L73" s="117">
        <f>+'01-FR-03 POA INSTITUCIONAL'!L73</f>
        <v>1</v>
      </c>
      <c r="M73" s="117">
        <f>+'01-FR-03 POA INSTITUCIONAL'!M73</f>
        <v>1</v>
      </c>
      <c r="N73" s="117">
        <f>+'01-FR-03 POA INSTITUCIONAL'!N73</f>
        <v>1</v>
      </c>
      <c r="O73" s="311">
        <f>+'10-GESTIÓN FINANCIERA'!V18</f>
        <v>0.25</v>
      </c>
      <c r="P73" s="311">
        <f>+'10-GESTIÓN FINANCIERA'!W18</f>
        <v>0.25</v>
      </c>
      <c r="Q73" s="311">
        <f>+'10-GESTIÓN FINANCIERA'!AD18</f>
        <v>0.25</v>
      </c>
      <c r="R73" s="311">
        <f>+'10-GESTIÓN FINANCIERA'!AE18</f>
        <v>0.25</v>
      </c>
      <c r="S73" s="311">
        <f>+'10-GESTIÓN FINANCIERA'!AL18</f>
        <v>0.25</v>
      </c>
      <c r="T73" s="311">
        <f>+'10-GESTIÓN FINANCIERA'!AM18</f>
        <v>0.25</v>
      </c>
      <c r="U73" s="311">
        <f>+'10-GESTIÓN FINANCIERA'!AT18</f>
        <v>0.25</v>
      </c>
      <c r="V73" s="311">
        <f>+'10-GESTIÓN FINANCIERA'!AU18</f>
        <v>0.25</v>
      </c>
      <c r="W73" s="311">
        <f>'10-GESTIÓN FINANCIERA'!AN18+'10-GESTIÓN FINANCIERA'!AP18</f>
        <v>0.16</v>
      </c>
      <c r="X73" s="311">
        <f>+'10-GESTIÓN FINANCIERA'!AV18</f>
        <v>1</v>
      </c>
      <c r="Y73" s="343">
        <f t="shared" si="32"/>
        <v>1</v>
      </c>
      <c r="Z73" s="612">
        <f t="shared" si="33"/>
        <v>1</v>
      </c>
      <c r="AA73" s="345">
        <f>(IF(AND(Y73&gt;0,$F73&gt;0),Y73/$F73,0)/4)*2</f>
        <v>0.5</v>
      </c>
      <c r="AB73" s="344">
        <f t="shared" si="34"/>
        <v>0.03</v>
      </c>
      <c r="AC73" s="1139"/>
      <c r="AE73" s="316">
        <f>+'10-GESTIÓN FINANCIERA'!BD18</f>
        <v>1</v>
      </c>
      <c r="AF73" s="318">
        <f t="shared" si="35"/>
        <v>0</v>
      </c>
      <c r="AH73" s="316">
        <f>+'10-GESTIÓN FINANCIERA'!BH18</f>
        <v>0.25</v>
      </c>
      <c r="AI73" s="318">
        <f t="shared" si="36"/>
        <v>0.25</v>
      </c>
    </row>
    <row r="74" spans="2:35" ht="78" customHeight="1">
      <c r="B74" s="1455"/>
      <c r="C74" s="1219"/>
      <c r="D74" s="27" t="str">
        <f>+'01-FR-03 POA INSTITUCIONAL'!D74</f>
        <v>4.4.6 Ejecutar el 95% del Plan Anual de Adquisiciones respecto de gastos generales</v>
      </c>
      <c r="E74" s="38">
        <f>+'01-FR-03 POA INSTITUCIONAL'!E74</f>
        <v>0.1</v>
      </c>
      <c r="F74" s="28">
        <f>+'01-FR-03 POA INSTITUCIONAL'!F74</f>
        <v>0.95</v>
      </c>
      <c r="G74" s="146" t="str">
        <f>+'01-FR-03 POA INSTITUCIONAL'!G74</f>
        <v>S.I.</v>
      </c>
      <c r="H74" s="113" t="str">
        <f>+'01-FR-03 POA INSTITUCIONAL'!H74</f>
        <v xml:space="preserve">Porcentaje del Plan Anual de Adquisiciones ejecutado </v>
      </c>
      <c r="I74" s="114" t="str">
        <f>+'01-FR-03 POA INSTITUCIONAL'!I74</f>
        <v>Gestión Contractual</v>
      </c>
      <c r="J74" s="115" t="str">
        <f>+'01-FR-03 POA INSTITUCIONAL'!J74</f>
        <v>Subdirección de Gestión Contractual
Dirección Administrativa y Financiera</v>
      </c>
      <c r="K74" s="117">
        <f>+'01-FR-03 POA INSTITUCIONAL'!K74</f>
        <v>0.95</v>
      </c>
      <c r="L74" s="117">
        <f>+'01-FR-03 POA INSTITUCIONAL'!L74</f>
        <v>0.95</v>
      </c>
      <c r="M74" s="117">
        <f>+'01-FR-03 POA INSTITUCIONAL'!M74</f>
        <v>0.95</v>
      </c>
      <c r="N74" s="117">
        <f>+'01-FR-03 POA INSTITUCIONAL'!N74</f>
        <v>0.95</v>
      </c>
      <c r="O74" s="311">
        <f>+'11-GESTIÓN CONTRACTUAL'!V16</f>
        <v>0.36000000000000004</v>
      </c>
      <c r="P74" s="311">
        <f>+'11-GESTIÓN CONTRACTUAL'!W16</f>
        <v>0.38</v>
      </c>
      <c r="Q74" s="311">
        <f>+'11-GESTIÓN CONTRACTUAL'!AD16</f>
        <v>0.22000000000000003</v>
      </c>
      <c r="R74" s="311">
        <f>+'11-GESTIÓN CONTRACTUAL'!AE16</f>
        <v>0.16</v>
      </c>
      <c r="S74" s="311">
        <f>+'11-GESTIÓN CONTRACTUAL'!AL16</f>
        <v>0.21999999999999997</v>
      </c>
      <c r="T74" s="311">
        <f>+'11-GESTIÓN CONTRACTUAL'!AM16</f>
        <v>0.19</v>
      </c>
      <c r="U74" s="311">
        <f>+'11-GESTIÓN CONTRACTUAL'!AT16</f>
        <v>0.15000000000000002</v>
      </c>
      <c r="V74" s="311">
        <f>+'11-GESTIÓN CONTRACTUAL'!AU16</f>
        <v>0.25</v>
      </c>
      <c r="W74" s="311">
        <f>'11-GESTIÓN CONTRACTUAL'!AN16+'11-GESTIÓN CONTRACTUAL'!AP16</f>
        <v>0.1</v>
      </c>
      <c r="X74" s="311">
        <f>+'11-GESTIÓN CONTRACTUAL'!AV16</f>
        <v>0.95000000000000007</v>
      </c>
      <c r="Y74" s="343">
        <f t="shared" ref="Y74" si="37">+P74+R74+T74+V74</f>
        <v>0.98</v>
      </c>
      <c r="Z74" s="612">
        <f t="shared" si="33"/>
        <v>1.0315789473684209</v>
      </c>
      <c r="AA74" s="345">
        <f>(IF(AND(Y74&gt;0,$F74&gt;0),Y74/$F74,0)/4)*2</f>
        <v>0.51578947368421058</v>
      </c>
      <c r="AB74" s="540">
        <f t="shared" ref="AB74:AB81" si="38">IF(AND(AA74&gt;0,E74&gt;0),AA74*E74,0)</f>
        <v>5.1578947368421058E-2</v>
      </c>
      <c r="AC74" s="1139"/>
      <c r="AE74" s="316">
        <f>+'11-GESTIÓN CONTRACTUAL'!BD16</f>
        <v>1.0315789473684209</v>
      </c>
      <c r="AF74" s="318">
        <f t="shared" si="35"/>
        <v>0</v>
      </c>
      <c r="AH74" s="316">
        <f>+'11-GESTIÓN CONTRACTUAL'!BH16</f>
        <v>0.25789473684210529</v>
      </c>
      <c r="AI74" s="318">
        <f t="shared" si="36"/>
        <v>0.25789473684210529</v>
      </c>
    </row>
    <row r="75" spans="2:35" ht="96.75" customHeight="1">
      <c r="B75" s="1455"/>
      <c r="C75" s="1219"/>
      <c r="D75" s="27" t="str">
        <f>+'01-FR-03 POA INSTITUCIONAL'!D75</f>
        <v>4.4.7 Realizar el 95% del reparto, dentro de un término no superior a tres (3) días hábiles, de las comunicaciones oficiales institucionales recibidas por el Grupo de Correspondencia.</v>
      </c>
      <c r="E75" s="38">
        <f>+'01-FR-03 POA INSTITUCIONAL'!E75</f>
        <v>0.05</v>
      </c>
      <c r="F75" s="28">
        <f>+'01-FR-03 POA INSTITUCIONAL'!F75</f>
        <v>0.95</v>
      </c>
      <c r="G75" s="146" t="str">
        <f>+'01-FR-03 POA INSTITUCIONAL'!G75</f>
        <v>S.I.</v>
      </c>
      <c r="H75" s="113" t="str">
        <f>+'01-FR-03 POA INSTITUCIONAL'!H75</f>
        <v>Porcentaje de Comunicaciones oficiales con reparto realizado dentro de los 3 días hábiles desde su radicación</v>
      </c>
      <c r="I75" s="114" t="str">
        <f>+'01-FR-03 POA INSTITUCIONAL'!I75</f>
        <v>Gestión Documental</v>
      </c>
      <c r="J75" s="115" t="str">
        <f>+'01-FR-03 POA INSTITUCIONAL'!J75</f>
        <v>Subdirección de Gestión Documental y Recursos Físicos - Grupo de Correspondencia</v>
      </c>
      <c r="K75" s="117">
        <f>+'01-FR-03 POA INSTITUCIONAL'!K75</f>
        <v>0.95</v>
      </c>
      <c r="L75" s="117">
        <f>+'01-FR-03 POA INSTITUCIONAL'!L75</f>
        <v>0.95</v>
      </c>
      <c r="M75" s="117">
        <f>+'01-FR-03 POA INSTITUCIONAL'!M75</f>
        <v>0.95</v>
      </c>
      <c r="N75" s="117">
        <f>+'01-FR-03 POA INSTITUCIONAL'!N75</f>
        <v>0.95</v>
      </c>
      <c r="O75" s="311">
        <f>+'12-GESTIÓN DOCUMENTAL'!V16</f>
        <v>0.94999999999999984</v>
      </c>
      <c r="P75" s="311">
        <f>+'12-GESTIÓN DOCUMENTAL'!W16</f>
        <v>0.98523333333333341</v>
      </c>
      <c r="Q75" s="311">
        <f>+'12-GESTIÓN DOCUMENTAL'!AD16</f>
        <v>0.94999999999999984</v>
      </c>
      <c r="R75" s="311">
        <f>+'12-GESTIÓN DOCUMENTAL'!AE16</f>
        <v>0.99406666666666654</v>
      </c>
      <c r="S75" s="311">
        <f>+'12-GESTIÓN DOCUMENTAL'!AL16</f>
        <v>0.94999999999999984</v>
      </c>
      <c r="T75" s="311">
        <f>+'12-GESTIÓN DOCUMENTAL'!AM16</f>
        <v>0.97889999999999999</v>
      </c>
      <c r="U75" s="311">
        <f>+'12-GESTIÓN DOCUMENTAL'!AT16</f>
        <v>0.94999999999999984</v>
      </c>
      <c r="V75" s="311">
        <f>+'12-GESTIÓN DOCUMENTAL'!AU16</f>
        <v>0.98053333333333337</v>
      </c>
      <c r="W75" s="311">
        <f>AVERAGE(('12-GESTIÓN DOCUMENTAL'!AN16,'12-GESTIÓN DOCUMENTAL'!AP16))</f>
        <v>0.95</v>
      </c>
      <c r="X75" s="311">
        <f>+'12-GESTIÓN DOCUMENTAL'!AV16</f>
        <v>0.94999999999999984</v>
      </c>
      <c r="Y75" s="342">
        <f>IFERROR(IF(OR($X$75="",$X$75=0),0,ROUNDDOWN(AVERAGE($P75,R75,T75,V75),3)),0)</f>
        <v>0.98399999999999999</v>
      </c>
      <c r="Z75" s="934">
        <f>IF(AND(Y75&gt;0,$X75&gt;0),Y75/$X75,0)*1</f>
        <v>1.0357894736842106</v>
      </c>
      <c r="AA75" s="947">
        <f>((IF(AND(Y75&gt;0,$F75&gt;0),Y75/$F75,0))/4)*2</f>
        <v>0.5178947368421053</v>
      </c>
      <c r="AB75" s="313">
        <f t="shared" si="38"/>
        <v>2.5894736842105266E-2</v>
      </c>
      <c r="AC75" s="1139"/>
      <c r="AE75" s="316">
        <f>+'12-GESTIÓN DOCUMENTAL'!BD16</f>
        <v>1.0364210526315791</v>
      </c>
      <c r="AF75" s="318">
        <f t="shared" si="35"/>
        <v>-6.3157894736853848E-4</v>
      </c>
      <c r="AH75" s="316">
        <f>+'12-GESTIÓN DOCUMENTAL'!BH16</f>
        <v>0.25910526315789478</v>
      </c>
      <c r="AI75" s="318">
        <f t="shared" si="36"/>
        <v>0.25878947368421051</v>
      </c>
    </row>
    <row r="76" spans="2:35" ht="76.5" customHeight="1">
      <c r="B76" s="1455"/>
      <c r="C76" s="1219"/>
      <c r="D76" s="27" t="str">
        <f>+'01-FR-03 POA INSTITUCIONAL'!D76</f>
        <v>4.4.8 Incorporar el 80% al archivo central de las transferencias documentales provenientes de las dependencias, en razón a que cumplen los requisitos exigidos para ello.</v>
      </c>
      <c r="E76" s="38">
        <f>+'01-FR-03 POA INSTITUCIONAL'!E76</f>
        <v>0.05</v>
      </c>
      <c r="F76" s="28">
        <f>+'01-FR-03 POA INSTITUCIONAL'!F76</f>
        <v>0.8</v>
      </c>
      <c r="G76" s="1030">
        <f>+'01-FR-03 POA INSTITUCIONAL'!G76</f>
        <v>264</v>
      </c>
      <c r="H76" s="113" t="str">
        <f>+'01-FR-03 POA INSTITUCIONAL'!H76</f>
        <v>Porcentaje de documentación incorporada en el archivo central durante la vigencia.</v>
      </c>
      <c r="I76" s="114" t="str">
        <f>+'01-FR-03 POA INSTITUCIONAL'!I76</f>
        <v>Gestión Documental</v>
      </c>
      <c r="J76" s="115" t="str">
        <f>+'01-FR-03 POA INSTITUCIONAL'!J76</f>
        <v>Subdirección de Gestión Documental y Recursos Físicos - Archivo central</v>
      </c>
      <c r="K76" s="117">
        <f>+'01-FR-03 POA INSTITUCIONAL'!K76</f>
        <v>0.8</v>
      </c>
      <c r="L76" s="117">
        <f>+'01-FR-03 POA INSTITUCIONAL'!L76</f>
        <v>0.8</v>
      </c>
      <c r="M76" s="117">
        <f>+'01-FR-03 POA INSTITUCIONAL'!M76</f>
        <v>0.8</v>
      </c>
      <c r="N76" s="117">
        <f>+'01-FR-03 POA INSTITUCIONAL'!N76</f>
        <v>0.8</v>
      </c>
      <c r="O76" s="311">
        <f>+'12-GESTIÓN DOCUMENTAL'!V17</f>
        <v>0.80000000000000016</v>
      </c>
      <c r="P76" s="311">
        <f>+'12-GESTIÓN DOCUMENTAL'!W17</f>
        <v>0.8753333333333333</v>
      </c>
      <c r="Q76" s="311">
        <f>+'12-GESTIÓN DOCUMENTAL'!AD17</f>
        <v>0.80000000000000016</v>
      </c>
      <c r="R76" s="311">
        <f>+'12-GESTIÓN DOCUMENTAL'!AE17</f>
        <v>0.88233333333333341</v>
      </c>
      <c r="S76" s="311">
        <f>+'12-GESTIÓN DOCUMENTAL'!AL17</f>
        <v>0.80000000000000016</v>
      </c>
      <c r="T76" s="311">
        <f>+'12-GESTIÓN DOCUMENTAL'!AM17</f>
        <v>0.80166666666666675</v>
      </c>
      <c r="U76" s="311">
        <f>+'12-GESTIÓN DOCUMENTAL'!AT17</f>
        <v>0.80000000000000016</v>
      </c>
      <c r="V76" s="311">
        <f>+'12-GESTIÓN DOCUMENTAL'!AU17</f>
        <v>0.84633333333333338</v>
      </c>
      <c r="W76" s="311">
        <f>AVERAGE(('12-GESTIÓN DOCUMENTAL'!AN17,'12-GESTIÓN DOCUMENTAL'!AP17))</f>
        <v>0.8</v>
      </c>
      <c r="X76" s="311">
        <f>+'12-GESTIÓN DOCUMENTAL'!AV17</f>
        <v>0.79999999999999993</v>
      </c>
      <c r="Y76" s="342">
        <f>IFERROR(IF(OR($X$76="",$X$76=0),0,ROUNDDOWN(AVERAGE($P76,R76,T76,V76),3)),0)</f>
        <v>0.85099999999999998</v>
      </c>
      <c r="Z76" s="934">
        <f>IF(AND(Y76&gt;0,$X76&gt;0),Y76/$X76,0)*1</f>
        <v>1.06375</v>
      </c>
      <c r="AA76" s="947">
        <f>((IF(AND(Y76&gt;0,$F76&gt;0),Y76/$F76,0))/4)*2</f>
        <v>0.53187499999999999</v>
      </c>
      <c r="AB76" s="313">
        <f t="shared" si="38"/>
        <v>2.6593749999999999E-2</v>
      </c>
      <c r="AC76" s="1139"/>
      <c r="AE76" s="316">
        <f>+'12-GESTIÓN DOCUMENTAL'!BD17</f>
        <v>1.06375</v>
      </c>
      <c r="AF76" s="318">
        <f t="shared" si="35"/>
        <v>0</v>
      </c>
      <c r="AH76" s="316">
        <f>+'12-GESTIÓN DOCUMENTAL'!BH17</f>
        <v>0.26593749999999999</v>
      </c>
      <c r="AI76" s="318">
        <f t="shared" si="36"/>
        <v>0.26593749999999999</v>
      </c>
    </row>
    <row r="77" spans="2:35" ht="120" customHeight="1">
      <c r="B77" s="1455"/>
      <c r="C77" s="1219"/>
      <c r="D77" s="27" t="str">
        <f>+'01-FR-03 POA INSTITUCIONAL'!D77</f>
        <v>4.4.9 Realizar 100 actividades de diseño, actualización o ajuste de los instrumentos archivísticos establecidos por norma.</v>
      </c>
      <c r="E77" s="38">
        <f>+'01-FR-03 POA INSTITUCIONAL'!E77</f>
        <v>0.05</v>
      </c>
      <c r="F77" s="111">
        <f>+'01-FR-03 POA INSTITUCIONAL'!F77</f>
        <v>100</v>
      </c>
      <c r="G77" s="1030">
        <f>+'01-FR-03 POA INSTITUCIONAL'!G77</f>
        <v>32</v>
      </c>
      <c r="H77" s="113" t="str">
        <f>+'01-FR-03 POA INSTITUCIONAL'!H77</f>
        <v>Cantidad de actividades realizadas por año para el diseño, actualización o ajuste de los instrumentos archivísticos establecidos por norma</v>
      </c>
      <c r="I77" s="114" t="str">
        <f>+'01-FR-03 POA INSTITUCIONAL'!I77</f>
        <v>Gestión Documental</v>
      </c>
      <c r="J77" s="115" t="str">
        <f>+'01-FR-03 POA INSTITUCIONAL'!J77</f>
        <v xml:space="preserve">Subdirección de Gestión Documental y Recursos Físicos </v>
      </c>
      <c r="K77" s="116">
        <f>+'01-FR-03 POA INSTITUCIONAL'!K77</f>
        <v>25</v>
      </c>
      <c r="L77" s="116">
        <f>+'01-FR-03 POA INSTITUCIONAL'!L77</f>
        <v>25</v>
      </c>
      <c r="M77" s="116">
        <f>+'01-FR-03 POA INSTITUCIONAL'!M77</f>
        <v>25</v>
      </c>
      <c r="N77" s="116">
        <f>+'01-FR-03 POA INSTITUCIONAL'!N77</f>
        <v>25</v>
      </c>
      <c r="O77" s="145">
        <f>+'12-GESTIÓN DOCUMENTAL'!V18</f>
        <v>5</v>
      </c>
      <c r="P77" s="145">
        <f>+'12-GESTIÓN DOCUMENTAL'!W18</f>
        <v>6</v>
      </c>
      <c r="Q77" s="145">
        <f>+'12-GESTIÓN DOCUMENTAL'!AD18</f>
        <v>7</v>
      </c>
      <c r="R77" s="145">
        <f>+'12-GESTIÓN DOCUMENTAL'!AE18</f>
        <v>7.75</v>
      </c>
      <c r="S77" s="145">
        <f>+'12-GESTIÓN DOCUMENTAL'!AL18</f>
        <v>7</v>
      </c>
      <c r="T77" s="145">
        <f>+'12-GESTIÓN DOCUMENTAL'!AM18</f>
        <v>5.6</v>
      </c>
      <c r="U77" s="145">
        <f>+'12-GESTIÓN DOCUMENTAL'!AT18</f>
        <v>6</v>
      </c>
      <c r="V77" s="145">
        <f>+'12-GESTIÓN DOCUMENTAL'!AU18</f>
        <v>5.5</v>
      </c>
      <c r="W77" s="645">
        <f>'12-GESTIÓN DOCUMENTAL'!AN18+'12-GESTIÓN DOCUMENTAL'!AP18</f>
        <v>5</v>
      </c>
      <c r="X77" s="145">
        <f>+'12-GESTIÓN DOCUMENTAL'!AV18</f>
        <v>25</v>
      </c>
      <c r="Y77" s="948">
        <f t="shared" ref="Y77:Y78" si="39">+P77+R77+T77+V77</f>
        <v>24.85</v>
      </c>
      <c r="Z77" s="613">
        <f t="shared" ref="Z77:Z78" si="40">IF(AND(Y77&gt;0,$X77&gt;0),Y77/$X77,0)</f>
        <v>0.99400000000000011</v>
      </c>
      <c r="AA77" s="313">
        <f t="shared" ref="AA77:AA78" si="41">IF(AND(Y77&gt;0,$F77&gt;0),Y77/$F77,0)</f>
        <v>0.24850000000000003</v>
      </c>
      <c r="AB77" s="319">
        <f t="shared" si="38"/>
        <v>1.2425000000000002E-2</v>
      </c>
      <c r="AC77" s="1139"/>
      <c r="AE77" s="316">
        <f>+'12-GESTIÓN DOCUMENTAL'!BD18</f>
        <v>0.99400000000000011</v>
      </c>
      <c r="AF77" s="318">
        <f t="shared" si="35"/>
        <v>0</v>
      </c>
      <c r="AH77" s="316">
        <f>+'12-GESTIÓN DOCUMENTAL'!BH18</f>
        <v>0.24850000000000003</v>
      </c>
      <c r="AI77" s="318">
        <f t="shared" si="36"/>
        <v>0</v>
      </c>
    </row>
    <row r="78" spans="2:35" ht="87" customHeight="1">
      <c r="B78" s="1455"/>
      <c r="C78" s="1219"/>
      <c r="D78" s="27" t="str">
        <f>+'01-FR-03 POA INSTITUCIONAL'!D78</f>
        <v>4.4.10 Realizar 100 actividades de implementación de los instrumentos archivísticos establecidos por norma, y de las herramientas de apoyo a la gestión documental.</v>
      </c>
      <c r="E78" s="38">
        <f>+'01-FR-03 POA INSTITUCIONAL'!E78</f>
        <v>0.05</v>
      </c>
      <c r="F78" s="111">
        <f>+'01-FR-03 POA INSTITUCIONAL'!F78</f>
        <v>100</v>
      </c>
      <c r="G78" s="1030">
        <f>+'01-FR-03 POA INSTITUCIONAL'!G78</f>
        <v>26</v>
      </c>
      <c r="H78" s="113" t="str">
        <f>+'01-FR-03 POA INSTITUCIONAL'!H78</f>
        <v>Cantidad de actividades realizadas por año para implementación de los instrumentos archivísticos establecidos por norma, y de herramientas de apoyo a la gestión documental.</v>
      </c>
      <c r="I78" s="114" t="str">
        <f>+'01-FR-03 POA INSTITUCIONAL'!I78</f>
        <v>Gestión Documental
Direccionamiento TIC</v>
      </c>
      <c r="J78" s="115" t="str">
        <f>+'01-FR-03 POA INSTITUCIONAL'!J78</f>
        <v>Subdirección de Gestión Documental y Recursos Físicos
Dirección de Tecnologías de la Información y Comunicaciones</v>
      </c>
      <c r="K78" s="116">
        <f>+'01-FR-03 POA INSTITUCIONAL'!K78</f>
        <v>25</v>
      </c>
      <c r="L78" s="116">
        <f>+'01-FR-03 POA INSTITUCIONAL'!L78</f>
        <v>25</v>
      </c>
      <c r="M78" s="116">
        <f>+'01-FR-03 POA INSTITUCIONAL'!M78</f>
        <v>25</v>
      </c>
      <c r="N78" s="116">
        <f>+'01-FR-03 POA INSTITUCIONAL'!N78</f>
        <v>25</v>
      </c>
      <c r="O78" s="145">
        <f>+'12-GESTIÓN DOCUMENTAL'!V19</f>
        <v>5</v>
      </c>
      <c r="P78" s="145">
        <f>+'12-GESTIÓN DOCUMENTAL'!W19</f>
        <v>5</v>
      </c>
      <c r="Q78" s="145">
        <f>+'12-GESTIÓN DOCUMENTAL'!AD19</f>
        <v>7</v>
      </c>
      <c r="R78" s="145">
        <f>+'12-GESTIÓN DOCUMENTAL'!AE19</f>
        <v>7</v>
      </c>
      <c r="S78" s="145">
        <f>+'12-GESTIÓN DOCUMENTAL'!AL19</f>
        <v>7</v>
      </c>
      <c r="T78" s="145">
        <f>+'12-GESTIÓN DOCUMENTAL'!AM19</f>
        <v>7.35</v>
      </c>
      <c r="U78" s="145">
        <f>+'12-GESTIÓN DOCUMENTAL'!AT19</f>
        <v>6</v>
      </c>
      <c r="V78" s="145">
        <f>+'12-GESTIÓN DOCUMENTAL'!AU19</f>
        <v>6.25</v>
      </c>
      <c r="W78" s="645">
        <f>'12-GESTIÓN DOCUMENTAL'!AN19+'12-GESTIÓN DOCUMENTAL'!AP19</f>
        <v>5</v>
      </c>
      <c r="X78" s="145">
        <f>+'12-GESTIÓN DOCUMENTAL'!AV19</f>
        <v>25</v>
      </c>
      <c r="Y78" s="948">
        <f t="shared" si="39"/>
        <v>25.6</v>
      </c>
      <c r="Z78" s="613">
        <f t="shared" si="40"/>
        <v>1.024</v>
      </c>
      <c r="AA78" s="313">
        <f t="shared" si="41"/>
        <v>0.25600000000000001</v>
      </c>
      <c r="AB78" s="319">
        <f t="shared" si="38"/>
        <v>1.2800000000000001E-2</v>
      </c>
      <c r="AC78" s="1139"/>
      <c r="AE78" s="316">
        <f>+'12-GESTIÓN DOCUMENTAL'!BD19</f>
        <v>1.024</v>
      </c>
      <c r="AF78" s="318">
        <f t="shared" si="35"/>
        <v>0</v>
      </c>
      <c r="AH78" s="316">
        <f>+'12-GESTIÓN DOCUMENTAL'!BH19</f>
        <v>0.25600000000000001</v>
      </c>
      <c r="AI78" s="318">
        <f t="shared" si="36"/>
        <v>0</v>
      </c>
    </row>
    <row r="79" spans="2:35" ht="63" customHeight="1">
      <c r="B79" s="1455"/>
      <c r="C79" s="1219"/>
      <c r="D79" s="27" t="str">
        <f>+'01-FR-03 POA INSTITUCIONAL'!D79</f>
        <v>4.4.11  Representar a la Entidad en el 100% de los procesos judiciales en los cuales la sea vinculada o demandada.</v>
      </c>
      <c r="E79" s="38">
        <f>+'01-FR-03 POA INSTITUCIONAL'!E79</f>
        <v>0.05</v>
      </c>
      <c r="F79" s="28">
        <f>+'01-FR-03 POA INSTITUCIONAL'!F79</f>
        <v>1</v>
      </c>
      <c r="G79" s="146">
        <f>+'01-FR-03 POA INSTITUCIONAL'!G79</f>
        <v>1</v>
      </c>
      <c r="H79" s="113" t="str">
        <f>+'01-FR-03 POA INSTITUCIONAL'!H79</f>
        <v>Porcentaje de procesos judiciales en los que se vincule o demande a la Entidad, objeto de representación oportuna</v>
      </c>
      <c r="I79" s="114" t="str">
        <f>+'01-FR-03 POA INSTITUCIONAL'!I79</f>
        <v xml:space="preserve"> Gestión Jurídica</v>
      </c>
      <c r="J79" s="115" t="str">
        <f>+'01-FR-03 POA INSTITUCIONAL'!J79</f>
        <v>Oficina Asesora Jurídica</v>
      </c>
      <c r="K79" s="117">
        <f>+'01-FR-03 POA INSTITUCIONAL'!K79</f>
        <v>1</v>
      </c>
      <c r="L79" s="117">
        <f>+'01-FR-03 POA INSTITUCIONAL'!L79</f>
        <v>1</v>
      </c>
      <c r="M79" s="117">
        <f>+'01-FR-03 POA INSTITUCIONAL'!M79</f>
        <v>1</v>
      </c>
      <c r="N79" s="117">
        <f>+'01-FR-03 POA INSTITUCIONAL'!N79</f>
        <v>1</v>
      </c>
      <c r="O79" s="346">
        <f>+'13-GESTIÓN JURÍDICA'!V16</f>
        <v>1</v>
      </c>
      <c r="P79" s="346">
        <f>+'13-GESTIÓN JURÍDICA'!W16</f>
        <v>1</v>
      </c>
      <c r="Q79" s="346">
        <f>+'13-GESTIÓN JURÍDICA'!AD16</f>
        <v>1</v>
      </c>
      <c r="R79" s="346">
        <f>+'13-GESTIÓN JURÍDICA'!AE16</f>
        <v>1</v>
      </c>
      <c r="S79" s="346">
        <f>+'13-GESTIÓN JURÍDICA'!AL16</f>
        <v>1</v>
      </c>
      <c r="T79" s="311">
        <f>+'13-GESTIÓN JURÍDICA'!AM16</f>
        <v>1</v>
      </c>
      <c r="U79" s="311">
        <f>+'13-GESTIÓN JURÍDICA'!AT16</f>
        <v>1</v>
      </c>
      <c r="V79" s="311">
        <f>+'13-GESTIÓN JURÍDICA'!AU16</f>
        <v>1</v>
      </c>
      <c r="W79" s="311">
        <f>AVERAGE('13-GESTIÓN JURÍDICA'!AN16,'13-GESTIÓN JURÍDICA'!AP16)</f>
        <v>1</v>
      </c>
      <c r="X79" s="311">
        <f>+'13-GESTIÓN JURÍDICA'!AV16</f>
        <v>1</v>
      </c>
      <c r="Y79" s="342">
        <f>IFERROR(IF(OR($X$79="",$X$79=0),0,ROUNDDOWN(AVERAGE($P79,R79,T79,V79),3)),0)</f>
        <v>1</v>
      </c>
      <c r="Z79" s="934">
        <f t="shared" ref="Z79:Z86" si="42">IF(AND(Y79&gt;0,$X79&gt;0),Y79/$X79,0)*1</f>
        <v>1</v>
      </c>
      <c r="AA79" s="947">
        <f t="shared" ref="AA79:AA86" si="43">((IF(AND(Y79&gt;0,$F79&gt;0),Y79/$F79,0))/4)*2</f>
        <v>0.5</v>
      </c>
      <c r="AB79" s="319">
        <f t="shared" si="38"/>
        <v>2.5000000000000001E-2</v>
      </c>
      <c r="AC79" s="1139"/>
      <c r="AE79" s="316">
        <f>+'13-GESTIÓN JURÍDICA'!BD16</f>
        <v>1</v>
      </c>
      <c r="AF79" s="318">
        <f t="shared" si="35"/>
        <v>0</v>
      </c>
      <c r="AH79" s="316">
        <f>+'13-GESTIÓN JURÍDICA'!BH16</f>
        <v>0.25</v>
      </c>
      <c r="AI79" s="318">
        <f t="shared" si="36"/>
        <v>0.25</v>
      </c>
    </row>
    <row r="80" spans="2:35" ht="54.75" customHeight="1">
      <c r="B80" s="1455"/>
      <c r="C80" s="1219"/>
      <c r="D80" s="27" t="str">
        <f>+'01-FR-03 POA INSTITUCIONAL'!D80</f>
        <v xml:space="preserve">4.4.12 Defender judicialmente a la Entidad en el 100% de las acciones de tutela en las cuales sea vinculada o accionada </v>
      </c>
      <c r="E80" s="38">
        <f>+'01-FR-03 POA INSTITUCIONAL'!E80</f>
        <v>0.05</v>
      </c>
      <c r="F80" s="28">
        <f>+'01-FR-03 POA INSTITUCIONAL'!F80</f>
        <v>1</v>
      </c>
      <c r="G80" s="146">
        <f>+'01-FR-03 POA INSTITUCIONAL'!G80</f>
        <v>1</v>
      </c>
      <c r="H80" s="113" t="str">
        <f>+'01-FR-03 POA INSTITUCIONAL'!H80</f>
        <v xml:space="preserve">Porcentaje de acciones de tutela en las cuales se defienda judicialmente a la Entidad oportunamente </v>
      </c>
      <c r="I80" s="114" t="str">
        <f>+'01-FR-03 POA INSTITUCIONAL'!I80</f>
        <v xml:space="preserve"> Gestión Jurídica</v>
      </c>
      <c r="J80" s="115" t="str">
        <f>+'01-FR-03 POA INSTITUCIONAL'!J80</f>
        <v>Oficina Asesora Jurídica</v>
      </c>
      <c r="K80" s="117">
        <f>+'01-FR-03 POA INSTITUCIONAL'!K80</f>
        <v>1</v>
      </c>
      <c r="L80" s="117">
        <f>+'01-FR-03 POA INSTITUCIONAL'!L80</f>
        <v>1</v>
      </c>
      <c r="M80" s="117">
        <f>+'01-FR-03 POA INSTITUCIONAL'!M80</f>
        <v>1</v>
      </c>
      <c r="N80" s="117">
        <f>+'01-FR-03 POA INSTITUCIONAL'!N80</f>
        <v>1</v>
      </c>
      <c r="O80" s="346">
        <f>+'13-GESTIÓN JURÍDICA'!V17</f>
        <v>1</v>
      </c>
      <c r="P80" s="346">
        <f>+'13-GESTIÓN JURÍDICA'!W17</f>
        <v>1</v>
      </c>
      <c r="Q80" s="346">
        <f>+'13-GESTIÓN JURÍDICA'!AD17</f>
        <v>1</v>
      </c>
      <c r="R80" s="346">
        <f>+'13-GESTIÓN JURÍDICA'!AE17</f>
        <v>1</v>
      </c>
      <c r="S80" s="346">
        <f>+'13-GESTIÓN JURÍDICA'!AL17</f>
        <v>1</v>
      </c>
      <c r="T80" s="311">
        <f>+'13-GESTIÓN JURÍDICA'!AM17</f>
        <v>1</v>
      </c>
      <c r="U80" s="311">
        <f>+'13-GESTIÓN JURÍDICA'!AT17</f>
        <v>1</v>
      </c>
      <c r="V80" s="311">
        <f>+'13-GESTIÓN JURÍDICA'!AU17</f>
        <v>1</v>
      </c>
      <c r="W80" s="311">
        <f>AVERAGE('13-GESTIÓN JURÍDICA'!AN17,'13-GESTIÓN JURÍDICA'!AP17)</f>
        <v>1</v>
      </c>
      <c r="X80" s="311">
        <f>+'13-GESTIÓN JURÍDICA'!AV17</f>
        <v>1</v>
      </c>
      <c r="Y80" s="342">
        <f>IFERROR(IF(OR($X$80="",$X$80=0),0,ROUNDDOWN(AVERAGE($P80,R80,T80,V80),3)),0)</f>
        <v>1</v>
      </c>
      <c r="Z80" s="934">
        <f t="shared" si="42"/>
        <v>1</v>
      </c>
      <c r="AA80" s="947">
        <f t="shared" si="43"/>
        <v>0.5</v>
      </c>
      <c r="AB80" s="319">
        <f t="shared" si="38"/>
        <v>2.5000000000000001E-2</v>
      </c>
      <c r="AC80" s="1139"/>
      <c r="AE80" s="316">
        <f>+'13-GESTIÓN JURÍDICA'!BD17</f>
        <v>1</v>
      </c>
      <c r="AF80" s="318">
        <f t="shared" si="35"/>
        <v>0</v>
      </c>
      <c r="AH80" s="316">
        <f>+'13-GESTIÓN JURÍDICA'!BH17</f>
        <v>0.25</v>
      </c>
      <c r="AI80" s="318">
        <f t="shared" si="36"/>
        <v>0.25</v>
      </c>
    </row>
    <row r="81" spans="2:35" ht="78.75" customHeight="1">
      <c r="B81" s="1455"/>
      <c r="C81" s="1219"/>
      <c r="D81" s="27" t="str">
        <f>+'01-FR-03 POA INSTITUCIONAL'!D81</f>
        <v>4.4.13 Emitir oportunamente el 100% de los conceptos jurídicos solicitados por el Despacho del Personero de Bogotá o sus delegados.</v>
      </c>
      <c r="E81" s="38">
        <f>+'01-FR-03 POA INSTITUCIONAL'!E81</f>
        <v>0.05</v>
      </c>
      <c r="F81" s="28">
        <f>+'01-FR-03 POA INSTITUCIONAL'!F81</f>
        <v>1</v>
      </c>
      <c r="G81" s="146">
        <f>+'01-FR-03 POA INSTITUCIONAL'!G81</f>
        <v>1</v>
      </c>
      <c r="H81" s="113" t="str">
        <f>+'01-FR-03 POA INSTITUCIONAL'!H81</f>
        <v>Porcentaje de conceptos de competencia de la dependencia emitidos oportunamente</v>
      </c>
      <c r="I81" s="114" t="str">
        <f>+'01-FR-03 POA INSTITUCIONAL'!I81</f>
        <v xml:space="preserve"> Gestión Jurídica</v>
      </c>
      <c r="J81" s="115" t="str">
        <f>+'01-FR-03 POA INSTITUCIONAL'!J81</f>
        <v>Oficina Asesora Jurídica</v>
      </c>
      <c r="K81" s="117">
        <f>+'01-FR-03 POA INSTITUCIONAL'!K81</f>
        <v>1</v>
      </c>
      <c r="L81" s="117">
        <f>+'01-FR-03 POA INSTITUCIONAL'!L81</f>
        <v>1</v>
      </c>
      <c r="M81" s="117">
        <f>+'01-FR-03 POA INSTITUCIONAL'!M81</f>
        <v>1</v>
      </c>
      <c r="N81" s="117">
        <f>+'01-FR-03 POA INSTITUCIONAL'!N81</f>
        <v>1</v>
      </c>
      <c r="O81" s="346">
        <f>+'13-GESTIÓN JURÍDICA'!V18</f>
        <v>1</v>
      </c>
      <c r="P81" s="346">
        <f>+'13-GESTIÓN JURÍDICA'!W18</f>
        <v>1</v>
      </c>
      <c r="Q81" s="346">
        <f>+'13-GESTIÓN JURÍDICA'!AD18</f>
        <v>1</v>
      </c>
      <c r="R81" s="346">
        <f>+'13-GESTIÓN JURÍDICA'!AE18</f>
        <v>1</v>
      </c>
      <c r="S81" s="346">
        <f>+'13-GESTIÓN JURÍDICA'!AL18</f>
        <v>1</v>
      </c>
      <c r="T81" s="311">
        <f>+'13-GESTIÓN JURÍDICA'!AM18</f>
        <v>1</v>
      </c>
      <c r="U81" s="311">
        <f>+'13-GESTIÓN JURÍDICA'!AT18</f>
        <v>1</v>
      </c>
      <c r="V81" s="311">
        <f>+'13-GESTIÓN JURÍDICA'!AU18</f>
        <v>1</v>
      </c>
      <c r="W81" s="311">
        <f>AVERAGE('13-GESTIÓN JURÍDICA'!AN18,'13-GESTIÓN JURÍDICA'!AP18)</f>
        <v>1</v>
      </c>
      <c r="X81" s="311">
        <f>+'13-GESTIÓN JURÍDICA'!AV18</f>
        <v>1</v>
      </c>
      <c r="Y81" s="342">
        <f>IFERROR(IF(OR($X$81="",$X$81=0),0,ROUNDDOWN(AVERAGE($P81,R81,T81,V81),3)),0)</f>
        <v>1</v>
      </c>
      <c r="Z81" s="934">
        <f t="shared" si="42"/>
        <v>1</v>
      </c>
      <c r="AA81" s="947">
        <f t="shared" si="43"/>
        <v>0.5</v>
      </c>
      <c r="AB81" s="319">
        <f t="shared" si="38"/>
        <v>2.5000000000000001E-2</v>
      </c>
      <c r="AC81" s="1139"/>
      <c r="AE81" s="316">
        <f>+'13-GESTIÓN JURÍDICA'!BD18</f>
        <v>1</v>
      </c>
      <c r="AF81" s="318">
        <f t="shared" si="35"/>
        <v>0</v>
      </c>
      <c r="AH81" s="316">
        <f>+'13-GESTIÓN JURÍDICA'!BH18</f>
        <v>0.25</v>
      </c>
      <c r="AI81" s="318">
        <f t="shared" si="36"/>
        <v>0.25</v>
      </c>
    </row>
    <row r="82" spans="2:35" ht="76.5" customHeight="1">
      <c r="B82" s="1455"/>
      <c r="C82" s="1219"/>
      <c r="D82" s="1474" t="str">
        <f>+'01-FR-03 POA INSTITUCIONAL'!D82</f>
        <v>4.4.14 Registrar el 100% de los reportes de las sanciones disciplinarias de los servidores públicos distritales.</v>
      </c>
      <c r="E82" s="1469">
        <f>+'01-FR-03 POA INSTITUCIONAL'!E82</f>
        <v>0.05</v>
      </c>
      <c r="F82" s="28">
        <f>+'01-FR-03 POA INSTITUCIONAL'!F82</f>
        <v>1</v>
      </c>
      <c r="G82" s="146">
        <f>+'01-FR-03 POA INSTITUCIONAL'!G82</f>
        <v>1</v>
      </c>
      <c r="H82" s="113" t="str">
        <f>+'01-FR-03 POA INSTITUCIONAL'!H82</f>
        <v>Porcentaje de reportes de la base de datos de sanciones disciplinarias registrados</v>
      </c>
      <c r="I82" s="114" t="str">
        <f>+'01-FR-03 POA INSTITUCIONAL'!I82</f>
        <v xml:space="preserve"> Gestión Jurídica</v>
      </c>
      <c r="J82" s="115" t="str">
        <f>+'01-FR-03 POA INSTITUCIONAL'!J82</f>
        <v>Oficina Asesora Jurídica</v>
      </c>
      <c r="K82" s="117">
        <f>+'01-FR-03 POA INSTITUCIONAL'!K82</f>
        <v>1</v>
      </c>
      <c r="L82" s="117">
        <f>+'01-FR-03 POA INSTITUCIONAL'!L82</f>
        <v>1</v>
      </c>
      <c r="M82" s="117">
        <f>+'01-FR-03 POA INSTITUCIONAL'!M82</f>
        <v>1</v>
      </c>
      <c r="N82" s="117">
        <f>+'01-FR-03 POA INSTITUCIONAL'!N82</f>
        <v>1</v>
      </c>
      <c r="O82" s="346">
        <f>+'13-GESTIÓN JURÍDICA'!V19</f>
        <v>1</v>
      </c>
      <c r="P82" s="346">
        <f>+'13-GESTIÓN JURÍDICA'!W19</f>
        <v>1</v>
      </c>
      <c r="Q82" s="346">
        <f>+'13-GESTIÓN JURÍDICA'!AD19</f>
        <v>1</v>
      </c>
      <c r="R82" s="346">
        <f>+'13-GESTIÓN JURÍDICA'!AE19</f>
        <v>1</v>
      </c>
      <c r="S82" s="346">
        <f>+'13-GESTIÓN JURÍDICA'!AL19</f>
        <v>1</v>
      </c>
      <c r="T82" s="311">
        <f>+'13-GESTIÓN JURÍDICA'!AM19</f>
        <v>1</v>
      </c>
      <c r="U82" s="311">
        <f>+'13-GESTIÓN JURÍDICA'!AT19</f>
        <v>1</v>
      </c>
      <c r="V82" s="311">
        <f>+'13-GESTIÓN JURÍDICA'!AU19</f>
        <v>1</v>
      </c>
      <c r="W82" s="311">
        <f>AVERAGE('13-GESTIÓN JURÍDICA'!AN19,'13-GESTIÓN JURÍDICA'!AP19)</f>
        <v>1</v>
      </c>
      <c r="X82" s="311">
        <f>+'13-GESTIÓN JURÍDICA'!AV19</f>
        <v>1</v>
      </c>
      <c r="Y82" s="342">
        <f>IFERROR(IF(OR($X$82="",$X$82=0),0,ROUNDDOWN(AVERAGE($P82,R82,T82,V82),3)),0)</f>
        <v>1</v>
      </c>
      <c r="Z82" s="934">
        <f t="shared" si="42"/>
        <v>1</v>
      </c>
      <c r="AA82" s="947">
        <f t="shared" si="43"/>
        <v>0.5</v>
      </c>
      <c r="AB82" s="1413">
        <f>AVERAGE((IF(AND(AA82&gt;0,E82&gt;0),AA82*E82,0)),(IF(AND(AA83&gt;0,E82&gt;0),AA83*E82,0)))</f>
        <v>2.5000000000000001E-2</v>
      </c>
      <c r="AC82" s="1139"/>
      <c r="AE82" s="316">
        <f>+'13-GESTIÓN JURÍDICA'!BD19</f>
        <v>1</v>
      </c>
      <c r="AF82" s="318">
        <f t="shared" si="35"/>
        <v>0</v>
      </c>
      <c r="AH82" s="316">
        <f>+'13-GESTIÓN JURÍDICA'!BH19</f>
        <v>0.25</v>
      </c>
      <c r="AI82" s="318">
        <f t="shared" si="36"/>
        <v>0.25</v>
      </c>
    </row>
    <row r="83" spans="2:35" ht="76.5" customHeight="1">
      <c r="B83" s="1455"/>
      <c r="C83" s="1219"/>
      <c r="D83" s="1475"/>
      <c r="E83" s="1470"/>
      <c r="F83" s="28">
        <f>+'01-FR-03 POA INSTITUCIONAL'!F83</f>
        <v>1</v>
      </c>
      <c r="G83" s="146">
        <f>+'01-FR-03 POA INSTITUCIONAL'!G83</f>
        <v>1</v>
      </c>
      <c r="H83" s="113" t="str">
        <f>+'01-FR-03 POA INSTITUCIONAL'!H83</f>
        <v>Porcentaje de antecedentes disciplinarios expedidos</v>
      </c>
      <c r="I83" s="114" t="str">
        <f>+'01-FR-03 POA INSTITUCIONAL'!I83</f>
        <v xml:space="preserve"> Gestión Jurídica</v>
      </c>
      <c r="J83" s="115" t="str">
        <f>+'01-FR-03 POA INSTITUCIONAL'!J83</f>
        <v>Oficina Asesora Jurídica</v>
      </c>
      <c r="K83" s="117">
        <f>+'01-FR-03 POA INSTITUCIONAL'!K83</f>
        <v>1</v>
      </c>
      <c r="L83" s="117">
        <f>+'01-FR-03 POA INSTITUCIONAL'!L83</f>
        <v>1</v>
      </c>
      <c r="M83" s="117">
        <f>+'01-FR-03 POA INSTITUCIONAL'!M83</f>
        <v>1</v>
      </c>
      <c r="N83" s="117">
        <f>+'01-FR-03 POA INSTITUCIONAL'!N83</f>
        <v>1</v>
      </c>
      <c r="O83" s="346">
        <f>+'13-GESTIÓN JURÍDICA'!V20</f>
        <v>1</v>
      </c>
      <c r="P83" s="346">
        <f>+'13-GESTIÓN JURÍDICA'!W20</f>
        <v>1</v>
      </c>
      <c r="Q83" s="346">
        <f>+'13-GESTIÓN JURÍDICA'!AD20</f>
        <v>1</v>
      </c>
      <c r="R83" s="346">
        <f>+'13-GESTIÓN JURÍDICA'!AE20</f>
        <v>1</v>
      </c>
      <c r="S83" s="346">
        <f>+'13-GESTIÓN JURÍDICA'!AL20</f>
        <v>1</v>
      </c>
      <c r="T83" s="311">
        <f>+'13-GESTIÓN JURÍDICA'!AM20</f>
        <v>1</v>
      </c>
      <c r="U83" s="311">
        <f>+'13-GESTIÓN JURÍDICA'!AT20</f>
        <v>1</v>
      </c>
      <c r="V83" s="311">
        <f>+'13-GESTIÓN JURÍDICA'!AU20</f>
        <v>1</v>
      </c>
      <c r="W83" s="311">
        <f>AVERAGE('13-GESTIÓN JURÍDICA'!AN20,'13-GESTIÓN JURÍDICA'!AP20)</f>
        <v>1</v>
      </c>
      <c r="X83" s="311">
        <f>+'13-GESTIÓN JURÍDICA'!AV20</f>
        <v>1</v>
      </c>
      <c r="Y83" s="342">
        <f>IFERROR(IF(OR($X$83="",$X$83=0),0,ROUNDDOWN(AVERAGE($P83,R83,T83,V83),3)),0)</f>
        <v>1</v>
      </c>
      <c r="Z83" s="934">
        <f t="shared" si="42"/>
        <v>1</v>
      </c>
      <c r="AA83" s="947">
        <f t="shared" si="43"/>
        <v>0.5</v>
      </c>
      <c r="AB83" s="1414"/>
      <c r="AC83" s="1139"/>
      <c r="AE83" s="316">
        <f>+'13-GESTIÓN JURÍDICA'!BD20</f>
        <v>1</v>
      </c>
      <c r="AF83" s="318">
        <f t="shared" si="35"/>
        <v>0</v>
      </c>
      <c r="AH83" s="316">
        <f>+'13-GESTIÓN JURÍDICA'!BH20</f>
        <v>0.25</v>
      </c>
      <c r="AI83" s="318">
        <f t="shared" si="36"/>
        <v>0.25</v>
      </c>
    </row>
    <row r="84" spans="2:35" ht="76.5" customHeight="1">
      <c r="B84" s="1455"/>
      <c r="C84" s="1219"/>
      <c r="D84" s="1477" t="str">
        <f>+'01-FR-03 POA INSTITUCIONAL'!D84</f>
        <v>4.4.15 Elaborar el 95% de los contratos en cada una de las modalidades de selección en los tiempos óptimos</v>
      </c>
      <c r="E84" s="1480">
        <f>+'01-FR-03 POA INSTITUCIONAL'!E84</f>
        <v>0.1</v>
      </c>
      <c r="F84" s="28">
        <f>+'01-FR-03 POA INSTITUCIONAL'!F84</f>
        <v>0.95</v>
      </c>
      <c r="G84" s="146" t="str">
        <f>+'01-FR-03 POA INSTITUCIONAL'!G84</f>
        <v>S.I.</v>
      </c>
      <c r="H84" s="113" t="str">
        <f>+'01-FR-03 POA INSTITUCIONAL'!H84</f>
        <v xml:space="preserve">Porcentaje de contratos en la modalidad de contratacion directa elaborados en los tiempos óptimos </v>
      </c>
      <c r="I84" s="114" t="str">
        <f>+'01-FR-03 POA INSTITUCIONAL'!I84</f>
        <v>Gestión Contractual</v>
      </c>
      <c r="J84" s="115" t="str">
        <f>+'01-FR-03 POA INSTITUCIONAL'!J84</f>
        <v>Subdirección de Gestión Contractual
Dirección Administrativa y Financiera</v>
      </c>
      <c r="K84" s="117">
        <f>+'01-FR-03 POA INSTITUCIONAL'!K84</f>
        <v>0.6</v>
      </c>
      <c r="L84" s="117">
        <f>+'01-FR-03 POA INSTITUCIONAL'!L84</f>
        <v>0.8</v>
      </c>
      <c r="M84" s="117">
        <f>+'01-FR-03 POA INSTITUCIONAL'!M84</f>
        <v>0.9</v>
      </c>
      <c r="N84" s="117">
        <f>+'01-FR-03 POA INSTITUCIONAL'!N84</f>
        <v>0.95</v>
      </c>
      <c r="O84" s="311">
        <f>+'11-GESTIÓN CONTRACTUAL'!V17</f>
        <v>0.8</v>
      </c>
      <c r="P84" s="311">
        <f>+'11-GESTIÓN CONTRACTUAL'!W17</f>
        <v>1</v>
      </c>
      <c r="Q84" s="311">
        <f>+'11-GESTIÓN CONTRACTUAL'!AD17</f>
        <v>0</v>
      </c>
      <c r="R84" s="311">
        <f>+'11-GESTIÓN CONTRACTUAL'!AE17</f>
        <v>1</v>
      </c>
      <c r="S84" s="311">
        <f>+'11-GESTIÓN CONTRACTUAL'!AL17</f>
        <v>0.80000000000000016</v>
      </c>
      <c r="T84" s="311">
        <f>+'11-GESTIÓN CONTRACTUAL'!AM17</f>
        <v>0.94899999999999995</v>
      </c>
      <c r="U84" s="311">
        <f>+'11-GESTIÓN CONTRACTUAL'!AT17</f>
        <v>0.80000000000000016</v>
      </c>
      <c r="V84" s="787">
        <f>+'11-GESTIÓN CONTRACTUAL'!AU17</f>
        <v>0.98799999999999999</v>
      </c>
      <c r="W84" s="787">
        <f>AVERAGE('11-GESTIÓN CONTRACTUAL'!AN17,'11-GESTIÓN CONTRACTUAL'!AP17)</f>
        <v>0.8</v>
      </c>
      <c r="X84" s="311">
        <f>+'11-GESTIÓN CONTRACTUAL'!AJ17</f>
        <v>0.8</v>
      </c>
      <c r="Y84" s="342">
        <f>+'11-GESTIÓN CONTRACTUAL'!AZ17</f>
        <v>0.97599999999999998</v>
      </c>
      <c r="Z84" s="932">
        <f t="shared" si="42"/>
        <v>1.22</v>
      </c>
      <c r="AA84" s="947">
        <f t="shared" si="43"/>
        <v>0.51368421052631585</v>
      </c>
      <c r="AB84" s="1413">
        <f>AVERAGE((IF(AND(AA84&gt;0,E84&gt;0),AA84*E84,0)),(IF(AND(AA85&gt;0,E84&gt;0),AA85*E84,0)),(IF(AND(AA86&gt;0,E84&gt;0),AA86*E84,0)))</f>
        <v>4.6333333333333337E-2</v>
      </c>
      <c r="AC84" s="1139"/>
      <c r="AE84" s="316">
        <f>+'11-GESTIÓN CONTRACTUAL'!BD17</f>
        <v>1.22</v>
      </c>
      <c r="AF84" s="318">
        <f t="shared" ref="AF84" si="44">Z84-AE84</f>
        <v>0</v>
      </c>
      <c r="AH84" s="316">
        <f>+'11-GESTIÓN CONTRACTUAL'!BH17</f>
        <v>0.25684210526315793</v>
      </c>
      <c r="AI84" s="318">
        <f t="shared" ref="AI84" si="45">+AA84-AH84</f>
        <v>0.25684210526315793</v>
      </c>
    </row>
    <row r="85" spans="2:35" ht="76.5" customHeight="1">
      <c r="B85" s="1455"/>
      <c r="C85" s="1219"/>
      <c r="D85" s="1478"/>
      <c r="E85" s="1279"/>
      <c r="F85" s="28">
        <f>+'01-FR-03 POA INSTITUCIONAL'!F85</f>
        <v>0.95</v>
      </c>
      <c r="G85" s="146" t="str">
        <f>+'01-FR-03 POA INSTITUCIONAL'!G85</f>
        <v>S.I.</v>
      </c>
      <c r="H85" s="113" t="str">
        <f>+'01-FR-03 POA INSTITUCIONAL'!H85</f>
        <v xml:space="preserve">Porcentaje de contratos en la modalidad de selección abreviada de menor cuantía elaborados en los tiempos óptimos </v>
      </c>
      <c r="I85" s="114" t="str">
        <f>+'01-FR-03 POA INSTITUCIONAL'!I85</f>
        <v>Gestión Contractual</v>
      </c>
      <c r="J85" s="115" t="str">
        <f>+'01-FR-03 POA INSTITUCIONAL'!J85</f>
        <v>Subdirección de Gestión Contractual
Dirección Administrativa y Financiera</v>
      </c>
      <c r="K85" s="117">
        <f>+'01-FR-03 POA INSTITUCIONAL'!K85</f>
        <v>0.6</v>
      </c>
      <c r="L85" s="117">
        <f>+'01-FR-03 POA INSTITUCIONAL'!L85</f>
        <v>0.8</v>
      </c>
      <c r="M85" s="117">
        <f>+'01-FR-03 POA INSTITUCIONAL'!M85</f>
        <v>0.9</v>
      </c>
      <c r="N85" s="117">
        <f>+'01-FR-03 POA INSTITUCIONAL'!N85</f>
        <v>0.95</v>
      </c>
      <c r="O85" s="311">
        <f>+'11-GESTIÓN CONTRACTUAL'!V18</f>
        <v>0</v>
      </c>
      <c r="P85" s="311">
        <f>+'11-GESTIÓN CONTRACTUAL'!W18</f>
        <v>1</v>
      </c>
      <c r="Q85" s="311">
        <f>+'11-GESTIÓN CONTRACTUAL'!AD18</f>
        <v>0.8</v>
      </c>
      <c r="R85" s="311">
        <f>+'11-GESTIÓN CONTRACTUAL'!AE18</f>
        <v>0.8</v>
      </c>
      <c r="S85" s="311">
        <f>+'11-GESTIÓN CONTRACTUAL'!AL18</f>
        <v>0.80000000000000016</v>
      </c>
      <c r="T85" s="311">
        <f>+'11-GESTIÓN CONTRACTUAL'!AM18</f>
        <v>0.86599999999999999</v>
      </c>
      <c r="U85" s="311">
        <f>+'11-GESTIÓN CONTRACTUAL'!AT18</f>
        <v>0.8</v>
      </c>
      <c r="V85" s="787">
        <f>+'11-GESTIÓN CONTRACTUAL'!AU18</f>
        <v>0.9</v>
      </c>
      <c r="W85" s="787">
        <f>AVERAGE('11-GESTIÓN CONTRACTUAL'!AN18,'11-GESTIÓN CONTRACTUAL'!AP18)</f>
        <v>0.8</v>
      </c>
      <c r="X85" s="311">
        <f>+'11-GESTIÓN CONTRACTUAL'!AJ18</f>
        <v>0.8</v>
      </c>
      <c r="Y85" s="342">
        <f>+'11-GESTIÓN CONTRACTUAL'!AZ18</f>
        <v>0.875</v>
      </c>
      <c r="Z85" s="932">
        <f t="shared" si="42"/>
        <v>1.09375</v>
      </c>
      <c r="AA85" s="947">
        <f t="shared" si="43"/>
        <v>0.46052631578947373</v>
      </c>
      <c r="AB85" s="1418"/>
      <c r="AC85" s="1139"/>
      <c r="AE85" s="316">
        <f>+'11-GESTIÓN CONTRACTUAL'!BD18</f>
        <v>1.09375</v>
      </c>
      <c r="AF85" s="318">
        <f t="shared" ref="AF85:AF86" si="46">Z85-AE85</f>
        <v>0</v>
      </c>
      <c r="AH85" s="316">
        <f>+'11-GESTIÓN CONTRACTUAL'!BH18</f>
        <v>0.23026315789473686</v>
      </c>
      <c r="AI85" s="318">
        <f t="shared" ref="AI85:AI86" si="47">+AA85-AH85</f>
        <v>0.23026315789473686</v>
      </c>
    </row>
    <row r="86" spans="2:35" ht="76.5" customHeight="1">
      <c r="B86" s="1455"/>
      <c r="C86" s="1247"/>
      <c r="D86" s="1479"/>
      <c r="E86" s="1271"/>
      <c r="F86" s="28">
        <f>+'01-FR-03 POA INSTITUCIONAL'!F86</f>
        <v>0.95</v>
      </c>
      <c r="G86" s="146" t="str">
        <f>+'01-FR-03 POA INSTITUCIONAL'!G86</f>
        <v>S.I.</v>
      </c>
      <c r="H86" s="113" t="str">
        <f>+'01-FR-03 POA INSTITUCIONAL'!H86</f>
        <v xml:space="preserve">Porcentaje de contratos en la modalidad de selección abreviada de subasta inversa, licitación pública y concurso de méritos elaborados en los tiempos óptimos </v>
      </c>
      <c r="I86" s="114" t="str">
        <f>+'01-FR-03 POA INSTITUCIONAL'!I86</f>
        <v>Gestión Contractual</v>
      </c>
      <c r="J86" s="115" t="str">
        <f>+'01-FR-03 POA INSTITUCIONAL'!J86</f>
        <v>Subdirección de Gestión Contractual
Dirección Administrativa y Financiera</v>
      </c>
      <c r="K86" s="117">
        <f>+'01-FR-03 POA INSTITUCIONAL'!K86</f>
        <v>0.6</v>
      </c>
      <c r="L86" s="117">
        <f>+'01-FR-03 POA INSTITUCIONAL'!L86</f>
        <v>0.8</v>
      </c>
      <c r="M86" s="117">
        <f>+'01-FR-03 POA INSTITUCIONAL'!M86</f>
        <v>0.9</v>
      </c>
      <c r="N86" s="117">
        <f>+'01-FR-03 POA INSTITUCIONAL'!N86</f>
        <v>0.95</v>
      </c>
      <c r="O86" s="311">
        <f>+'11-GESTIÓN CONTRACTUAL'!V19</f>
        <v>0.8</v>
      </c>
      <c r="P86" s="311">
        <f>+'11-GESTIÓN CONTRACTUAL'!W19</f>
        <v>0.8</v>
      </c>
      <c r="Q86" s="311">
        <f>+'11-GESTIÓN CONTRACTUAL'!AD19</f>
        <v>0.8</v>
      </c>
      <c r="R86" s="311">
        <f>+'11-GESTIÓN CONTRACTUAL'!AE19</f>
        <v>0.76600000000000001</v>
      </c>
      <c r="S86" s="311">
        <f>+'11-GESTIÓN CONTRACTUAL'!AL19</f>
        <v>0.80000000000000016</v>
      </c>
      <c r="T86" s="311">
        <f>+'11-GESTIÓN CONTRACTUAL'!AM19</f>
        <v>0.8</v>
      </c>
      <c r="U86" s="311">
        <f>+'11-GESTIÓN CONTRACTUAL'!AT19</f>
        <v>0.80000000000000016</v>
      </c>
      <c r="V86" s="787">
        <f>+'11-GESTIÓN CONTRACTUAL'!AU19</f>
        <v>0.8</v>
      </c>
      <c r="W86" s="787">
        <f>AVERAGE('11-GESTIÓN CONTRACTUAL'!AN19,'11-GESTIÓN CONTRACTUAL'!AP19)</f>
        <v>0.8</v>
      </c>
      <c r="X86" s="311">
        <f>+'11-GESTIÓN CONTRACTUAL'!AV19</f>
        <v>0.79999999999999993</v>
      </c>
      <c r="Y86" s="342">
        <f>+'11-GESTIÓN CONTRACTUAL'!AZ19</f>
        <v>0.79</v>
      </c>
      <c r="Z86" s="932">
        <f t="shared" si="42"/>
        <v>0.98750000000000016</v>
      </c>
      <c r="AA86" s="947">
        <f t="shared" si="43"/>
        <v>0.41578947368421054</v>
      </c>
      <c r="AB86" s="1414"/>
      <c r="AC86" s="1307"/>
      <c r="AE86" s="316">
        <f>+'11-GESTIÓN CONTRACTUAL'!BD19</f>
        <v>0.98750000000000016</v>
      </c>
      <c r="AF86" s="318">
        <f t="shared" si="46"/>
        <v>0</v>
      </c>
      <c r="AH86" s="316">
        <f>+'11-GESTIÓN CONTRACTUAL'!BH19</f>
        <v>0.20789473684210527</v>
      </c>
      <c r="AI86" s="318">
        <f t="shared" si="47"/>
        <v>0.20789473684210527</v>
      </c>
    </row>
    <row r="87" spans="2:35" ht="73.5" customHeight="1">
      <c r="B87" s="1455"/>
      <c r="C87" s="1457" t="s">
        <v>146</v>
      </c>
      <c r="D87" s="123" t="str">
        <f>+'01-FR-03 POA INSTITUCIONAL'!D87</f>
        <v xml:space="preserve">4.5.1 Emitir 96 solicitudes de aplicación de medidas de preservación del orden interno, con el fin de prevenir la materialización de conductas con alcance disciplinario. </v>
      </c>
      <c r="E87" s="124">
        <f>+'01-FR-03 POA INSTITUCIONAL'!E87</f>
        <v>0.05</v>
      </c>
      <c r="F87" s="155">
        <f>+'01-FR-03 POA INSTITUCIONAL'!F87</f>
        <v>148</v>
      </c>
      <c r="G87" s="156" t="str">
        <f>+'01-FR-03 POA INSTITUCIONAL'!G87</f>
        <v>S.I.</v>
      </c>
      <c r="H87" s="149" t="str">
        <f>+'01-FR-03 POA INSTITUCIONAL'!H87</f>
        <v>Medidas de preservación del orden interno emitidas</v>
      </c>
      <c r="I87" s="150" t="str">
        <f>+'01-FR-03 POA INSTITUCIONAL'!I87</f>
        <v>Control Disciplinario Interno</v>
      </c>
      <c r="J87" s="151" t="str">
        <f>+'01-FR-03 POA INSTITUCIONAL'!J87</f>
        <v>Oficina Control Interno Disciplinario</v>
      </c>
      <c r="K87" s="157">
        <f>+'01-FR-03 POA INSTITUCIONAL'!K87</f>
        <v>24</v>
      </c>
      <c r="L87" s="157">
        <f>+'01-FR-03 POA INSTITUCIONAL'!L87</f>
        <v>52</v>
      </c>
      <c r="M87" s="157">
        <f>+'01-FR-03 POA INSTITUCIONAL'!M87</f>
        <v>36</v>
      </c>
      <c r="N87" s="157">
        <f>+'01-FR-03 POA INSTITUCIONAL'!N87</f>
        <v>36</v>
      </c>
      <c r="O87" s="125">
        <f>+'15-CTRL DISCIPLINARIO INTERNO'!V16</f>
        <v>6</v>
      </c>
      <c r="P87" s="125">
        <f>+'15-CTRL DISCIPLINARIO INTERNO'!W16</f>
        <v>26</v>
      </c>
      <c r="Q87" s="125">
        <f>+'15-CTRL DISCIPLINARIO INTERNO'!AD16</f>
        <v>6</v>
      </c>
      <c r="R87" s="125">
        <f>+'15-CTRL DISCIPLINARIO INTERNO'!AE16</f>
        <v>14</v>
      </c>
      <c r="S87" s="125">
        <f>+'15-CTRL DISCIPLINARIO INTERNO'!AL16</f>
        <v>21</v>
      </c>
      <c r="T87" s="125">
        <f>+'15-CTRL DISCIPLINARIO INTERNO'!AM16</f>
        <v>16</v>
      </c>
      <c r="U87" s="125">
        <f>+'15-CTRL DISCIPLINARIO INTERNO'!AT16</f>
        <v>19</v>
      </c>
      <c r="V87" s="125">
        <f>+'15-CTRL DISCIPLINARIO INTERNO'!AU16</f>
        <v>13</v>
      </c>
      <c r="W87" s="125">
        <f>'15-CTRL DISCIPLINARIO INTERNO'!AN16+'15-CTRL DISCIPLINARIO INTERNO'!AP16</f>
        <v>13</v>
      </c>
      <c r="X87" s="125">
        <f>+'15-CTRL DISCIPLINARIO INTERNO'!AV16</f>
        <v>52</v>
      </c>
      <c r="Y87" s="323">
        <f t="shared" ref="Y87:Y92" si="48">+P87+R87+T87+V87</f>
        <v>69</v>
      </c>
      <c r="Z87" s="610">
        <f t="shared" ref="Z87:Z92" si="49">IF(AND(Y87&gt;0,$X87&gt;0),Y87/$X87,0)</f>
        <v>1.3269230769230769</v>
      </c>
      <c r="AA87" s="324">
        <f t="shared" ref="AA87:AA89" si="50">IF(AND(Y87&gt;0,$F87&gt;0),Y87/$F87,0)</f>
        <v>0.46621621621621623</v>
      </c>
      <c r="AB87" s="324">
        <f t="shared" ref="AB87:AB89" si="51">IF(AND(AA87&gt;0,E87&gt;0),AA87*E87,0)</f>
        <v>2.3310810810810812E-2</v>
      </c>
      <c r="AC87" s="1415">
        <f>SUM(AB87:AB92)</f>
        <v>0.29831081081081084</v>
      </c>
      <c r="AE87" s="316">
        <f>+'15-CTRL DISCIPLINARIO INTERNO'!BD16</f>
        <v>1.3269230769230769</v>
      </c>
      <c r="AF87" s="318">
        <f t="shared" si="35"/>
        <v>0</v>
      </c>
      <c r="AH87" s="316">
        <f>+'15-CTRL DISCIPLINARIO INTERNO'!BH16</f>
        <v>0.46621621621621623</v>
      </c>
      <c r="AI87" s="318">
        <f t="shared" si="36"/>
        <v>0</v>
      </c>
    </row>
    <row r="88" spans="2:35" ht="86.25" customHeight="1">
      <c r="B88" s="1455"/>
      <c r="C88" s="1459"/>
      <c r="D88" s="123" t="str">
        <f>+'01-FR-03 POA INSTITUCIONAL'!D88</f>
        <v>4.5.2 Realizar 20 jornadas de sensibilización a funcionarios de la Personería de Bogotá D.C. sobre la prevención de las faltas disciplinarias más recurrentes en la Entidad.</v>
      </c>
      <c r="E88" s="124">
        <f>+'01-FR-03 POA INSTITUCIONAL'!E88</f>
        <v>0.05</v>
      </c>
      <c r="F88" s="155">
        <f>+'01-FR-03 POA INSTITUCIONAL'!F88</f>
        <v>20</v>
      </c>
      <c r="G88" s="156" t="str">
        <f>+'01-FR-03 POA INSTITUCIONAL'!G88</f>
        <v>S.I.</v>
      </c>
      <c r="H88" s="149" t="str">
        <f>+'01-FR-03 POA INSTITUCIONAL'!H88</f>
        <v>Jornadas de sensibilización realizadas</v>
      </c>
      <c r="I88" s="150" t="str">
        <f>+'01-FR-03 POA INSTITUCIONAL'!I88</f>
        <v>Control Disciplinario Interno</v>
      </c>
      <c r="J88" s="151" t="str">
        <f>+'01-FR-03 POA INSTITUCIONAL'!J88</f>
        <v>Oficina Control Interno Disciplinario</v>
      </c>
      <c r="K88" s="157">
        <f>+'01-FR-03 POA INSTITUCIONAL'!K88</f>
        <v>2</v>
      </c>
      <c r="L88" s="157">
        <f>+'01-FR-03 POA INSTITUCIONAL'!L88</f>
        <v>6</v>
      </c>
      <c r="M88" s="157">
        <f>+'01-FR-03 POA INSTITUCIONAL'!M88</f>
        <v>6</v>
      </c>
      <c r="N88" s="157">
        <f>+'01-FR-03 POA INSTITUCIONAL'!N88</f>
        <v>6</v>
      </c>
      <c r="O88" s="125">
        <f>+'15-CTRL DISCIPLINARIO INTERNO'!V17</f>
        <v>0</v>
      </c>
      <c r="P88" s="125">
        <f>+'15-CTRL DISCIPLINARIO INTERNO'!W17</f>
        <v>1</v>
      </c>
      <c r="Q88" s="125">
        <f>+'15-CTRL DISCIPLINARIO INTERNO'!AD17</f>
        <v>2</v>
      </c>
      <c r="R88" s="125">
        <f>+'15-CTRL DISCIPLINARIO INTERNO'!AE17</f>
        <v>1</v>
      </c>
      <c r="S88" s="125">
        <f>+'15-CTRL DISCIPLINARIO INTERNO'!AL17</f>
        <v>3</v>
      </c>
      <c r="T88" s="125">
        <f>+'15-CTRL DISCIPLINARIO INTERNO'!AM17</f>
        <v>2</v>
      </c>
      <c r="U88" s="125">
        <f>+'15-CTRL DISCIPLINARIO INTERNO'!AT17</f>
        <v>1</v>
      </c>
      <c r="V88" s="125">
        <f>+'15-CTRL DISCIPLINARIO INTERNO'!AU17</f>
        <v>2</v>
      </c>
      <c r="W88" s="125">
        <f>'15-CTRL DISCIPLINARIO INTERNO'!AN17+'15-CTRL DISCIPLINARIO INTERNO'!AP17</f>
        <v>1</v>
      </c>
      <c r="X88" s="125">
        <f>+'15-CTRL DISCIPLINARIO INTERNO'!AV17</f>
        <v>6</v>
      </c>
      <c r="Y88" s="323">
        <f t="shared" si="48"/>
        <v>6</v>
      </c>
      <c r="Z88" s="610">
        <f t="shared" si="49"/>
        <v>1</v>
      </c>
      <c r="AA88" s="324">
        <f t="shared" si="50"/>
        <v>0.3</v>
      </c>
      <c r="AB88" s="324">
        <f t="shared" si="51"/>
        <v>1.4999999999999999E-2</v>
      </c>
      <c r="AC88" s="1416"/>
      <c r="AE88" s="316">
        <f>+'15-CTRL DISCIPLINARIO INTERNO'!BD17</f>
        <v>1</v>
      </c>
      <c r="AF88" s="318">
        <f t="shared" si="35"/>
        <v>0</v>
      </c>
      <c r="AH88" s="316">
        <f>+'15-CTRL DISCIPLINARIO INTERNO'!BH17</f>
        <v>0.3</v>
      </c>
      <c r="AI88" s="318">
        <f t="shared" si="36"/>
        <v>0</v>
      </c>
    </row>
    <row r="89" spans="2:35" ht="96.75" customHeight="1">
      <c r="B89" s="1455"/>
      <c r="C89" s="1459"/>
      <c r="D89" s="123" t="str">
        <f>+'01-FR-03 POA INSTITUCIONAL'!D89</f>
        <v>4.5.3 Decidir de fondo 400 procesos disciplinarios que se encuentren en términos o con periodos vencidos, dando prelación a aquellos con mayor antigüedad o aquellos próximos a prescribir o caducar.</v>
      </c>
      <c r="E89" s="124">
        <f>+'01-FR-03 POA INSTITUCIONAL'!E89</f>
        <v>0.2</v>
      </c>
      <c r="F89" s="155">
        <f>+'01-FR-03 POA INSTITUCIONAL'!F89</f>
        <v>400</v>
      </c>
      <c r="G89" s="156" t="str">
        <f>+'01-FR-03 POA INSTITUCIONAL'!G89</f>
        <v>115 (en el último año)</v>
      </c>
      <c r="H89" s="149" t="str">
        <f>+'01-FR-03 POA INSTITUCIONAL'!H89</f>
        <v>Procesos disciplinarios con decisión de fondo proferida</v>
      </c>
      <c r="I89" s="150" t="str">
        <f>+'01-FR-03 POA INSTITUCIONAL'!I89</f>
        <v>Control Disciplinario Interno</v>
      </c>
      <c r="J89" s="151" t="str">
        <f>+'01-FR-03 POA INSTITUCIONAL'!J89</f>
        <v>Oficina Control Interno Disciplinario</v>
      </c>
      <c r="K89" s="157">
        <f>+'01-FR-03 POA INSTITUCIONAL'!K89</f>
        <v>100</v>
      </c>
      <c r="L89" s="157">
        <f>+'01-FR-03 POA INSTITUCIONAL'!L89</f>
        <v>100</v>
      </c>
      <c r="M89" s="157">
        <f>+'01-FR-03 POA INSTITUCIONAL'!M89</f>
        <v>100</v>
      </c>
      <c r="N89" s="157">
        <f>+'01-FR-03 POA INSTITUCIONAL'!N89</f>
        <v>100</v>
      </c>
      <c r="O89" s="125">
        <f>+'15-CTRL DISCIPLINARIO INTERNO'!V18</f>
        <v>23</v>
      </c>
      <c r="P89" s="125">
        <f>+'15-CTRL DISCIPLINARIO INTERNO'!W18</f>
        <v>30</v>
      </c>
      <c r="Q89" s="125">
        <f>+'15-CTRL DISCIPLINARIO INTERNO'!AD18</f>
        <v>30</v>
      </c>
      <c r="R89" s="125">
        <f>+'15-CTRL DISCIPLINARIO INTERNO'!AE18</f>
        <v>46</v>
      </c>
      <c r="S89" s="125">
        <f>+'15-CTRL DISCIPLINARIO INTERNO'!AL18</f>
        <v>30</v>
      </c>
      <c r="T89" s="125">
        <f>+'15-CTRL DISCIPLINARIO INTERNO'!AM18</f>
        <v>51</v>
      </c>
      <c r="U89" s="125">
        <f>+'15-CTRL DISCIPLINARIO INTERNO'!AT18</f>
        <v>17</v>
      </c>
      <c r="V89" s="125">
        <f>+'15-CTRL DISCIPLINARIO INTERNO'!AU18</f>
        <v>43</v>
      </c>
      <c r="W89" s="125">
        <f>'15-CTRL DISCIPLINARIO INTERNO'!AN18+'15-CTRL DISCIPLINARIO INTERNO'!AP18</f>
        <v>12</v>
      </c>
      <c r="X89" s="125">
        <f>+'15-CTRL DISCIPLINARIO INTERNO'!AV18</f>
        <v>100</v>
      </c>
      <c r="Y89" s="323">
        <f t="shared" si="48"/>
        <v>170</v>
      </c>
      <c r="Z89" s="610">
        <f t="shared" si="49"/>
        <v>1.7</v>
      </c>
      <c r="AA89" s="324">
        <f t="shared" si="50"/>
        <v>0.42499999999999999</v>
      </c>
      <c r="AB89" s="324">
        <f t="shared" si="51"/>
        <v>8.5000000000000006E-2</v>
      </c>
      <c r="AC89" s="1416"/>
      <c r="AE89" s="316">
        <f>+'15-CTRL DISCIPLINARIO INTERNO'!BD18</f>
        <v>1.7</v>
      </c>
      <c r="AF89" s="318">
        <f t="shared" si="35"/>
        <v>0</v>
      </c>
      <c r="AH89" s="316">
        <f>+'15-CTRL DISCIPLINARIO INTERNO'!BH18</f>
        <v>0.42499999999999999</v>
      </c>
      <c r="AI89" s="318">
        <f t="shared" si="36"/>
        <v>0</v>
      </c>
    </row>
    <row r="90" spans="2:35" ht="69.75" customHeight="1">
      <c r="B90" s="1455"/>
      <c r="C90" s="1459"/>
      <c r="D90" s="123" t="str">
        <f>+'01-FR-03 POA INSTITUCIONAL'!D90</f>
        <v>4.5.4 Ejecutar  4 programas anuales de auditorias, aprobados por el Comité Institucional de Coordinación del Sistema de Control Interno.</v>
      </c>
      <c r="E90" s="124">
        <f>+'01-FR-03 POA INSTITUCIONAL'!E90</f>
        <v>0.5</v>
      </c>
      <c r="F90" s="155">
        <f>+'01-FR-03 POA INSTITUCIONAL'!F90</f>
        <v>4</v>
      </c>
      <c r="G90" s="156">
        <f>+'01-FR-03 POA INSTITUCIONAL'!G90</f>
        <v>4</v>
      </c>
      <c r="H90" s="149" t="str">
        <f>+'01-FR-03 POA INSTITUCIONAL'!H90</f>
        <v>Programa anual de auditorías ejecutado.</v>
      </c>
      <c r="I90" s="150" t="str">
        <f>+'01-FR-03 POA INSTITUCIONAL'!I90</f>
        <v>Evaluación y Seguimiento</v>
      </c>
      <c r="J90" s="151" t="str">
        <f>+'01-FR-03 POA INSTITUCIONAL'!J90</f>
        <v>Oficina de Control Interno</v>
      </c>
      <c r="K90" s="157">
        <f>+'01-FR-03 POA INSTITUCIONAL'!K90</f>
        <v>1</v>
      </c>
      <c r="L90" s="157">
        <f>+'01-FR-03 POA INSTITUCIONAL'!L90</f>
        <v>1</v>
      </c>
      <c r="M90" s="157">
        <f>+'01-FR-03 POA INSTITUCIONAL'!M90</f>
        <v>1</v>
      </c>
      <c r="N90" s="157">
        <f>+'01-FR-03 POA INSTITUCIONAL'!N90</f>
        <v>1</v>
      </c>
      <c r="O90" s="347">
        <f>+'16-EVALUACIÓN Y SEGUIMIENTO'!V16</f>
        <v>0.35</v>
      </c>
      <c r="P90" s="347">
        <f>+'16-EVALUACIÓN Y SEGUIMIENTO'!W16</f>
        <v>0.35</v>
      </c>
      <c r="Q90" s="347">
        <f>+'16-EVALUACIÓN Y SEGUIMIENTO'!AD16</f>
        <v>0.15</v>
      </c>
      <c r="R90" s="543">
        <f>+'16-EVALUACIÓN Y SEGUIMIENTO'!AE16</f>
        <v>0.15</v>
      </c>
      <c r="S90" s="347">
        <f>+'16-EVALUACIÓN Y SEGUIMIENTO'!AL16</f>
        <v>0.44000000000000006</v>
      </c>
      <c r="T90" s="543">
        <f>+'16-EVALUACIÓN Y SEGUIMIENTO'!AM16</f>
        <v>0.44000000000000006</v>
      </c>
      <c r="U90" s="347">
        <f>+'16-EVALUACIÓN Y SEGUIMIENTO'!AT16</f>
        <v>0.06</v>
      </c>
      <c r="V90" s="543">
        <f>+'16-EVALUACIÓN Y SEGUIMIENTO'!AU16</f>
        <v>0.06</v>
      </c>
      <c r="W90" s="543">
        <f>'16-EVALUACIÓN Y SEGUIMIENTO'!AN16+'16-EVALUACIÓN Y SEGUIMIENTO'!AP16</f>
        <v>0.06</v>
      </c>
      <c r="X90" s="348">
        <f>+'16-EVALUACIÓN Y SEGUIMIENTO'!AV16</f>
        <v>1</v>
      </c>
      <c r="Y90" s="323">
        <f t="shared" si="48"/>
        <v>1</v>
      </c>
      <c r="Z90" s="610">
        <f t="shared" si="49"/>
        <v>1</v>
      </c>
      <c r="AA90" s="324">
        <f t="shared" ref="AA90:AA92" si="52">IF(AND(Y90&gt;0,$F90&gt;0),Y90/$F90,0)</f>
        <v>0.25</v>
      </c>
      <c r="AB90" s="324">
        <f t="shared" ref="AB90:AB93" si="53">IF(AND(AA90&gt;0,E90&gt;0),AA90*E90,0)</f>
        <v>0.125</v>
      </c>
      <c r="AC90" s="1416"/>
      <c r="AE90" s="316">
        <f>+'16-EVALUACIÓN Y SEGUIMIENTO'!BD16</f>
        <v>1</v>
      </c>
      <c r="AF90" s="318">
        <f t="shared" si="35"/>
        <v>0</v>
      </c>
      <c r="AH90" s="341">
        <f>+'16-EVALUACIÓN Y SEGUIMIENTO'!BH16</f>
        <v>0.25</v>
      </c>
      <c r="AI90" s="318">
        <f t="shared" si="36"/>
        <v>0</v>
      </c>
    </row>
    <row r="91" spans="2:35" ht="56.25" customHeight="1">
      <c r="B91" s="1455"/>
      <c r="C91" s="1459"/>
      <c r="D91" s="123" t="str">
        <f>+'01-FR-03 POA INSTITUCIONAL'!D91</f>
        <v>4.5.5 Desarrollar 4 estrategias de sensibilización acerca de la cultura del control.</v>
      </c>
      <c r="E91" s="124">
        <f>+'01-FR-03 POA INSTITUCIONAL'!E91</f>
        <v>0.1</v>
      </c>
      <c r="F91" s="155">
        <f>+'01-FR-03 POA INSTITUCIONAL'!F91</f>
        <v>4</v>
      </c>
      <c r="G91" s="156">
        <f>+'01-FR-03 POA INSTITUCIONAL'!G91</f>
        <v>4</v>
      </c>
      <c r="H91" s="149" t="str">
        <f>+'01-FR-03 POA INSTITUCIONAL'!H91</f>
        <v>Estrategia de Sensibilización acerca de la Cultura del Control realizada</v>
      </c>
      <c r="I91" s="150" t="str">
        <f>+'01-FR-03 POA INSTITUCIONAL'!I91</f>
        <v>Evaluación y Seguimiento</v>
      </c>
      <c r="J91" s="151" t="str">
        <f>+'01-FR-03 POA INSTITUCIONAL'!J91</f>
        <v>Oficina de Control Interno</v>
      </c>
      <c r="K91" s="157">
        <f>+'01-FR-03 POA INSTITUCIONAL'!K91</f>
        <v>1</v>
      </c>
      <c r="L91" s="157">
        <f>+'01-FR-03 POA INSTITUCIONAL'!L91</f>
        <v>1</v>
      </c>
      <c r="M91" s="157">
        <f>+'01-FR-03 POA INSTITUCIONAL'!M91</f>
        <v>1</v>
      </c>
      <c r="N91" s="157">
        <f>+'01-FR-03 POA INSTITUCIONAL'!N91</f>
        <v>1</v>
      </c>
      <c r="O91" s="349">
        <f>+'16-EVALUACIÓN Y SEGUIMIENTO'!V17</f>
        <v>0</v>
      </c>
      <c r="P91" s="349">
        <f>+'16-EVALUACIÓN Y SEGUIMIENTO'!W17</f>
        <v>0</v>
      </c>
      <c r="Q91" s="349">
        <f>+'16-EVALUACIÓN Y SEGUIMIENTO'!AD17</f>
        <v>0</v>
      </c>
      <c r="R91" s="544">
        <f>+'16-EVALUACIÓN Y SEGUIMIENTO'!AE17</f>
        <v>0</v>
      </c>
      <c r="S91" s="349">
        <f>+'16-EVALUACIÓN Y SEGUIMIENTO'!AL17</f>
        <v>0</v>
      </c>
      <c r="T91" s="544">
        <f>+'16-EVALUACIÓN Y SEGUIMIENTO'!AM17</f>
        <v>0</v>
      </c>
      <c r="U91" s="349">
        <f>+'16-EVALUACIÓN Y SEGUIMIENTO'!AT17</f>
        <v>1</v>
      </c>
      <c r="V91" s="544">
        <f>+'16-EVALUACIÓN Y SEGUIMIENTO'!AU17</f>
        <v>1</v>
      </c>
      <c r="W91" s="543">
        <f>'16-EVALUACIÓN Y SEGUIMIENTO'!AN17+'16-EVALUACIÓN Y SEGUIMIENTO'!AP17</f>
        <v>1</v>
      </c>
      <c r="X91" s="348">
        <f>+'16-EVALUACIÓN Y SEGUIMIENTO'!AV17</f>
        <v>1</v>
      </c>
      <c r="Y91" s="323">
        <f t="shared" si="48"/>
        <v>1</v>
      </c>
      <c r="Z91" s="610">
        <f t="shared" si="49"/>
        <v>1</v>
      </c>
      <c r="AA91" s="324">
        <f t="shared" si="52"/>
        <v>0.25</v>
      </c>
      <c r="AB91" s="324">
        <f t="shared" si="53"/>
        <v>2.5000000000000001E-2</v>
      </c>
      <c r="AC91" s="1416"/>
      <c r="AE91" s="316">
        <f>+'16-EVALUACIÓN Y SEGUIMIENTO'!BD17</f>
        <v>1</v>
      </c>
      <c r="AF91" s="318">
        <f t="shared" si="35"/>
        <v>0</v>
      </c>
      <c r="AH91" s="341">
        <f>+'16-EVALUACIÓN Y SEGUIMIENTO'!BH17</f>
        <v>0.25</v>
      </c>
      <c r="AI91" s="318">
        <f t="shared" si="36"/>
        <v>0</v>
      </c>
    </row>
    <row r="92" spans="2:35" ht="61.5" customHeight="1">
      <c r="B92" s="1455"/>
      <c r="C92" s="1458"/>
      <c r="D92" s="123" t="str">
        <f>+'01-FR-03 POA INSTITUCIONAL'!D92</f>
        <v>4.5.6 Realizar 4 jornadas de sensibilización a Directivos y Referentes de proceso sobre la Séptima Dimensión.</v>
      </c>
      <c r="E92" s="124">
        <f>+'01-FR-03 POA INSTITUCIONAL'!E92</f>
        <v>0.1</v>
      </c>
      <c r="F92" s="155">
        <f>+'01-FR-03 POA INSTITUCIONAL'!F92</f>
        <v>4</v>
      </c>
      <c r="G92" s="156">
        <f>+'01-FR-03 POA INSTITUCIONAL'!G92</f>
        <v>4</v>
      </c>
      <c r="H92" s="149" t="str">
        <f>+'01-FR-03 POA INSTITUCIONAL'!H92</f>
        <v>Sensibilización a Directivos y Referentes de Gestión sobre la Séptima Dimensión del MIPG realizada</v>
      </c>
      <c r="I92" s="150" t="str">
        <f>+'01-FR-03 POA INSTITUCIONAL'!I92</f>
        <v>Evaluación y Seguimiento</v>
      </c>
      <c r="J92" s="151" t="str">
        <f>+'01-FR-03 POA INSTITUCIONAL'!J92</f>
        <v>Oficina de Control Interno</v>
      </c>
      <c r="K92" s="157">
        <f>+'01-FR-03 POA INSTITUCIONAL'!K92</f>
        <v>1</v>
      </c>
      <c r="L92" s="157">
        <f>+'01-FR-03 POA INSTITUCIONAL'!L92</f>
        <v>1</v>
      </c>
      <c r="M92" s="157">
        <f>+'01-FR-03 POA INSTITUCIONAL'!M92</f>
        <v>1</v>
      </c>
      <c r="N92" s="157">
        <f>+'01-FR-03 POA INSTITUCIONAL'!N92</f>
        <v>1</v>
      </c>
      <c r="O92" s="349">
        <f>+'16-EVALUACIÓN Y SEGUIMIENTO'!V18</f>
        <v>0</v>
      </c>
      <c r="P92" s="349">
        <f>+'16-EVALUACIÓN Y SEGUIMIENTO'!W18</f>
        <v>0</v>
      </c>
      <c r="Q92" s="349">
        <f>+'16-EVALUACIÓN Y SEGUIMIENTO'!AD18</f>
        <v>1</v>
      </c>
      <c r="R92" s="544">
        <f>+'16-EVALUACIÓN Y SEGUIMIENTO'!AE18</f>
        <v>1</v>
      </c>
      <c r="S92" s="349">
        <f>+'16-EVALUACIÓN Y SEGUIMIENTO'!AL18</f>
        <v>0</v>
      </c>
      <c r="T92" s="544">
        <f>+'16-EVALUACIÓN Y SEGUIMIENTO'!AM18</f>
        <v>0</v>
      </c>
      <c r="U92" s="349">
        <f>+'16-EVALUACIÓN Y SEGUIMIENTO'!AT18</f>
        <v>0</v>
      </c>
      <c r="V92" s="544">
        <f>+'16-EVALUACIÓN Y SEGUIMIENTO'!AU18</f>
        <v>0</v>
      </c>
      <c r="W92" s="543">
        <f>'16-EVALUACIÓN Y SEGUIMIENTO'!AN18+'16-EVALUACIÓN Y SEGUIMIENTO'!AP18</f>
        <v>0</v>
      </c>
      <c r="X92" s="348">
        <f>+'16-EVALUACIÓN Y SEGUIMIENTO'!AV18</f>
        <v>1</v>
      </c>
      <c r="Y92" s="323">
        <f t="shared" si="48"/>
        <v>1</v>
      </c>
      <c r="Z92" s="610">
        <f t="shared" si="49"/>
        <v>1</v>
      </c>
      <c r="AA92" s="324">
        <f t="shared" si="52"/>
        <v>0.25</v>
      </c>
      <c r="AB92" s="324">
        <f t="shared" si="53"/>
        <v>2.5000000000000001E-2</v>
      </c>
      <c r="AC92" s="1417"/>
      <c r="AE92" s="316">
        <f>+'16-EVALUACIÓN Y SEGUIMIENTO'!BD18</f>
        <v>1</v>
      </c>
      <c r="AF92" s="318">
        <f t="shared" si="35"/>
        <v>0</v>
      </c>
      <c r="AH92" s="341">
        <f>+'16-EVALUACIÓN Y SEGUIMIENTO'!BH18</f>
        <v>0.25</v>
      </c>
      <c r="AI92" s="318">
        <f t="shared" si="36"/>
        <v>0</v>
      </c>
    </row>
    <row r="93" spans="2:35" ht="60" customHeight="1">
      <c r="B93" s="1455"/>
      <c r="C93" s="1471" t="s">
        <v>147</v>
      </c>
      <c r="D93" s="27" t="str">
        <f>+'01-FR-03 POA INSTITUCIONAL'!D93</f>
        <v>4.6.1  Desarrollar el 100% de los productos para comunicación y divulgación externa que promuevan y difundan la gestión institucional</v>
      </c>
      <c r="E93" s="38">
        <f>+'01-FR-03 POA INSTITUCIONAL'!E93</f>
        <v>0.5</v>
      </c>
      <c r="F93" s="28">
        <f>+'01-FR-03 POA INSTITUCIONAL'!F93</f>
        <v>1</v>
      </c>
      <c r="G93" s="146">
        <f>+'01-FR-03 POA INSTITUCIONAL'!G93</f>
        <v>1</v>
      </c>
      <c r="H93" s="113" t="str">
        <f>+'01-FR-03 POA INSTITUCIONAL'!H93</f>
        <v>Productos de comunicación externa desarrollados</v>
      </c>
      <c r="I93" s="114" t="str">
        <f>+'01-FR-03 POA INSTITUCIONAL'!I93</f>
        <v>Comunicación Estratégica</v>
      </c>
      <c r="J93" s="115" t="str">
        <f>+'01-FR-03 POA INSTITUCIONAL'!J93</f>
        <v>Oficina Asesora de Comunicaciones</v>
      </c>
      <c r="K93" s="117">
        <f>+'01-FR-03 POA INSTITUCIONAL'!K93</f>
        <v>1</v>
      </c>
      <c r="L93" s="117">
        <f>+'01-FR-03 POA INSTITUCIONAL'!L93</f>
        <v>1</v>
      </c>
      <c r="M93" s="117">
        <f>+'01-FR-03 POA INSTITUCIONAL'!M93</f>
        <v>1</v>
      </c>
      <c r="N93" s="117">
        <f>+'01-FR-03 POA INSTITUCIONAL'!N93</f>
        <v>1</v>
      </c>
      <c r="O93" s="346">
        <f>+'04-COMUNICACIÓN ESTRATÉGICA'!V16</f>
        <v>1</v>
      </c>
      <c r="P93" s="346">
        <f>+'04-COMUNICACIÓN ESTRATÉGICA'!W16</f>
        <v>1</v>
      </c>
      <c r="Q93" s="346">
        <f>+'04-COMUNICACIÓN ESTRATÉGICA'!AD16</f>
        <v>1</v>
      </c>
      <c r="R93" s="346">
        <f>+'04-COMUNICACIÓN ESTRATÉGICA'!AE16</f>
        <v>1</v>
      </c>
      <c r="S93" s="346">
        <f>+'04-COMUNICACIÓN ESTRATÉGICA'!AL16</f>
        <v>1</v>
      </c>
      <c r="T93" s="346">
        <f>+'04-COMUNICACIÓN ESTRATÉGICA'!AM16</f>
        <v>1</v>
      </c>
      <c r="U93" s="346">
        <f>+'04-COMUNICACIÓN ESTRATÉGICA'!AT16</f>
        <v>1</v>
      </c>
      <c r="V93" s="346">
        <f>+'04-COMUNICACIÓN ESTRATÉGICA'!AU16</f>
        <v>1</v>
      </c>
      <c r="W93" s="346">
        <f>AVERAGE('04-COMUNICACIÓN ESTRATÉGICA'!AN16,'04-COMUNICACIÓN ESTRATÉGICA'!AP16)</f>
        <v>1</v>
      </c>
      <c r="X93" s="346">
        <f>+'04-COMUNICACIÓN ESTRATÉGICA'!AV16</f>
        <v>1</v>
      </c>
      <c r="Y93" s="342">
        <f>IFERROR(IF(OR($X$93="",$X$93=0),0,ROUNDDOWN(AVERAGE($P93,R93,T93,V93),3)),0)</f>
        <v>1</v>
      </c>
      <c r="Z93" s="934">
        <f>IF(AND(Y93&gt;0,$X93&gt;0),Y93/$X93,0)*1</f>
        <v>1</v>
      </c>
      <c r="AA93" s="947">
        <f>((IF(AND(Y93&gt;0,$F93&gt;0),Y93/$F93,0))/4)*2</f>
        <v>0.5</v>
      </c>
      <c r="AB93" s="319">
        <f t="shared" si="53"/>
        <v>0.25</v>
      </c>
      <c r="AC93" s="1420">
        <f>SUM(AB93:AB94)</f>
        <v>0.5</v>
      </c>
      <c r="AE93" s="316">
        <f>+'04-COMUNICACIÓN ESTRATÉGICA'!BD16</f>
        <v>1</v>
      </c>
      <c r="AF93" s="318">
        <f t="shared" si="35"/>
        <v>0</v>
      </c>
      <c r="AH93" s="316">
        <f>+'04-COMUNICACIÓN ESTRATÉGICA'!BH16</f>
        <v>0.25</v>
      </c>
      <c r="AI93" s="318">
        <f t="shared" si="36"/>
        <v>0.25</v>
      </c>
    </row>
    <row r="94" spans="2:35" ht="69.75" customHeight="1">
      <c r="B94" s="1455"/>
      <c r="C94" s="1472"/>
      <c r="D94" s="27" t="str">
        <f>+'01-FR-03 POA INSTITUCIONAL'!D94</f>
        <v>4.6.2 Desarrollar el 100% de los productos para comunicación y divulgación interna que contribuyan a la consecución de objetivos institucionales</v>
      </c>
      <c r="E94" s="38">
        <f>+'01-FR-03 POA INSTITUCIONAL'!E94</f>
        <v>0.5</v>
      </c>
      <c r="F94" s="28">
        <f>+'01-FR-03 POA INSTITUCIONAL'!F94</f>
        <v>1</v>
      </c>
      <c r="G94" s="146">
        <f>+'01-FR-03 POA INSTITUCIONAL'!G94</f>
        <v>1</v>
      </c>
      <c r="H94" s="113" t="str">
        <f>+'01-FR-03 POA INSTITUCIONAL'!H94</f>
        <v>Productos  de comunicación interna
desarrollados</v>
      </c>
      <c r="I94" s="114" t="str">
        <f>+'01-FR-03 POA INSTITUCIONAL'!I94</f>
        <v>Comunicación Estratégica</v>
      </c>
      <c r="J94" s="115" t="str">
        <f>+'01-FR-03 POA INSTITUCIONAL'!J94</f>
        <v>Oficina Asesora de Comunicaciones</v>
      </c>
      <c r="K94" s="117">
        <f>+'01-FR-03 POA INSTITUCIONAL'!K94</f>
        <v>1</v>
      </c>
      <c r="L94" s="117">
        <f>+'01-FR-03 POA INSTITUCIONAL'!L94</f>
        <v>1</v>
      </c>
      <c r="M94" s="117">
        <f>+'01-FR-03 POA INSTITUCIONAL'!M94</f>
        <v>1</v>
      </c>
      <c r="N94" s="117">
        <f>+'01-FR-03 POA INSTITUCIONAL'!N94</f>
        <v>1</v>
      </c>
      <c r="O94" s="346">
        <f>+'04-COMUNICACIÓN ESTRATÉGICA'!V17</f>
        <v>1</v>
      </c>
      <c r="P94" s="346">
        <f>+'04-COMUNICACIÓN ESTRATÉGICA'!W17</f>
        <v>1</v>
      </c>
      <c r="Q94" s="346">
        <f>+'04-COMUNICACIÓN ESTRATÉGICA'!AD17</f>
        <v>1</v>
      </c>
      <c r="R94" s="346">
        <f>+'04-COMUNICACIÓN ESTRATÉGICA'!AE17</f>
        <v>1</v>
      </c>
      <c r="S94" s="346">
        <f>+'04-COMUNICACIÓN ESTRATÉGICA'!AL17</f>
        <v>1</v>
      </c>
      <c r="T94" s="346">
        <f>+'04-COMUNICACIÓN ESTRATÉGICA'!AM17</f>
        <v>1</v>
      </c>
      <c r="U94" s="346">
        <f>+'04-COMUNICACIÓN ESTRATÉGICA'!AT17</f>
        <v>1</v>
      </c>
      <c r="V94" s="346">
        <f>+'04-COMUNICACIÓN ESTRATÉGICA'!AU17</f>
        <v>1</v>
      </c>
      <c r="W94" s="346">
        <f>AVERAGE('04-COMUNICACIÓN ESTRATÉGICA'!AN17,'04-COMUNICACIÓN ESTRATÉGICA'!AP17)</f>
        <v>1</v>
      </c>
      <c r="X94" s="346">
        <f>+'04-COMUNICACIÓN ESTRATÉGICA'!AV17</f>
        <v>1</v>
      </c>
      <c r="Y94" s="342">
        <f>IFERROR(IF(OR($X$94="",$X$94=0),0,ROUNDDOWN(AVERAGE($P94,R94,T94,V94),3)),0)</f>
        <v>1</v>
      </c>
      <c r="Z94" s="934">
        <f>IF(AND(Y94&gt;0,$X94&gt;0),Y94/$X94,0)*1</f>
        <v>1</v>
      </c>
      <c r="AA94" s="947">
        <f>((IF(AND(Y94&gt;0,$F94&gt;0),Y94/$F94,0))/4)*2</f>
        <v>0.5</v>
      </c>
      <c r="AB94" s="319">
        <f t="shared" ref="AB94:AB95" si="54">IF(AND(AA94&gt;0,E94&gt;0),AA94*E94,0)</f>
        <v>0.25</v>
      </c>
      <c r="AC94" s="1421"/>
      <c r="AE94" s="316">
        <f>+'04-COMUNICACIÓN ESTRATÉGICA'!BD17</f>
        <v>1</v>
      </c>
      <c r="AF94" s="318">
        <f t="shared" si="35"/>
        <v>0</v>
      </c>
      <c r="AH94" s="316">
        <f>+'04-COMUNICACIÓN ESTRATÉGICA'!BH17</f>
        <v>0.25</v>
      </c>
      <c r="AI94" s="318">
        <f t="shared" si="36"/>
        <v>0.25</v>
      </c>
    </row>
    <row r="95" spans="2:35" ht="114" customHeight="1">
      <c r="B95" s="1456"/>
      <c r="C95" s="169" t="s">
        <v>148</v>
      </c>
      <c r="D95" s="123" t="str">
        <f>+'01-FR-03 POA INSTITUCIONAL'!D95</f>
        <v>4.7.1 Gestionar 3 acuerdos interinstitucionales o de cooperación nacional y/o internacional para garantizar el enfoque social, en el marco de un estado pluralista, para el fortalecimiento de la prestación del servicio al usuario</v>
      </c>
      <c r="E95" s="124">
        <f>+'01-FR-03 POA INSTITUCIONAL'!E95</f>
        <v>1</v>
      </c>
      <c r="F95" s="155">
        <f>+'01-FR-03 POA INSTITUCIONAL'!F95</f>
        <v>3</v>
      </c>
      <c r="G95" s="156" t="str">
        <f>+'01-FR-03 POA INSTITUCIONAL'!G95</f>
        <v>S.I.</v>
      </c>
      <c r="H95" s="149" t="str">
        <f>+'01-FR-03 POA INSTITUCIONAL'!H95</f>
        <v>Acuerdos interinstitucionales gestionados</v>
      </c>
      <c r="I95" s="150" t="str">
        <f>+'01-FR-03 POA INSTITUCIONAL'!I95</f>
        <v>Servicio al Usuario</v>
      </c>
      <c r="J95" s="151" t="str">
        <f>+'01-FR-03 POA INSTITUCIONAL'!J95</f>
        <v>Secretaría General</v>
      </c>
      <c r="K95" s="157">
        <f>+'01-FR-03 POA INSTITUCIONAL'!K95</f>
        <v>1</v>
      </c>
      <c r="L95" s="157">
        <f>+'01-FR-03 POA INSTITUCIONAL'!L95</f>
        <v>1</v>
      </c>
      <c r="M95" s="157">
        <f>+'01-FR-03 POA INSTITUCIONAL'!M95</f>
        <v>1</v>
      </c>
      <c r="N95" s="157">
        <f>+'01-FR-03 POA INSTITUCIONAL'!N95</f>
        <v>0</v>
      </c>
      <c r="O95" s="350">
        <f>+'14-SERVICIO AL USUARIO'!V18</f>
        <v>0</v>
      </c>
      <c r="P95" s="350">
        <f>+'14-SERVICIO AL USUARIO'!W18</f>
        <v>0</v>
      </c>
      <c r="Q95" s="350">
        <f>+'14-SERVICIO AL USUARIO'!AD18</f>
        <v>0</v>
      </c>
      <c r="R95" s="350">
        <f>+'14-SERVICIO AL USUARIO'!AE18</f>
        <v>0</v>
      </c>
      <c r="S95" s="350">
        <f>+'14-SERVICIO AL USUARIO'!AL18</f>
        <v>0</v>
      </c>
      <c r="T95" s="350">
        <f>+'14-SERVICIO AL USUARIO'!AM18</f>
        <v>0</v>
      </c>
      <c r="U95" s="350">
        <f>+'14-SERVICIO AL USUARIO'!AT18</f>
        <v>1</v>
      </c>
      <c r="V95" s="350">
        <f>+'14-SERVICIO AL USUARIO'!AU18</f>
        <v>2</v>
      </c>
      <c r="W95" s="350">
        <f>'14-SERVICIO AL USUARIO'!AN18+'14-SERVICIO AL USUARIO'!AP18</f>
        <v>1</v>
      </c>
      <c r="X95" s="350">
        <f>+'14-SERVICIO AL USUARIO'!AV18</f>
        <v>1</v>
      </c>
      <c r="Y95" s="323">
        <f t="shared" ref="Y95:Y99" si="55">+P95+R95+T95+V95</f>
        <v>2</v>
      </c>
      <c r="Z95" s="610">
        <f t="shared" ref="Z95:Z99" si="56">IF(AND(Y95&gt;0,$X95&gt;0),Y95/$X95,0)</f>
        <v>2</v>
      </c>
      <c r="AA95" s="324">
        <f t="shared" ref="AA95" si="57">IF(AND(Y95&gt;0,$F95&gt;0),Y95/$F95,0)</f>
        <v>0.66666666666666663</v>
      </c>
      <c r="AB95" s="324">
        <f t="shared" si="54"/>
        <v>0.66666666666666663</v>
      </c>
      <c r="AC95" s="351">
        <f>+AB95</f>
        <v>0.66666666666666663</v>
      </c>
      <c r="AE95" s="316">
        <f>+'14-SERVICIO AL USUARIO'!BD18</f>
        <v>2</v>
      </c>
      <c r="AF95" s="318">
        <f t="shared" si="35"/>
        <v>0</v>
      </c>
      <c r="AH95" s="316">
        <f>+'14-SERVICIO AL USUARIO'!BH18</f>
        <v>0.66666666666666663</v>
      </c>
      <c r="AI95" s="318">
        <f t="shared" si="36"/>
        <v>0</v>
      </c>
    </row>
    <row r="96" spans="2:35" ht="93.75" customHeight="1">
      <c r="B96" s="1451" t="s">
        <v>149</v>
      </c>
      <c r="C96" s="1463" t="s">
        <v>150</v>
      </c>
      <c r="D96" s="27" t="str">
        <f>+'01-FR-03 POA INSTITUCIONAL'!D96</f>
        <v xml:space="preserve">5.1.1 Elaborar cuatro (4) proyectos de investigación, desarrollo e innovación I+D+I para la Entidad </v>
      </c>
      <c r="E96" s="38">
        <f>+'01-FR-03 POA INSTITUCIONAL'!E96</f>
        <v>0.5</v>
      </c>
      <c r="F96" s="111">
        <f>+'01-FR-03 POA INSTITUCIONAL'!F96</f>
        <v>4</v>
      </c>
      <c r="G96" s="1030">
        <f>+'01-FR-03 POA INSTITUCIONAL'!G96</f>
        <v>2</v>
      </c>
      <c r="H96" s="113" t="str">
        <f>+'01-FR-03 POA INSTITUCIONAL'!H96</f>
        <v>Proyectos de Investigación, Desarrollo e Innovación (I+D+I) elaborados</v>
      </c>
      <c r="I96" s="114" t="str">
        <f>+'01-FR-03 POA INSTITUCIONAL'!I96</f>
        <v xml:space="preserve">Gestión del Conocimiento e Innovación </v>
      </c>
      <c r="J96" s="115" t="str">
        <f>+'01-FR-03 POA INSTITUCIONAL'!J96</f>
        <v xml:space="preserve">Dirección de Gestión del Conocimiento e Innovación </v>
      </c>
      <c r="K96" s="116">
        <f>+'01-FR-03 POA INSTITUCIONAL'!K96</f>
        <v>1</v>
      </c>
      <c r="L96" s="116">
        <f>+'01-FR-03 POA INSTITUCIONAL'!L96</f>
        <v>1</v>
      </c>
      <c r="M96" s="116">
        <f>+'01-FR-03 POA INSTITUCIONAL'!M96</f>
        <v>1</v>
      </c>
      <c r="N96" s="116">
        <f>+'01-FR-03 POA INSTITUCIONAL'!N96</f>
        <v>1</v>
      </c>
      <c r="O96" s="352">
        <f>+'02-G. CONOCIMIENTO INNOVACIÓN'!V16</f>
        <v>0</v>
      </c>
      <c r="P96" s="352">
        <f>+'02-G. CONOCIMIENTO INNOVACIÓN'!W16</f>
        <v>0</v>
      </c>
      <c r="Q96" s="352">
        <f>+'02-G. CONOCIMIENTO INNOVACIÓN'!AD16</f>
        <v>0</v>
      </c>
      <c r="R96" s="352">
        <f>+'02-G. CONOCIMIENTO INNOVACIÓN'!AE16</f>
        <v>0</v>
      </c>
      <c r="S96" s="352">
        <f>+'02-G. CONOCIMIENTO INNOVACIÓN'!AL16</f>
        <v>0</v>
      </c>
      <c r="T96" s="352">
        <f>+'02-G. CONOCIMIENTO INNOVACIÓN'!AM16</f>
        <v>0</v>
      </c>
      <c r="U96" s="352">
        <f>+'02-G. CONOCIMIENTO INNOVACIÓN'!AT16</f>
        <v>1</v>
      </c>
      <c r="V96" s="352">
        <f>+'02-G. CONOCIMIENTO INNOVACIÓN'!AU16</f>
        <v>1</v>
      </c>
      <c r="W96" s="352">
        <f>'02-G. CONOCIMIENTO INNOVACIÓN'!AN16+'02-G. CONOCIMIENTO INNOVACIÓN'!AP16</f>
        <v>1</v>
      </c>
      <c r="X96" s="352">
        <f>+'02-G. CONOCIMIENTO INNOVACIÓN'!AV16</f>
        <v>1</v>
      </c>
      <c r="Y96" s="322">
        <f t="shared" si="55"/>
        <v>1</v>
      </c>
      <c r="Z96" s="606">
        <f t="shared" si="56"/>
        <v>1</v>
      </c>
      <c r="AA96" s="353">
        <f t="shared" ref="AA96:AA99" si="58">IF(AND(Y96&gt;0,$F96&gt;0),Y96/$F96,0)</f>
        <v>0.25</v>
      </c>
      <c r="AB96" s="353">
        <f t="shared" ref="AB96:AB99" si="59">IF(AND(AA96&gt;0,E96&gt;0),AA96*E96,0)</f>
        <v>0.125</v>
      </c>
      <c r="AC96" s="1119">
        <f>SUM(AB96:AB97)</f>
        <v>0.375</v>
      </c>
      <c r="AE96" s="316">
        <f>+'02-G. CONOCIMIENTO INNOVACIÓN'!BD16</f>
        <v>1</v>
      </c>
      <c r="AF96" s="318">
        <f t="shared" si="35"/>
        <v>0</v>
      </c>
      <c r="AH96" s="316">
        <f>+'02-G. CONOCIMIENTO INNOVACIÓN'!BH16</f>
        <v>0.25</v>
      </c>
      <c r="AI96" s="318">
        <f t="shared" si="36"/>
        <v>0</v>
      </c>
    </row>
    <row r="97" spans="2:35" ht="93.75" customHeight="1">
      <c r="B97" s="1452"/>
      <c r="C97" s="1464"/>
      <c r="D97" s="27" t="str">
        <f>+'01-FR-03 POA INSTITUCIONAL'!D97</f>
        <v>5.1.2. Entregar dos (2) productos resultado de los proyectos de investigación, desarrollo e innovación (I+D+I) realizados en la Entidad para la comunidad</v>
      </c>
      <c r="E97" s="38">
        <f>+'01-FR-03 POA INSTITUCIONAL'!E97</f>
        <v>0.5</v>
      </c>
      <c r="F97" s="111">
        <f>+'01-FR-03 POA INSTITUCIONAL'!F97</f>
        <v>2</v>
      </c>
      <c r="G97" s="1030" t="str">
        <f>+'01-FR-03 POA INSTITUCIONAL'!G97</f>
        <v>S.I.</v>
      </c>
      <c r="H97" s="113" t="str">
        <f>+'01-FR-03 POA INSTITUCIONAL'!H97</f>
        <v>Productos resultado de investigaciones, entregadas para la comunidad</v>
      </c>
      <c r="I97" s="114" t="str">
        <f>+'01-FR-03 POA INSTITUCIONAL'!I97</f>
        <v xml:space="preserve">Gestión del Conocimiento e Innovación </v>
      </c>
      <c r="J97" s="115" t="str">
        <f>+'01-FR-03 POA INSTITUCIONAL'!J97</f>
        <v xml:space="preserve">Dirección de Gestión del Conocimiento e Innovación </v>
      </c>
      <c r="K97" s="116">
        <f>+'01-FR-03 POA INSTITUCIONAL'!K97</f>
        <v>0</v>
      </c>
      <c r="L97" s="116">
        <f>+'01-FR-03 POA INSTITUCIONAL'!L97</f>
        <v>1</v>
      </c>
      <c r="M97" s="116">
        <f>+'01-FR-03 POA INSTITUCIONAL'!M97</f>
        <v>1</v>
      </c>
      <c r="N97" s="116">
        <f>+'01-FR-03 POA INSTITUCIONAL'!N97</f>
        <v>0</v>
      </c>
      <c r="O97" s="352">
        <f>+'02-G. CONOCIMIENTO INNOVACIÓN'!V17</f>
        <v>0</v>
      </c>
      <c r="P97" s="352">
        <f>+'02-G. CONOCIMIENTO INNOVACIÓN'!W17</f>
        <v>0</v>
      </c>
      <c r="Q97" s="352">
        <f>+'02-G. CONOCIMIENTO INNOVACIÓN'!AD17</f>
        <v>0</v>
      </c>
      <c r="R97" s="352">
        <f>+'02-G. CONOCIMIENTO INNOVACIÓN'!AE17</f>
        <v>0</v>
      </c>
      <c r="S97" s="352">
        <f>+'02-G. CONOCIMIENTO INNOVACIÓN'!AL17</f>
        <v>0</v>
      </c>
      <c r="T97" s="352">
        <f>+'02-G. CONOCIMIENTO INNOVACIÓN'!AM17</f>
        <v>0</v>
      </c>
      <c r="U97" s="352">
        <f>+'02-G. CONOCIMIENTO INNOVACIÓN'!AT17</f>
        <v>1</v>
      </c>
      <c r="V97" s="352">
        <f>+'02-G. CONOCIMIENTO INNOVACIÓN'!AU17</f>
        <v>1</v>
      </c>
      <c r="W97" s="352">
        <f>'02-G. CONOCIMIENTO INNOVACIÓN'!AN17+'02-G. CONOCIMIENTO INNOVACIÓN'!AP17</f>
        <v>1</v>
      </c>
      <c r="X97" s="352">
        <f>+'02-G. CONOCIMIENTO INNOVACIÓN'!AV17</f>
        <v>1</v>
      </c>
      <c r="Y97" s="322">
        <f t="shared" si="55"/>
        <v>1</v>
      </c>
      <c r="Z97" s="606">
        <f t="shared" si="56"/>
        <v>1</v>
      </c>
      <c r="AA97" s="353">
        <f t="shared" ref="AA97" si="60">IF(AND(Y97&gt;0,$F97&gt;0),Y97/$F97,0)</f>
        <v>0.5</v>
      </c>
      <c r="AB97" s="353">
        <f t="shared" ref="AB97" si="61">IF(AND(AA97&gt;0,E97&gt;0),AA97*E97,0)</f>
        <v>0.25</v>
      </c>
      <c r="AC97" s="1153"/>
      <c r="AE97" s="316"/>
      <c r="AF97" s="318"/>
      <c r="AH97" s="316"/>
      <c r="AI97" s="318"/>
    </row>
    <row r="98" spans="2:35" ht="102" customHeight="1">
      <c r="B98" s="1452"/>
      <c r="C98" s="173" t="s">
        <v>151</v>
      </c>
      <c r="D98" s="27" t="str">
        <f>+'01-FR-03 POA INSTITUCIONAL'!D98</f>
        <v xml:space="preserve">5.2.1 Construir ocho (8) informes de investigación e innovación que reflejen la analítica institucional </v>
      </c>
      <c r="E98" s="38">
        <f>+'01-FR-03 POA INSTITUCIONAL'!E98</f>
        <v>1</v>
      </c>
      <c r="F98" s="111">
        <f>+'01-FR-03 POA INSTITUCIONAL'!F98</f>
        <v>8</v>
      </c>
      <c r="G98" s="1030" t="str">
        <f>+'01-FR-03 POA INSTITUCIONAL'!G98</f>
        <v>S.I.</v>
      </c>
      <c r="H98" s="113" t="str">
        <f>+'01-FR-03 POA INSTITUCIONAL'!H98</f>
        <v>Informes de investigación e innovación construidos</v>
      </c>
      <c r="I98" s="114" t="str">
        <f>+'01-FR-03 POA INSTITUCIONAL'!I98</f>
        <v xml:space="preserve">Gestión del Conocimiento e Innovación </v>
      </c>
      <c r="J98" s="115" t="str">
        <f>+'01-FR-03 POA INSTITUCIONAL'!J98</f>
        <v xml:space="preserve">Dirección de Gestión del Conocimiento e Innovación </v>
      </c>
      <c r="K98" s="116">
        <f>+'01-FR-03 POA INSTITUCIONAL'!K98</f>
        <v>2</v>
      </c>
      <c r="L98" s="116">
        <f>+'01-FR-03 POA INSTITUCIONAL'!L98</f>
        <v>2</v>
      </c>
      <c r="M98" s="116">
        <f>+'01-FR-03 POA INSTITUCIONAL'!M98</f>
        <v>3</v>
      </c>
      <c r="N98" s="116">
        <f>+'01-FR-03 POA INSTITUCIONAL'!N98</f>
        <v>1</v>
      </c>
      <c r="O98" s="352">
        <f>+'02-G. CONOCIMIENTO INNOVACIÓN'!V18</f>
        <v>0</v>
      </c>
      <c r="P98" s="352">
        <f>+'02-G. CONOCIMIENTO INNOVACIÓN'!W18</f>
        <v>0</v>
      </c>
      <c r="Q98" s="352">
        <f>+'02-G. CONOCIMIENTO INNOVACIÓN'!AD18</f>
        <v>1</v>
      </c>
      <c r="R98" s="352">
        <f>+'02-G. CONOCIMIENTO INNOVACIÓN'!AE18</f>
        <v>1</v>
      </c>
      <c r="S98" s="352">
        <f>+'02-G. CONOCIMIENTO INNOVACIÓN'!AL18</f>
        <v>0</v>
      </c>
      <c r="T98" s="352">
        <f>+'02-G. CONOCIMIENTO INNOVACIÓN'!AM18</f>
        <v>0</v>
      </c>
      <c r="U98" s="352">
        <f>+'02-G. CONOCIMIENTO INNOVACIÓN'!AT18</f>
        <v>1</v>
      </c>
      <c r="V98" s="352">
        <f>+'02-G. CONOCIMIENTO INNOVACIÓN'!AU18</f>
        <v>1</v>
      </c>
      <c r="W98" s="352">
        <f>'02-G. CONOCIMIENTO INNOVACIÓN'!AN18+'02-G. CONOCIMIENTO INNOVACIÓN'!AP18</f>
        <v>1</v>
      </c>
      <c r="X98" s="352">
        <f>+'02-G. CONOCIMIENTO INNOVACIÓN'!AV18</f>
        <v>2</v>
      </c>
      <c r="Y98" s="355">
        <f t="shared" si="55"/>
        <v>2</v>
      </c>
      <c r="Z98" s="606">
        <f t="shared" si="56"/>
        <v>1</v>
      </c>
      <c r="AA98" s="353">
        <f t="shared" si="58"/>
        <v>0.25</v>
      </c>
      <c r="AB98" s="353">
        <f t="shared" si="59"/>
        <v>0.25</v>
      </c>
      <c r="AC98" s="354">
        <f>+AB98</f>
        <v>0.25</v>
      </c>
      <c r="AE98" s="316">
        <f>+'02-G. CONOCIMIENTO INNOVACIÓN'!BD18</f>
        <v>1</v>
      </c>
      <c r="AF98" s="318">
        <f t="shared" si="35"/>
        <v>0</v>
      </c>
      <c r="AH98" s="316">
        <f>+'02-G. CONOCIMIENTO INNOVACIÓN'!BH18</f>
        <v>0.25</v>
      </c>
      <c r="AI98" s="318">
        <f t="shared" si="36"/>
        <v>0</v>
      </c>
    </row>
    <row r="99" spans="2:35" ht="124.5" customHeight="1">
      <c r="B99" s="1453"/>
      <c r="C99" s="174" t="s">
        <v>152</v>
      </c>
      <c r="D99" s="27" t="str">
        <f>+'01-FR-03 POA INSTITUCIONAL'!D99</f>
        <v>5.3.1 Desarrollar ochenta (80) actividades de apropiación social del conocimiento para la creación de la cultura de la investigación e innovación.</v>
      </c>
      <c r="E99" s="38">
        <f>+'01-FR-03 POA INSTITUCIONAL'!E99</f>
        <v>1</v>
      </c>
      <c r="F99" s="111">
        <f>+'01-FR-03 POA INSTITUCIONAL'!F99</f>
        <v>80</v>
      </c>
      <c r="G99" s="1030">
        <f>+'01-FR-03 POA INSTITUCIONAL'!G99</f>
        <v>3</v>
      </c>
      <c r="H99" s="113" t="str">
        <f>+'01-FR-03 POA INSTITUCIONAL'!H99</f>
        <v>Actividades de apropiación social del conocimiento desarrolladas</v>
      </c>
      <c r="I99" s="114" t="str">
        <f>+'01-FR-03 POA INSTITUCIONAL'!I99</f>
        <v xml:space="preserve">Gestión del Conocimiento e Innovación </v>
      </c>
      <c r="J99" s="115" t="str">
        <f>+'01-FR-03 POA INSTITUCIONAL'!J99</f>
        <v xml:space="preserve">Dirección de Gestión del Conocimiento e Innovación </v>
      </c>
      <c r="K99" s="116">
        <f>+'01-FR-03 POA INSTITUCIONAL'!K99</f>
        <v>3</v>
      </c>
      <c r="L99" s="116">
        <f>+'01-FR-03 POA INSTITUCIONAL'!L99</f>
        <v>38</v>
      </c>
      <c r="M99" s="116">
        <f>+'01-FR-03 POA INSTITUCIONAL'!M99</f>
        <v>39</v>
      </c>
      <c r="N99" s="116">
        <f>+'01-FR-03 POA INSTITUCIONAL'!N99</f>
        <v>0</v>
      </c>
      <c r="O99" s="352">
        <f>+'02-G. CONOCIMIENTO INNOVACIÓN'!V19</f>
        <v>6</v>
      </c>
      <c r="P99" s="352">
        <f>+'02-G. CONOCIMIENTO INNOVACIÓN'!W19</f>
        <v>9</v>
      </c>
      <c r="Q99" s="352">
        <f>+'02-G. CONOCIMIENTO INNOVACIÓN'!AD19</f>
        <v>12</v>
      </c>
      <c r="R99" s="352">
        <f>+'02-G. CONOCIMIENTO INNOVACIÓN'!AE19</f>
        <v>12</v>
      </c>
      <c r="S99" s="352">
        <f>+'02-G. CONOCIMIENTO INNOVACIÓN'!AL19</f>
        <v>12</v>
      </c>
      <c r="T99" s="352">
        <f>+'02-G. CONOCIMIENTO INNOVACIÓN'!AM19</f>
        <v>10</v>
      </c>
      <c r="U99" s="352">
        <f>+'02-G. CONOCIMIENTO INNOVACIÓN'!AT19</f>
        <v>8</v>
      </c>
      <c r="V99" s="352">
        <f>+'02-G. CONOCIMIENTO INNOVACIÓN'!AU19</f>
        <v>7</v>
      </c>
      <c r="W99" s="352">
        <f>'02-G. CONOCIMIENTO INNOVACIÓN'!AN19+'02-G. CONOCIMIENTO INNOVACIÓN'!AP19</f>
        <v>8</v>
      </c>
      <c r="X99" s="352">
        <f>+'02-G. CONOCIMIENTO INNOVACIÓN'!AV19</f>
        <v>38</v>
      </c>
      <c r="Y99" s="355">
        <f t="shared" si="55"/>
        <v>38</v>
      </c>
      <c r="Z99" s="608">
        <f t="shared" si="56"/>
        <v>1</v>
      </c>
      <c r="AA99" s="353">
        <f t="shared" si="58"/>
        <v>0.47499999999999998</v>
      </c>
      <c r="AB99" s="353">
        <f t="shared" si="59"/>
        <v>0.47499999999999998</v>
      </c>
      <c r="AC99" s="354">
        <f>+AB99</f>
        <v>0.47499999999999998</v>
      </c>
      <c r="AE99" s="316">
        <f>+'02-G. CONOCIMIENTO INNOVACIÓN'!BD19</f>
        <v>1</v>
      </c>
      <c r="AF99" s="318">
        <f t="shared" si="35"/>
        <v>0</v>
      </c>
      <c r="AH99" s="316">
        <f>+'02-G. CONOCIMIENTO INNOVACIÓN'!BH19</f>
        <v>0.47499999999999998</v>
      </c>
      <c r="AI99" s="318">
        <f t="shared" si="36"/>
        <v>0</v>
      </c>
    </row>
    <row r="100" spans="2:35">
      <c r="B100" s="292"/>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697"/>
      <c r="Z100" s="949">
        <f>IFERROR(AVERAGE(Z13:Z99),0)</f>
        <v>1.1102539128894284</v>
      </c>
      <c r="AA100" s="950">
        <f>AVERAGE(AA13:AA99)</f>
        <v>0.4065798829094634</v>
      </c>
      <c r="AB100" s="951"/>
      <c r="AC100" s="950">
        <f>IFERROR(AVERAGE(AC13:AC99),0)</f>
        <v>0.40223469126116729</v>
      </c>
      <c r="AI100" s="318"/>
    </row>
    <row r="101" spans="2:35" ht="13.5" customHeight="1">
      <c r="B101" s="176"/>
      <c r="C101" s="176"/>
      <c r="D101" s="176"/>
      <c r="E101" s="175"/>
      <c r="F101" s="175"/>
      <c r="G101" s="175"/>
      <c r="H101" s="176"/>
      <c r="I101" s="176"/>
      <c r="J101" s="176"/>
      <c r="K101" s="176"/>
      <c r="L101" s="176"/>
      <c r="M101" s="176"/>
      <c r="N101" s="176"/>
      <c r="O101" s="176"/>
      <c r="P101" s="176"/>
      <c r="Q101" s="176"/>
      <c r="R101" s="176"/>
      <c r="S101" s="176"/>
      <c r="T101" s="176"/>
      <c r="U101" s="176"/>
      <c r="V101" s="176"/>
      <c r="W101" s="176"/>
      <c r="X101" s="176"/>
    </row>
    <row r="102" spans="2:35" ht="15" customHeight="1">
      <c r="B102" s="176"/>
      <c r="C102" s="176"/>
      <c r="D102" s="176"/>
      <c r="E102" s="175"/>
      <c r="F102" s="175"/>
      <c r="G102" s="175"/>
      <c r="H102" s="176"/>
      <c r="I102" s="176"/>
      <c r="J102" s="176"/>
      <c r="K102" s="176"/>
      <c r="L102" s="176"/>
      <c r="M102" s="176"/>
      <c r="N102" s="176"/>
      <c r="O102" s="176"/>
      <c r="P102" s="176"/>
      <c r="Q102" s="176"/>
      <c r="R102" s="176"/>
      <c r="S102" s="176"/>
      <c r="T102" s="176"/>
      <c r="U102" s="176"/>
      <c r="V102" s="176"/>
      <c r="W102" s="176"/>
      <c r="X102" s="176"/>
    </row>
    <row r="103" spans="2:35" ht="15" customHeight="1">
      <c r="B103" s="176"/>
      <c r="C103" s="176"/>
      <c r="D103" s="176"/>
      <c r="E103" s="175"/>
      <c r="F103" s="175"/>
      <c r="G103" s="175"/>
      <c r="H103" s="1031"/>
      <c r="I103" s="1031"/>
      <c r="J103" s="1031"/>
      <c r="K103" s="1031"/>
      <c r="L103" s="1031"/>
      <c r="M103" s="1031"/>
      <c r="N103" s="1031"/>
      <c r="O103" s="1031"/>
      <c r="P103" s="1031"/>
      <c r="Q103" s="1031"/>
      <c r="R103" s="1031"/>
      <c r="S103" s="1031"/>
      <c r="T103" s="1031"/>
      <c r="U103" s="1031"/>
      <c r="V103" s="1031"/>
      <c r="W103" s="1031"/>
      <c r="X103" s="1031"/>
    </row>
    <row r="104" spans="2:35" ht="15" customHeight="1">
      <c r="B104" s="176"/>
      <c r="C104" s="176"/>
      <c r="D104" s="176"/>
      <c r="E104" s="175"/>
      <c r="F104" s="175"/>
      <c r="G104" s="175"/>
      <c r="H104" s="176"/>
      <c r="I104" s="176"/>
      <c r="J104" s="176"/>
      <c r="K104" s="176"/>
      <c r="L104" s="176"/>
      <c r="M104" s="176"/>
      <c r="N104" s="176"/>
      <c r="O104" s="176"/>
      <c r="P104" s="176"/>
      <c r="Q104" s="176"/>
      <c r="R104" s="176"/>
      <c r="S104" s="176"/>
      <c r="T104" s="176"/>
      <c r="U104" s="176"/>
      <c r="V104" s="176"/>
      <c r="W104" s="176"/>
      <c r="X104" s="176"/>
    </row>
    <row r="105" spans="2:35" ht="15" customHeight="1">
      <c r="B105" s="176"/>
      <c r="C105" s="176"/>
      <c r="D105" s="176"/>
      <c r="E105" s="175"/>
      <c r="F105" s="175"/>
      <c r="G105" s="175"/>
      <c r="H105" s="1031"/>
      <c r="I105" s="1031"/>
      <c r="J105" s="1031"/>
      <c r="K105" s="1031"/>
      <c r="L105" s="1031"/>
      <c r="M105" s="1031"/>
      <c r="N105" s="1031"/>
      <c r="O105" s="1031"/>
      <c r="P105" s="1031"/>
      <c r="Q105" s="1031"/>
      <c r="R105" s="1031"/>
      <c r="S105" s="1031"/>
      <c r="T105" s="1031"/>
      <c r="U105" s="1031"/>
      <c r="V105" s="1031"/>
      <c r="W105" s="1031"/>
      <c r="X105" s="1031"/>
    </row>
  </sheetData>
  <sheetProtection algorithmName="SHA-512" hashValue="AlkVuIIiUy6L6Z9JTd2Wa09qPIzqq8+EFxRjLNWivNbW3Tx+BFmn6oUGZnrqWIp8Q32wlG3KeXIIbRgw/bucOg==" saltValue="5Le7enlhGKstAJIFb2/bdw==" spinCount="100000" sheet="1" objects="1" scenarios="1"/>
  <mergeCells count="67">
    <mergeCell ref="AC96:AC97"/>
    <mergeCell ref="B10:B12"/>
    <mergeCell ref="E82:E83"/>
    <mergeCell ref="C87:C92"/>
    <mergeCell ref="C93:C94"/>
    <mergeCell ref="B13:B32"/>
    <mergeCell ref="C13:C23"/>
    <mergeCell ref="C24:C29"/>
    <mergeCell ref="C30:C32"/>
    <mergeCell ref="C48:C54"/>
    <mergeCell ref="C55:C60"/>
    <mergeCell ref="C61:C68"/>
    <mergeCell ref="D82:D83"/>
    <mergeCell ref="C69:C86"/>
    <mergeCell ref="D84:D86"/>
    <mergeCell ref="E84:E86"/>
    <mergeCell ref="G10:G12"/>
    <mergeCell ref="B2:B6"/>
    <mergeCell ref="H10:H12"/>
    <mergeCell ref="D10:D12"/>
    <mergeCell ref="E10:E12"/>
    <mergeCell ref="B96:B99"/>
    <mergeCell ref="B33:B39"/>
    <mergeCell ref="C33:C34"/>
    <mergeCell ref="C35:C36"/>
    <mergeCell ref="C37:C39"/>
    <mergeCell ref="B40:B47"/>
    <mergeCell ref="C40:C41"/>
    <mergeCell ref="C42:C43"/>
    <mergeCell ref="C45:C47"/>
    <mergeCell ref="B48:B95"/>
    <mergeCell ref="C96:C97"/>
    <mergeCell ref="I10:I12"/>
    <mergeCell ref="C2:AC6"/>
    <mergeCell ref="AA10:AC10"/>
    <mergeCell ref="O11:P11"/>
    <mergeCell ref="Q11:R11"/>
    <mergeCell ref="S11:T11"/>
    <mergeCell ref="U11:V11"/>
    <mergeCell ref="O10:Z10"/>
    <mergeCell ref="Y11:Y12"/>
    <mergeCell ref="AB11:AB12"/>
    <mergeCell ref="AC11:AC12"/>
    <mergeCell ref="J10:J12"/>
    <mergeCell ref="K10:N10"/>
    <mergeCell ref="AA11:AA12"/>
    <mergeCell ref="C10:C12"/>
    <mergeCell ref="F10:F12"/>
    <mergeCell ref="AC93:AC94"/>
    <mergeCell ref="AC24:AC29"/>
    <mergeCell ref="AC30:AC32"/>
    <mergeCell ref="AC48:AC54"/>
    <mergeCell ref="AC55:AC60"/>
    <mergeCell ref="AC61:AC68"/>
    <mergeCell ref="AC69:AC86"/>
    <mergeCell ref="AC40:AC41"/>
    <mergeCell ref="AC42:AC43"/>
    <mergeCell ref="AC45:AC47"/>
    <mergeCell ref="W11:W12"/>
    <mergeCell ref="AB82:AB83"/>
    <mergeCell ref="AC13:AC23"/>
    <mergeCell ref="X11:X12"/>
    <mergeCell ref="AC87:AC92"/>
    <mergeCell ref="AB84:AB86"/>
    <mergeCell ref="AC33:AC34"/>
    <mergeCell ref="AC35:AC36"/>
    <mergeCell ref="AC37:AC39"/>
  </mergeCells>
  <pageMargins left="0.7" right="0.7" top="0.75" bottom="0.75" header="0.3" footer="0.3"/>
  <pageSetup orientation="portrait" r:id="rId1"/>
  <ignoredErrors>
    <ignoredError sqref="Y19"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80B9898-88F4-44B6-BCF4-CF4632C37086}">
          <x14:formula1>
            <xm:f>LISTAS!$I$5:$I$9</xm:f>
          </x14:formula1>
          <xm:sqref>C8</xm:sqref>
        </x14:dataValidation>
        <x14:dataValidation type="list" allowBlank="1" showInputMessage="1" showErrorMessage="1" xr:uid="{1A3497A4-26BF-4B48-A074-F6DCE0D55A74}">
          <x14:formula1>
            <xm:f>LISTAS!$E$6:$E$9</xm:f>
          </x14:formula1>
          <xm:sqref>D8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50"/>
  </sheetPr>
  <dimension ref="B1:O117"/>
  <sheetViews>
    <sheetView showGridLines="0" zoomScale="55" zoomScaleNormal="55"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55.109375" style="105" customWidth="1"/>
    <col min="4" max="4" width="52.88671875" style="105" customWidth="1"/>
    <col min="5" max="5" width="25.44140625" style="106" customWidth="1"/>
    <col min="6" max="6" width="26.33203125" style="106" customWidth="1"/>
    <col min="7" max="7" width="18" style="106" customWidth="1"/>
    <col min="8" max="8" width="43.6640625" style="105" customWidth="1"/>
    <col min="9" max="9" width="29.44140625" style="105" customWidth="1"/>
    <col min="10" max="10" width="56.33203125" style="105" customWidth="1"/>
    <col min="11" max="14" width="14.33203125" style="107" customWidth="1"/>
    <col min="15" max="15" width="18.5546875" style="107" customWidth="1"/>
    <col min="16" max="16384" width="17.33203125" style="107"/>
  </cols>
  <sheetData>
    <row r="1" spans="2:15" ht="15" customHeight="1" thickBot="1"/>
    <row r="2" spans="2:15" ht="16.5" customHeight="1">
      <c r="B2" s="1496" t="s">
        <v>695</v>
      </c>
      <c r="C2" s="1490" t="s">
        <v>44</v>
      </c>
      <c r="D2" s="1432"/>
      <c r="E2" s="1432"/>
      <c r="F2" s="1432"/>
      <c r="G2" s="1432"/>
      <c r="H2" s="1432"/>
      <c r="I2" s="1432"/>
      <c r="J2" s="1432"/>
      <c r="K2" s="1432"/>
      <c r="L2" s="1432"/>
      <c r="M2" s="1491"/>
      <c r="N2" s="1483" t="s">
        <v>31</v>
      </c>
      <c r="O2" s="1484"/>
    </row>
    <row r="3" spans="2:15" ht="16.5" customHeight="1">
      <c r="B3" s="1497"/>
      <c r="C3" s="1492"/>
      <c r="D3" s="1435"/>
      <c r="E3" s="1435"/>
      <c r="F3" s="1435"/>
      <c r="G3" s="1435"/>
      <c r="H3" s="1435"/>
      <c r="I3" s="1435"/>
      <c r="J3" s="1435"/>
      <c r="K3" s="1435"/>
      <c r="L3" s="1435"/>
      <c r="M3" s="1493"/>
      <c r="N3" s="23" t="s">
        <v>28</v>
      </c>
      <c r="O3" s="24" t="s">
        <v>29</v>
      </c>
    </row>
    <row r="4" spans="2:15" ht="16.5" customHeight="1">
      <c r="B4" s="1497"/>
      <c r="C4" s="1492"/>
      <c r="D4" s="1435"/>
      <c r="E4" s="1435"/>
      <c r="F4" s="1435"/>
      <c r="G4" s="1435"/>
      <c r="H4" s="1435"/>
      <c r="I4" s="1435"/>
      <c r="J4" s="1435"/>
      <c r="K4" s="1435"/>
      <c r="L4" s="1435"/>
      <c r="M4" s="1493"/>
      <c r="N4" s="25">
        <v>5</v>
      </c>
      <c r="O4" s="26" t="s">
        <v>651</v>
      </c>
    </row>
    <row r="5" spans="2:15" ht="16.5" customHeight="1">
      <c r="B5" s="1497"/>
      <c r="C5" s="1492"/>
      <c r="D5" s="1435"/>
      <c r="E5" s="1435"/>
      <c r="F5" s="1435"/>
      <c r="G5" s="1435"/>
      <c r="H5" s="1435"/>
      <c r="I5" s="1435"/>
      <c r="J5" s="1435"/>
      <c r="K5" s="1435"/>
      <c r="L5" s="1435"/>
      <c r="M5" s="1493"/>
      <c r="N5" s="1485" t="s">
        <v>30</v>
      </c>
      <c r="O5" s="1486"/>
    </row>
    <row r="6" spans="2:15" ht="16.5" customHeight="1" thickBot="1">
      <c r="B6" s="1498"/>
      <c r="C6" s="1494"/>
      <c r="D6" s="1438"/>
      <c r="E6" s="1438"/>
      <c r="F6" s="1438"/>
      <c r="G6" s="1438"/>
      <c r="H6" s="1438"/>
      <c r="I6" s="1438"/>
      <c r="J6" s="1438"/>
      <c r="K6" s="1438"/>
      <c r="L6" s="1438"/>
      <c r="M6" s="1495"/>
      <c r="N6" s="1487">
        <v>44306</v>
      </c>
      <c r="O6" s="1488"/>
    </row>
    <row r="7" spans="2:15" ht="14.25" customHeight="1">
      <c r="B7" s="108"/>
      <c r="C7" s="108"/>
      <c r="D7" s="108"/>
      <c r="E7" s="109"/>
      <c r="F7" s="109"/>
      <c r="G7" s="109"/>
      <c r="H7" s="108"/>
      <c r="I7" s="108"/>
      <c r="J7" s="108"/>
    </row>
    <row r="8" spans="2:15" ht="18" customHeight="1">
      <c r="B8" s="1489" t="s">
        <v>48</v>
      </c>
      <c r="C8" s="1489"/>
      <c r="D8" s="1489"/>
      <c r="E8" s="1489"/>
      <c r="F8" s="1489"/>
      <c r="G8" s="1489"/>
      <c r="H8" s="1489"/>
      <c r="I8" s="1489"/>
      <c r="J8" s="1489"/>
      <c r="K8" s="1489"/>
      <c r="L8" s="1489"/>
      <c r="M8" s="1489"/>
      <c r="N8" s="1489"/>
      <c r="O8" s="1489"/>
    </row>
    <row r="9" spans="2:15" ht="14.25" customHeight="1">
      <c r="B9" s="108"/>
      <c r="C9" s="108"/>
      <c r="D9" s="108"/>
      <c r="E9" s="109"/>
      <c r="F9" s="109"/>
      <c r="G9" s="109"/>
      <c r="H9" s="108"/>
      <c r="I9" s="108"/>
      <c r="J9" s="108"/>
      <c r="K9" s="110"/>
      <c r="L9" s="110"/>
      <c r="M9" s="110"/>
      <c r="N9" s="110"/>
      <c r="O9" s="110"/>
    </row>
    <row r="10" spans="2:15" ht="24.75" customHeight="1">
      <c r="B10" s="1430" t="s">
        <v>0</v>
      </c>
      <c r="C10" s="1430" t="s">
        <v>52</v>
      </c>
      <c r="D10" s="1430" t="s">
        <v>54</v>
      </c>
      <c r="E10" s="1411" t="s">
        <v>55</v>
      </c>
      <c r="F10" s="1430" t="s">
        <v>56</v>
      </c>
      <c r="G10" s="1430" t="s">
        <v>70</v>
      </c>
      <c r="H10" s="1430" t="s">
        <v>57</v>
      </c>
      <c r="I10" s="1430" t="s">
        <v>41</v>
      </c>
      <c r="J10" s="1430" t="s">
        <v>42</v>
      </c>
      <c r="K10" s="1448" t="s">
        <v>75</v>
      </c>
      <c r="L10" s="1448"/>
      <c r="M10" s="1448"/>
      <c r="N10" s="1448"/>
      <c r="O10" s="1499" t="s">
        <v>43</v>
      </c>
    </row>
    <row r="11" spans="2:15" ht="24.75" customHeight="1">
      <c r="B11" s="1430"/>
      <c r="C11" s="1430"/>
      <c r="D11" s="1430"/>
      <c r="E11" s="1468"/>
      <c r="F11" s="1430"/>
      <c r="G11" s="1430"/>
      <c r="H11" s="1430"/>
      <c r="I11" s="1430"/>
      <c r="J11" s="1430"/>
      <c r="K11" s="1019" t="s">
        <v>59</v>
      </c>
      <c r="L11" s="1019" t="s">
        <v>59</v>
      </c>
      <c r="M11" s="1019" t="s">
        <v>59</v>
      </c>
      <c r="N11" s="1019" t="s">
        <v>59</v>
      </c>
      <c r="O11" s="1499"/>
    </row>
    <row r="12" spans="2:15" ht="22.5" customHeight="1">
      <c r="B12" s="1430"/>
      <c r="C12" s="1430"/>
      <c r="D12" s="1430"/>
      <c r="E12" s="1412"/>
      <c r="F12" s="1430"/>
      <c r="G12" s="1430"/>
      <c r="H12" s="1430"/>
      <c r="I12" s="1430"/>
      <c r="J12" s="1430"/>
      <c r="K12" s="1028">
        <v>2021</v>
      </c>
      <c r="L12" s="1028">
        <v>2022</v>
      </c>
      <c r="M12" s="1028">
        <v>2023</v>
      </c>
      <c r="N12" s="1028">
        <v>2024</v>
      </c>
      <c r="O12" s="1499"/>
    </row>
    <row r="13" spans="2:15" ht="103.5" customHeight="1">
      <c r="B13" s="1451" t="s">
        <v>130</v>
      </c>
      <c r="C13" s="1481" t="s">
        <v>1066</v>
      </c>
      <c r="D13" s="27" t="s">
        <v>1067</v>
      </c>
      <c r="E13" s="38">
        <v>0.38</v>
      </c>
      <c r="F13" s="111">
        <v>356610</v>
      </c>
      <c r="G13" s="1030" t="s">
        <v>156</v>
      </c>
      <c r="H13" s="113" t="s">
        <v>168</v>
      </c>
      <c r="I13" s="114" t="s">
        <v>197</v>
      </c>
      <c r="J13" s="115" t="s">
        <v>637</v>
      </c>
      <c r="K13" s="1049">
        <v>102450</v>
      </c>
      <c r="L13" s="758">
        <v>106660</v>
      </c>
      <c r="M13" s="758">
        <v>98250</v>
      </c>
      <c r="N13" s="758">
        <v>49250</v>
      </c>
      <c r="O13" s="31">
        <f>K13+L13+M13+N13</f>
        <v>356610</v>
      </c>
    </row>
    <row r="14" spans="2:15" ht="142.5" customHeight="1">
      <c r="B14" s="1452"/>
      <c r="C14" s="1462"/>
      <c r="D14" s="27" t="s">
        <v>1068</v>
      </c>
      <c r="E14" s="38">
        <v>0.3</v>
      </c>
      <c r="F14" s="111">
        <v>292755</v>
      </c>
      <c r="G14" s="1030" t="s">
        <v>156</v>
      </c>
      <c r="H14" s="113" t="s">
        <v>169</v>
      </c>
      <c r="I14" s="114" t="s">
        <v>197</v>
      </c>
      <c r="J14" s="115" t="s">
        <v>638</v>
      </c>
      <c r="K14" s="1049">
        <v>78750</v>
      </c>
      <c r="L14" s="758">
        <v>97105</v>
      </c>
      <c r="M14" s="758">
        <v>76600</v>
      </c>
      <c r="N14" s="758">
        <v>40300</v>
      </c>
      <c r="O14" s="31">
        <f t="shared" ref="O14:O47" si="0">K14+L14+M14+N14</f>
        <v>292755</v>
      </c>
    </row>
    <row r="15" spans="2:15" ht="185.25" customHeight="1">
      <c r="B15" s="1452"/>
      <c r="C15" s="1462"/>
      <c r="D15" s="27" t="s">
        <v>1069</v>
      </c>
      <c r="E15" s="38">
        <v>0.15</v>
      </c>
      <c r="F15" s="111">
        <v>117610</v>
      </c>
      <c r="G15" s="1030" t="s">
        <v>156</v>
      </c>
      <c r="H15" s="113" t="s">
        <v>170</v>
      </c>
      <c r="I15" s="114" t="s">
        <v>197</v>
      </c>
      <c r="J15" s="115" t="s">
        <v>639</v>
      </c>
      <c r="K15" s="1049">
        <v>28695</v>
      </c>
      <c r="L15" s="758">
        <v>26115</v>
      </c>
      <c r="M15" s="758">
        <v>39200</v>
      </c>
      <c r="N15" s="758">
        <v>23600</v>
      </c>
      <c r="O15" s="31">
        <f t="shared" si="0"/>
        <v>117610</v>
      </c>
    </row>
    <row r="16" spans="2:15" ht="45" customHeight="1">
      <c r="B16" s="1452"/>
      <c r="C16" s="1462"/>
      <c r="D16" s="27" t="s">
        <v>1070</v>
      </c>
      <c r="E16" s="38">
        <v>0.04</v>
      </c>
      <c r="F16" s="111">
        <v>28586</v>
      </c>
      <c r="G16" s="1030" t="s">
        <v>156</v>
      </c>
      <c r="H16" s="113" t="s">
        <v>172</v>
      </c>
      <c r="I16" s="114" t="s">
        <v>197</v>
      </c>
      <c r="J16" s="115" t="s">
        <v>608</v>
      </c>
      <c r="K16" s="758">
        <v>6810</v>
      </c>
      <c r="L16" s="758">
        <v>6900</v>
      </c>
      <c r="M16" s="758">
        <v>10500</v>
      </c>
      <c r="N16" s="758">
        <v>4376</v>
      </c>
      <c r="O16" s="31">
        <f t="shared" si="0"/>
        <v>28586</v>
      </c>
    </row>
    <row r="17" spans="2:15" ht="159" customHeight="1">
      <c r="B17" s="1452"/>
      <c r="C17" s="1462"/>
      <c r="D17" s="27" t="s">
        <v>1071</v>
      </c>
      <c r="E17" s="38">
        <v>0.06</v>
      </c>
      <c r="F17" s="111">
        <v>55722</v>
      </c>
      <c r="G17" s="1030" t="s">
        <v>156</v>
      </c>
      <c r="H17" s="113" t="s">
        <v>173</v>
      </c>
      <c r="I17" s="114" t="s">
        <v>197</v>
      </c>
      <c r="J17" s="115" t="s">
        <v>1045</v>
      </c>
      <c r="K17" s="1049">
        <v>14307</v>
      </c>
      <c r="L17" s="758">
        <v>16115</v>
      </c>
      <c r="M17" s="758">
        <v>21200</v>
      </c>
      <c r="N17" s="758">
        <v>4100</v>
      </c>
      <c r="O17" s="31">
        <f t="shared" si="0"/>
        <v>55722</v>
      </c>
    </row>
    <row r="18" spans="2:15" ht="108.6" customHeight="1">
      <c r="B18" s="1452"/>
      <c r="C18" s="1462"/>
      <c r="D18" s="27" t="s">
        <v>171</v>
      </c>
      <c r="E18" s="38">
        <v>0.01</v>
      </c>
      <c r="F18" s="111">
        <v>80</v>
      </c>
      <c r="G18" s="1030" t="s">
        <v>156</v>
      </c>
      <c r="H18" s="113" t="s">
        <v>174</v>
      </c>
      <c r="I18" s="114" t="s">
        <v>197</v>
      </c>
      <c r="J18" s="115" t="s">
        <v>640</v>
      </c>
      <c r="K18" s="116">
        <v>20</v>
      </c>
      <c r="L18" s="116">
        <v>20</v>
      </c>
      <c r="M18" s="116">
        <v>20</v>
      </c>
      <c r="N18" s="116">
        <v>20</v>
      </c>
      <c r="O18" s="31">
        <f t="shared" si="0"/>
        <v>80</v>
      </c>
    </row>
    <row r="19" spans="2:15" ht="88.5" customHeight="1">
      <c r="B19" s="1452"/>
      <c r="C19" s="1462"/>
      <c r="D19" s="27" t="s">
        <v>175</v>
      </c>
      <c r="E19" s="38">
        <v>0.01</v>
      </c>
      <c r="F19" s="111" t="s">
        <v>176</v>
      </c>
      <c r="G19" s="1030" t="s">
        <v>156</v>
      </c>
      <c r="H19" s="113" t="s">
        <v>194</v>
      </c>
      <c r="I19" s="114" t="s">
        <v>197</v>
      </c>
      <c r="J19" s="115" t="s">
        <v>641</v>
      </c>
      <c r="K19" s="117" t="s">
        <v>176</v>
      </c>
      <c r="L19" s="117" t="s">
        <v>176</v>
      </c>
      <c r="M19" s="117" t="s">
        <v>176</v>
      </c>
      <c r="N19" s="117" t="s">
        <v>176</v>
      </c>
      <c r="O19" s="32" t="s">
        <v>176</v>
      </c>
    </row>
    <row r="20" spans="2:15" ht="121.5" customHeight="1">
      <c r="B20" s="1452"/>
      <c r="C20" s="1462"/>
      <c r="D20" s="27" t="s">
        <v>1072</v>
      </c>
      <c r="E20" s="38">
        <v>0.02</v>
      </c>
      <c r="F20" s="111">
        <v>19500</v>
      </c>
      <c r="G20" s="1030" t="s">
        <v>156</v>
      </c>
      <c r="H20" s="113" t="s">
        <v>195</v>
      </c>
      <c r="I20" s="114" t="s">
        <v>197</v>
      </c>
      <c r="J20" s="115" t="s">
        <v>642</v>
      </c>
      <c r="K20" s="758">
        <v>5000</v>
      </c>
      <c r="L20" s="758">
        <v>6000</v>
      </c>
      <c r="M20" s="758">
        <v>6500</v>
      </c>
      <c r="N20" s="758">
        <v>2000</v>
      </c>
      <c r="O20" s="31">
        <f t="shared" si="0"/>
        <v>19500</v>
      </c>
    </row>
    <row r="21" spans="2:15" ht="84.75" customHeight="1">
      <c r="B21" s="1452"/>
      <c r="C21" s="1462"/>
      <c r="D21" s="27" t="s">
        <v>1073</v>
      </c>
      <c r="E21" s="38">
        <v>0.01</v>
      </c>
      <c r="F21" s="111">
        <v>11000</v>
      </c>
      <c r="G21" s="1030" t="s">
        <v>156</v>
      </c>
      <c r="H21" s="113" t="s">
        <v>236</v>
      </c>
      <c r="I21" s="114" t="s">
        <v>197</v>
      </c>
      <c r="J21" s="115" t="s">
        <v>642</v>
      </c>
      <c r="K21" s="758">
        <v>3000</v>
      </c>
      <c r="L21" s="758">
        <v>3000</v>
      </c>
      <c r="M21" s="758">
        <v>4000</v>
      </c>
      <c r="N21" s="758">
        <v>1000</v>
      </c>
      <c r="O21" s="31">
        <f t="shared" si="0"/>
        <v>11000</v>
      </c>
    </row>
    <row r="22" spans="2:15" ht="83.25" customHeight="1">
      <c r="B22" s="1452"/>
      <c r="C22" s="1462"/>
      <c r="D22" s="27" t="s">
        <v>1074</v>
      </c>
      <c r="E22" s="38">
        <v>0.01</v>
      </c>
      <c r="F22" s="111">
        <v>2300</v>
      </c>
      <c r="G22" s="1030" t="s">
        <v>156</v>
      </c>
      <c r="H22" s="113" t="s">
        <v>196</v>
      </c>
      <c r="I22" s="114" t="s">
        <v>197</v>
      </c>
      <c r="J22" s="115" t="s">
        <v>642</v>
      </c>
      <c r="K22" s="758">
        <v>700</v>
      </c>
      <c r="L22" s="758">
        <v>500</v>
      </c>
      <c r="M22" s="758">
        <v>800</v>
      </c>
      <c r="N22" s="758">
        <v>300</v>
      </c>
      <c r="O22" s="31">
        <f t="shared" si="0"/>
        <v>2300</v>
      </c>
    </row>
    <row r="23" spans="2:15" ht="93.75" customHeight="1">
      <c r="B23" s="1452"/>
      <c r="C23" s="1482"/>
      <c r="D23" s="27" t="s">
        <v>1075</v>
      </c>
      <c r="E23" s="38">
        <v>0.01</v>
      </c>
      <c r="F23" s="111">
        <v>40</v>
      </c>
      <c r="G23" s="1030" t="s">
        <v>156</v>
      </c>
      <c r="H23" s="113" t="s">
        <v>177</v>
      </c>
      <c r="I23" s="114" t="s">
        <v>197</v>
      </c>
      <c r="J23" s="115" t="s">
        <v>642</v>
      </c>
      <c r="K23" s="758">
        <v>0</v>
      </c>
      <c r="L23" s="758">
        <v>0</v>
      </c>
      <c r="M23" s="758">
        <v>20</v>
      </c>
      <c r="N23" s="758">
        <v>20</v>
      </c>
      <c r="O23" s="31">
        <f t="shared" si="0"/>
        <v>40</v>
      </c>
    </row>
    <row r="24" spans="2:15" ht="135.75" customHeight="1">
      <c r="B24" s="1452"/>
      <c r="C24" s="1481" t="s">
        <v>1076</v>
      </c>
      <c r="D24" s="27" t="s">
        <v>1077</v>
      </c>
      <c r="E24" s="38">
        <v>0.75</v>
      </c>
      <c r="F24" s="111">
        <v>205930</v>
      </c>
      <c r="G24" s="1030" t="s">
        <v>156</v>
      </c>
      <c r="H24" s="113" t="s">
        <v>178</v>
      </c>
      <c r="I24" s="114" t="s">
        <v>197</v>
      </c>
      <c r="J24" s="115" t="s">
        <v>643</v>
      </c>
      <c r="K24" s="758">
        <v>62360</v>
      </c>
      <c r="L24" s="758">
        <v>71570</v>
      </c>
      <c r="M24" s="758">
        <v>53000</v>
      </c>
      <c r="N24" s="758">
        <v>19000</v>
      </c>
      <c r="O24" s="31">
        <f t="shared" si="0"/>
        <v>205930</v>
      </c>
    </row>
    <row r="25" spans="2:15" ht="102" customHeight="1">
      <c r="B25" s="1452"/>
      <c r="C25" s="1462"/>
      <c r="D25" s="27" t="s">
        <v>1078</v>
      </c>
      <c r="E25" s="38">
        <v>0.12</v>
      </c>
      <c r="F25" s="111">
        <v>23910</v>
      </c>
      <c r="G25" s="1030" t="s">
        <v>156</v>
      </c>
      <c r="H25" s="113" t="s">
        <v>179</v>
      </c>
      <c r="I25" s="114" t="s">
        <v>197</v>
      </c>
      <c r="J25" s="115" t="s">
        <v>644</v>
      </c>
      <c r="K25" s="1049">
        <v>5480</v>
      </c>
      <c r="L25" s="758">
        <v>5480</v>
      </c>
      <c r="M25" s="758">
        <v>8650</v>
      </c>
      <c r="N25" s="758">
        <v>4300</v>
      </c>
      <c r="O25" s="31">
        <f t="shared" si="0"/>
        <v>23910</v>
      </c>
    </row>
    <row r="26" spans="2:15" ht="82.95" customHeight="1">
      <c r="B26" s="1452"/>
      <c r="C26" s="1462"/>
      <c r="D26" s="27" t="s">
        <v>1079</v>
      </c>
      <c r="E26" s="38">
        <v>0.09</v>
      </c>
      <c r="F26" s="111">
        <v>18880</v>
      </c>
      <c r="G26" s="1030" t="s">
        <v>156</v>
      </c>
      <c r="H26" s="113" t="s">
        <v>180</v>
      </c>
      <c r="I26" s="114" t="s">
        <v>197</v>
      </c>
      <c r="J26" s="115" t="s">
        <v>645</v>
      </c>
      <c r="K26" s="758">
        <v>4790</v>
      </c>
      <c r="L26" s="758">
        <v>4790</v>
      </c>
      <c r="M26" s="758">
        <v>6300</v>
      </c>
      <c r="N26" s="758">
        <v>3000</v>
      </c>
      <c r="O26" s="31">
        <f t="shared" si="0"/>
        <v>18880</v>
      </c>
    </row>
    <row r="27" spans="2:15" ht="73.2" customHeight="1">
      <c r="B27" s="1452"/>
      <c r="C27" s="1462"/>
      <c r="D27" s="27" t="s">
        <v>1156</v>
      </c>
      <c r="E27" s="1014">
        <v>0.02</v>
      </c>
      <c r="F27" s="111">
        <v>3540</v>
      </c>
      <c r="G27" s="1030" t="s">
        <v>156</v>
      </c>
      <c r="H27" s="1033" t="s">
        <v>1155</v>
      </c>
      <c r="I27" s="114" t="s">
        <v>197</v>
      </c>
      <c r="J27" s="118" t="s">
        <v>646</v>
      </c>
      <c r="K27" s="758">
        <v>940</v>
      </c>
      <c r="L27" s="758">
        <v>800</v>
      </c>
      <c r="M27" s="758">
        <v>1200</v>
      </c>
      <c r="N27" s="758">
        <v>600</v>
      </c>
      <c r="O27" s="31">
        <f t="shared" si="0"/>
        <v>3540</v>
      </c>
    </row>
    <row r="28" spans="2:15" ht="120" customHeight="1">
      <c r="B28" s="1452"/>
      <c r="C28" s="1462"/>
      <c r="D28" s="27" t="s">
        <v>1080</v>
      </c>
      <c r="E28" s="119">
        <v>0.01</v>
      </c>
      <c r="F28" s="111">
        <v>7711</v>
      </c>
      <c r="G28" s="1030" t="s">
        <v>156</v>
      </c>
      <c r="H28" s="113" t="s">
        <v>181</v>
      </c>
      <c r="I28" s="27" t="s">
        <v>197</v>
      </c>
      <c r="J28" s="120" t="s">
        <v>647</v>
      </c>
      <c r="K28" s="1049">
        <v>2802</v>
      </c>
      <c r="L28" s="758">
        <v>2771</v>
      </c>
      <c r="M28" s="758">
        <v>1092</v>
      </c>
      <c r="N28" s="758">
        <v>1046</v>
      </c>
      <c r="O28" s="31">
        <f t="shared" si="0"/>
        <v>7711</v>
      </c>
    </row>
    <row r="29" spans="2:15" ht="105">
      <c r="B29" s="1452"/>
      <c r="C29" s="1482"/>
      <c r="D29" s="27" t="s">
        <v>1081</v>
      </c>
      <c r="E29" s="119">
        <v>0.01</v>
      </c>
      <c r="F29" s="111">
        <v>712</v>
      </c>
      <c r="G29" s="1030" t="s">
        <v>156</v>
      </c>
      <c r="H29" s="113" t="s">
        <v>182</v>
      </c>
      <c r="I29" s="27" t="s">
        <v>197</v>
      </c>
      <c r="J29" s="120" t="s">
        <v>648</v>
      </c>
      <c r="K29" s="758">
        <v>228</v>
      </c>
      <c r="L29" s="758">
        <v>208</v>
      </c>
      <c r="M29" s="758">
        <v>182</v>
      </c>
      <c r="N29" s="758">
        <v>120</v>
      </c>
      <c r="O29" s="31">
        <f t="shared" si="0"/>
        <v>738</v>
      </c>
    </row>
    <row r="30" spans="2:15" ht="90" customHeight="1">
      <c r="B30" s="1452"/>
      <c r="C30" s="1481" t="s">
        <v>1092</v>
      </c>
      <c r="D30" s="27" t="s">
        <v>183</v>
      </c>
      <c r="E30" s="1001">
        <v>0.56000000000000005</v>
      </c>
      <c r="F30" s="111">
        <v>20</v>
      </c>
      <c r="G30" s="1030" t="s">
        <v>156</v>
      </c>
      <c r="H30" s="113" t="s">
        <v>184</v>
      </c>
      <c r="I30" s="121" t="s">
        <v>197</v>
      </c>
      <c r="J30" s="122" t="s">
        <v>649</v>
      </c>
      <c r="K30" s="758">
        <v>2</v>
      </c>
      <c r="L30" s="758">
        <v>8</v>
      </c>
      <c r="M30" s="758">
        <v>8</v>
      </c>
      <c r="N30" s="758">
        <v>2</v>
      </c>
      <c r="O30" s="31">
        <f t="shared" si="0"/>
        <v>20</v>
      </c>
    </row>
    <row r="31" spans="2:15" ht="92.25" customHeight="1">
      <c r="B31" s="1452"/>
      <c r="C31" s="1462"/>
      <c r="D31" s="27" t="s">
        <v>185</v>
      </c>
      <c r="E31" s="38">
        <v>0.31</v>
      </c>
      <c r="F31" s="111">
        <v>11</v>
      </c>
      <c r="G31" s="1030" t="s">
        <v>156</v>
      </c>
      <c r="H31" s="113" t="s">
        <v>186</v>
      </c>
      <c r="I31" s="114" t="s">
        <v>197</v>
      </c>
      <c r="J31" s="115" t="s">
        <v>649</v>
      </c>
      <c r="K31" s="758">
        <v>3</v>
      </c>
      <c r="L31" s="758">
        <v>3</v>
      </c>
      <c r="M31" s="758">
        <v>3</v>
      </c>
      <c r="N31" s="758">
        <v>2</v>
      </c>
      <c r="O31" s="31">
        <f t="shared" si="0"/>
        <v>11</v>
      </c>
    </row>
    <row r="32" spans="2:15" ht="83.25" customHeight="1">
      <c r="B32" s="1452"/>
      <c r="C32" s="1462"/>
      <c r="D32" s="27" t="s">
        <v>187</v>
      </c>
      <c r="E32" s="38">
        <v>0.11</v>
      </c>
      <c r="F32" s="111">
        <v>4</v>
      </c>
      <c r="G32" s="1030" t="s">
        <v>156</v>
      </c>
      <c r="H32" s="113" t="s">
        <v>188</v>
      </c>
      <c r="I32" s="114" t="s">
        <v>197</v>
      </c>
      <c r="J32" s="115" t="s">
        <v>649</v>
      </c>
      <c r="K32" s="758">
        <v>1</v>
      </c>
      <c r="L32" s="758">
        <v>1</v>
      </c>
      <c r="M32" s="758">
        <v>1</v>
      </c>
      <c r="N32" s="758">
        <v>1</v>
      </c>
      <c r="O32" s="31">
        <f t="shared" si="0"/>
        <v>4</v>
      </c>
    </row>
    <row r="33" spans="2:15" ht="102" customHeight="1">
      <c r="B33" s="1454" t="s">
        <v>134</v>
      </c>
      <c r="C33" s="1506" t="s">
        <v>135</v>
      </c>
      <c r="D33" s="123" t="s">
        <v>189</v>
      </c>
      <c r="E33" s="124">
        <f>0.727272727272727*100%</f>
        <v>0.72727272727272696</v>
      </c>
      <c r="F33" s="125">
        <v>16</v>
      </c>
      <c r="G33" s="126" t="s">
        <v>156</v>
      </c>
      <c r="H33" s="127" t="s">
        <v>191</v>
      </c>
      <c r="I33" s="128" t="s">
        <v>248</v>
      </c>
      <c r="J33" s="129" t="s">
        <v>249</v>
      </c>
      <c r="K33" s="782">
        <v>2</v>
      </c>
      <c r="L33" s="782">
        <v>7</v>
      </c>
      <c r="M33" s="782">
        <v>6</v>
      </c>
      <c r="N33" s="782">
        <v>1</v>
      </c>
      <c r="O33" s="31">
        <f t="shared" si="0"/>
        <v>16</v>
      </c>
    </row>
    <row r="34" spans="2:15" ht="120" customHeight="1">
      <c r="B34" s="1455"/>
      <c r="C34" s="1507"/>
      <c r="D34" s="123" t="s">
        <v>190</v>
      </c>
      <c r="E34" s="124">
        <f>0.272727272727273*100%</f>
        <v>0.27272727272727298</v>
      </c>
      <c r="F34" s="125">
        <v>6</v>
      </c>
      <c r="G34" s="126" t="s">
        <v>156</v>
      </c>
      <c r="H34" s="127" t="s">
        <v>245</v>
      </c>
      <c r="I34" s="128" t="s">
        <v>248</v>
      </c>
      <c r="J34" s="129" t="s">
        <v>249</v>
      </c>
      <c r="K34" s="782">
        <v>1</v>
      </c>
      <c r="L34" s="782">
        <v>1</v>
      </c>
      <c r="M34" s="782">
        <v>3</v>
      </c>
      <c r="N34" s="782">
        <v>1</v>
      </c>
      <c r="O34" s="31">
        <f t="shared" si="0"/>
        <v>6</v>
      </c>
    </row>
    <row r="35" spans="2:15" ht="100.5" customHeight="1">
      <c r="B35" s="1455"/>
      <c r="C35" s="1506" t="s">
        <v>1093</v>
      </c>
      <c r="D35" s="123" t="s">
        <v>1082</v>
      </c>
      <c r="E35" s="124">
        <f>+F35/880</f>
        <v>0.92840909090909096</v>
      </c>
      <c r="F35" s="125">
        <v>817</v>
      </c>
      <c r="G35" s="126" t="s">
        <v>156</v>
      </c>
      <c r="H35" s="127" t="s">
        <v>274</v>
      </c>
      <c r="I35" s="128" t="s">
        <v>248</v>
      </c>
      <c r="J35" s="129" t="s">
        <v>249</v>
      </c>
      <c r="K35" s="782">
        <v>200</v>
      </c>
      <c r="L35" s="782">
        <v>286</v>
      </c>
      <c r="M35" s="782">
        <v>259</v>
      </c>
      <c r="N35" s="782">
        <v>72</v>
      </c>
      <c r="O35" s="31">
        <f t="shared" si="0"/>
        <v>817</v>
      </c>
    </row>
    <row r="36" spans="2:15" ht="100.5" customHeight="1">
      <c r="B36" s="1455"/>
      <c r="C36" s="1507"/>
      <c r="D36" s="123" t="s">
        <v>1083</v>
      </c>
      <c r="E36" s="124">
        <f>+F36/880</f>
        <v>0.15340909090909091</v>
      </c>
      <c r="F36" s="125">
        <v>135</v>
      </c>
      <c r="G36" s="126" t="s">
        <v>156</v>
      </c>
      <c r="H36" s="127" t="s">
        <v>275</v>
      </c>
      <c r="I36" s="128" t="s">
        <v>248</v>
      </c>
      <c r="J36" s="129" t="s">
        <v>249</v>
      </c>
      <c r="K36" s="782">
        <v>28</v>
      </c>
      <c r="L36" s="782">
        <v>67</v>
      </c>
      <c r="M36" s="782">
        <v>30</v>
      </c>
      <c r="N36" s="782">
        <v>10</v>
      </c>
      <c r="O36" s="31">
        <f t="shared" si="0"/>
        <v>135</v>
      </c>
    </row>
    <row r="37" spans="2:15" ht="65.25" customHeight="1">
      <c r="B37" s="1455"/>
      <c r="C37" s="1506" t="s">
        <v>1094</v>
      </c>
      <c r="D37" s="123" t="s">
        <v>1040</v>
      </c>
      <c r="E37" s="124">
        <f>+F37/295</f>
        <v>0.20338983050847459</v>
      </c>
      <c r="F37" s="125">
        <v>60</v>
      </c>
      <c r="G37" s="126">
        <v>75</v>
      </c>
      <c r="H37" s="127" t="s">
        <v>246</v>
      </c>
      <c r="I37" s="128" t="s">
        <v>248</v>
      </c>
      <c r="J37" s="129" t="s">
        <v>250</v>
      </c>
      <c r="K37" s="782">
        <v>12</v>
      </c>
      <c r="L37" s="782">
        <v>21</v>
      </c>
      <c r="M37" s="782">
        <v>23</v>
      </c>
      <c r="N37" s="782">
        <v>4</v>
      </c>
      <c r="O37" s="31">
        <f t="shared" si="0"/>
        <v>60</v>
      </c>
    </row>
    <row r="38" spans="2:15" ht="63.75" customHeight="1">
      <c r="B38" s="1455"/>
      <c r="C38" s="1459"/>
      <c r="D38" s="123" t="s">
        <v>1084</v>
      </c>
      <c r="E38" s="124">
        <f>+F38/295</f>
        <v>0.5423728813559322</v>
      </c>
      <c r="F38" s="125">
        <v>160</v>
      </c>
      <c r="G38" s="126" t="s">
        <v>156</v>
      </c>
      <c r="H38" s="127" t="s">
        <v>247</v>
      </c>
      <c r="I38" s="128" t="s">
        <v>248</v>
      </c>
      <c r="J38" s="129" t="s">
        <v>251</v>
      </c>
      <c r="K38" s="782">
        <v>40</v>
      </c>
      <c r="L38" s="782">
        <v>60</v>
      </c>
      <c r="M38" s="782">
        <v>40</v>
      </c>
      <c r="N38" s="782">
        <v>20</v>
      </c>
      <c r="O38" s="31">
        <f t="shared" si="0"/>
        <v>160</v>
      </c>
    </row>
    <row r="39" spans="2:15" ht="102" customHeight="1">
      <c r="B39" s="1456"/>
      <c r="C39" s="1507"/>
      <c r="D39" s="123" t="s">
        <v>192</v>
      </c>
      <c r="E39" s="124">
        <f>+F39/295</f>
        <v>0.33898305084745761</v>
      </c>
      <c r="F39" s="125">
        <v>100</v>
      </c>
      <c r="G39" s="126" t="s">
        <v>156</v>
      </c>
      <c r="H39" s="127" t="s">
        <v>193</v>
      </c>
      <c r="I39" s="128" t="s">
        <v>248</v>
      </c>
      <c r="J39" s="129" t="s">
        <v>252</v>
      </c>
      <c r="K39" s="782">
        <v>20</v>
      </c>
      <c r="L39" s="782">
        <v>30</v>
      </c>
      <c r="M39" s="782">
        <v>30</v>
      </c>
      <c r="N39" s="782">
        <v>20</v>
      </c>
      <c r="O39" s="31">
        <f t="shared" si="0"/>
        <v>100</v>
      </c>
    </row>
    <row r="40" spans="2:15" ht="93.75" customHeight="1">
      <c r="B40" s="1451" t="s">
        <v>138</v>
      </c>
      <c r="C40" s="1481" t="s">
        <v>1042</v>
      </c>
      <c r="D40" s="27" t="s">
        <v>1041</v>
      </c>
      <c r="E40" s="38">
        <v>0.8</v>
      </c>
      <c r="F40" s="111">
        <v>6700</v>
      </c>
      <c r="G40" s="111">
        <v>6287</v>
      </c>
      <c r="H40" s="27" t="s">
        <v>284</v>
      </c>
      <c r="I40" s="114" t="s">
        <v>290</v>
      </c>
      <c r="J40" s="131" t="s">
        <v>291</v>
      </c>
      <c r="K40" s="783">
        <v>1600</v>
      </c>
      <c r="L40" s="783">
        <v>1800</v>
      </c>
      <c r="M40" s="783">
        <v>1800</v>
      </c>
      <c r="N40" s="783">
        <v>1500</v>
      </c>
      <c r="O40" s="40">
        <f t="shared" si="0"/>
        <v>6700</v>
      </c>
    </row>
    <row r="41" spans="2:15" ht="67.5" customHeight="1">
      <c r="B41" s="1452"/>
      <c r="C41" s="1482"/>
      <c r="D41" s="27" t="s">
        <v>279</v>
      </c>
      <c r="E41" s="38">
        <v>0.2</v>
      </c>
      <c r="F41" s="132">
        <v>1</v>
      </c>
      <c r="G41" s="132">
        <v>0.98</v>
      </c>
      <c r="H41" s="27" t="s">
        <v>285</v>
      </c>
      <c r="I41" s="114" t="s">
        <v>290</v>
      </c>
      <c r="J41" s="131" t="s">
        <v>291</v>
      </c>
      <c r="K41" s="133">
        <v>1</v>
      </c>
      <c r="L41" s="133">
        <v>1</v>
      </c>
      <c r="M41" s="133">
        <v>1</v>
      </c>
      <c r="N41" s="133">
        <v>1</v>
      </c>
      <c r="O41" s="41">
        <f>AVERAGE(K41:N41)</f>
        <v>1</v>
      </c>
    </row>
    <row r="42" spans="2:15" ht="95.25" customHeight="1">
      <c r="B42" s="1452"/>
      <c r="C42" s="1460" t="s">
        <v>139</v>
      </c>
      <c r="D42" s="27" t="s">
        <v>292</v>
      </c>
      <c r="E42" s="38">
        <v>0.5</v>
      </c>
      <c r="F42" s="47">
        <v>204</v>
      </c>
      <c r="G42" s="47">
        <v>204</v>
      </c>
      <c r="H42" s="27" t="s">
        <v>302</v>
      </c>
      <c r="I42" s="114" t="s">
        <v>290</v>
      </c>
      <c r="J42" s="131" t="s">
        <v>291</v>
      </c>
      <c r="K42" s="134">
        <v>51</v>
      </c>
      <c r="L42" s="134">
        <v>51</v>
      </c>
      <c r="M42" s="134">
        <v>51</v>
      </c>
      <c r="N42" s="134">
        <v>51</v>
      </c>
      <c r="O42" s="40">
        <f t="shared" si="0"/>
        <v>204</v>
      </c>
    </row>
    <row r="43" spans="2:15" ht="95.25" customHeight="1">
      <c r="B43" s="1452"/>
      <c r="C43" s="1461"/>
      <c r="D43" s="27" t="s">
        <v>280</v>
      </c>
      <c r="E43" s="38">
        <v>0.5</v>
      </c>
      <c r="F43" s="132">
        <v>1</v>
      </c>
      <c r="G43" s="132">
        <v>1</v>
      </c>
      <c r="H43" s="27" t="s">
        <v>286</v>
      </c>
      <c r="I43" s="114" t="s">
        <v>290</v>
      </c>
      <c r="J43" s="131" t="s">
        <v>291</v>
      </c>
      <c r="K43" s="133">
        <v>1</v>
      </c>
      <c r="L43" s="133">
        <v>1</v>
      </c>
      <c r="M43" s="133">
        <v>1</v>
      </c>
      <c r="N43" s="133">
        <v>1</v>
      </c>
      <c r="O43" s="41">
        <f>AVERAGE(K43:N43)</f>
        <v>1</v>
      </c>
    </row>
    <row r="44" spans="2:15" ht="126.75" customHeight="1">
      <c r="B44" s="1452"/>
      <c r="C44" s="135" t="s">
        <v>140</v>
      </c>
      <c r="D44" s="27" t="s">
        <v>281</v>
      </c>
      <c r="E44" s="38">
        <v>1</v>
      </c>
      <c r="F44" s="47">
        <v>8</v>
      </c>
      <c r="G44" s="47">
        <v>8</v>
      </c>
      <c r="H44" s="27" t="s">
        <v>287</v>
      </c>
      <c r="I44" s="114" t="s">
        <v>290</v>
      </c>
      <c r="J44" s="131" t="s">
        <v>291</v>
      </c>
      <c r="K44" s="134">
        <v>2</v>
      </c>
      <c r="L44" s="134">
        <v>2</v>
      </c>
      <c r="M44" s="134">
        <v>2</v>
      </c>
      <c r="N44" s="134">
        <v>2</v>
      </c>
      <c r="O44" s="40">
        <f t="shared" si="0"/>
        <v>8</v>
      </c>
    </row>
    <row r="45" spans="2:15" ht="61.5" customHeight="1">
      <c r="B45" s="1452"/>
      <c r="C45" s="1460" t="s">
        <v>277</v>
      </c>
      <c r="D45" s="27" t="s">
        <v>282</v>
      </c>
      <c r="E45" s="38">
        <v>0.2</v>
      </c>
      <c r="F45" s="47">
        <v>1</v>
      </c>
      <c r="G45" s="1030" t="s">
        <v>156</v>
      </c>
      <c r="H45" s="27" t="s">
        <v>303</v>
      </c>
      <c r="I45" s="114" t="s">
        <v>290</v>
      </c>
      <c r="J45" s="131" t="s">
        <v>291</v>
      </c>
      <c r="K45" s="134">
        <v>0.5</v>
      </c>
      <c r="L45" s="134">
        <v>0.5</v>
      </c>
      <c r="M45" s="134">
        <v>0</v>
      </c>
      <c r="N45" s="134">
        <v>0</v>
      </c>
      <c r="O45" s="40">
        <f t="shared" si="0"/>
        <v>1</v>
      </c>
    </row>
    <row r="46" spans="2:15" ht="61.5" customHeight="1">
      <c r="B46" s="1452"/>
      <c r="C46" s="1462"/>
      <c r="D46" s="27" t="s">
        <v>656</v>
      </c>
      <c r="E46" s="38">
        <v>0.7</v>
      </c>
      <c r="F46" s="47">
        <v>1</v>
      </c>
      <c r="G46" s="1030" t="s">
        <v>156</v>
      </c>
      <c r="H46" s="27" t="s">
        <v>288</v>
      </c>
      <c r="I46" s="114" t="s">
        <v>290</v>
      </c>
      <c r="J46" s="131" t="s">
        <v>291</v>
      </c>
      <c r="K46" s="134">
        <v>0.2</v>
      </c>
      <c r="L46" s="134">
        <v>0.4</v>
      </c>
      <c r="M46" s="134">
        <v>0.3</v>
      </c>
      <c r="N46" s="134">
        <v>0.1</v>
      </c>
      <c r="O46" s="40">
        <f t="shared" si="0"/>
        <v>1.0000000000000002</v>
      </c>
    </row>
    <row r="47" spans="2:15" ht="61.5" customHeight="1">
      <c r="B47" s="1453"/>
      <c r="C47" s="1461"/>
      <c r="D47" s="27" t="s">
        <v>283</v>
      </c>
      <c r="E47" s="38">
        <v>0.1</v>
      </c>
      <c r="F47" s="47">
        <v>1</v>
      </c>
      <c r="G47" s="1030" t="s">
        <v>156</v>
      </c>
      <c r="H47" s="27" t="s">
        <v>289</v>
      </c>
      <c r="I47" s="114" t="s">
        <v>290</v>
      </c>
      <c r="J47" s="131" t="s">
        <v>291</v>
      </c>
      <c r="K47" s="134">
        <v>0.1</v>
      </c>
      <c r="L47" s="134">
        <v>0.3</v>
      </c>
      <c r="M47" s="134">
        <v>0.4</v>
      </c>
      <c r="N47" s="134">
        <v>0.2</v>
      </c>
      <c r="O47" s="40">
        <f t="shared" si="0"/>
        <v>1</v>
      </c>
    </row>
    <row r="48" spans="2:15" ht="75" customHeight="1">
      <c r="B48" s="1455" t="s">
        <v>141</v>
      </c>
      <c r="C48" s="1501" t="s">
        <v>142</v>
      </c>
      <c r="D48" s="809" t="s">
        <v>653</v>
      </c>
      <c r="E48" s="810">
        <v>0.14000000000000001</v>
      </c>
      <c r="F48" s="811">
        <v>1</v>
      </c>
      <c r="G48" s="812" t="s">
        <v>156</v>
      </c>
      <c r="H48" s="813" t="s">
        <v>628</v>
      </c>
      <c r="I48" s="809" t="s">
        <v>325</v>
      </c>
      <c r="J48" s="814" t="s">
        <v>326</v>
      </c>
      <c r="K48" s="818">
        <v>0.3</v>
      </c>
      <c r="L48" s="818">
        <v>0.4</v>
      </c>
      <c r="M48" s="818">
        <v>0.25</v>
      </c>
      <c r="N48" s="818">
        <v>0.05</v>
      </c>
      <c r="O48" s="42">
        <v>1</v>
      </c>
    </row>
    <row r="49" spans="2:15" ht="80.25" customHeight="1">
      <c r="B49" s="1455"/>
      <c r="C49" s="1502"/>
      <c r="D49" s="809" t="s">
        <v>331</v>
      </c>
      <c r="E49" s="810">
        <v>0.14000000000000001</v>
      </c>
      <c r="F49" s="811">
        <v>1</v>
      </c>
      <c r="G49" s="812" t="s">
        <v>156</v>
      </c>
      <c r="H49" s="813" t="s">
        <v>330</v>
      </c>
      <c r="I49" s="809" t="s">
        <v>325</v>
      </c>
      <c r="J49" s="814" t="s">
        <v>326</v>
      </c>
      <c r="K49" s="818">
        <v>0.3</v>
      </c>
      <c r="L49" s="818">
        <v>0.4</v>
      </c>
      <c r="M49" s="818">
        <v>0.25</v>
      </c>
      <c r="N49" s="818">
        <v>0.05</v>
      </c>
      <c r="O49" s="42">
        <v>1</v>
      </c>
    </row>
    <row r="50" spans="2:15" ht="111" customHeight="1">
      <c r="B50" s="1455"/>
      <c r="C50" s="1502"/>
      <c r="D50" s="809" t="s">
        <v>655</v>
      </c>
      <c r="E50" s="810">
        <v>0.14000000000000001</v>
      </c>
      <c r="F50" s="811">
        <v>1</v>
      </c>
      <c r="G50" s="812" t="s">
        <v>156</v>
      </c>
      <c r="H50" s="813" t="s">
        <v>327</v>
      </c>
      <c r="I50" s="809" t="s">
        <v>325</v>
      </c>
      <c r="J50" s="814" t="s">
        <v>326</v>
      </c>
      <c r="K50" s="818">
        <v>0.3</v>
      </c>
      <c r="L50" s="818">
        <v>0.4</v>
      </c>
      <c r="M50" s="818">
        <v>0.25</v>
      </c>
      <c r="N50" s="818">
        <v>0.05</v>
      </c>
      <c r="O50" s="42">
        <v>1</v>
      </c>
    </row>
    <row r="51" spans="2:15" ht="82.5" customHeight="1">
      <c r="B51" s="1455"/>
      <c r="C51" s="1502"/>
      <c r="D51" s="809" t="s">
        <v>654</v>
      </c>
      <c r="E51" s="810">
        <v>0.14000000000000001</v>
      </c>
      <c r="F51" s="811">
        <v>1</v>
      </c>
      <c r="G51" s="812" t="s">
        <v>156</v>
      </c>
      <c r="H51" s="813" t="s">
        <v>629</v>
      </c>
      <c r="I51" s="809" t="s">
        <v>325</v>
      </c>
      <c r="J51" s="814" t="s">
        <v>326</v>
      </c>
      <c r="K51" s="818">
        <v>0.3</v>
      </c>
      <c r="L51" s="818">
        <v>0.4</v>
      </c>
      <c r="M51" s="818">
        <v>0.25</v>
      </c>
      <c r="N51" s="818">
        <v>0.05</v>
      </c>
      <c r="O51" s="42">
        <v>1</v>
      </c>
    </row>
    <row r="52" spans="2:15" ht="94.5" customHeight="1">
      <c r="B52" s="1455"/>
      <c r="C52" s="1502"/>
      <c r="D52" s="809" t="s">
        <v>355</v>
      </c>
      <c r="E52" s="810">
        <v>0.14000000000000001</v>
      </c>
      <c r="F52" s="811">
        <v>1</v>
      </c>
      <c r="G52" s="812" t="s">
        <v>156</v>
      </c>
      <c r="H52" s="813" t="s">
        <v>328</v>
      </c>
      <c r="I52" s="809" t="s">
        <v>325</v>
      </c>
      <c r="J52" s="814" t="s">
        <v>326</v>
      </c>
      <c r="K52" s="818">
        <v>0.3</v>
      </c>
      <c r="L52" s="818">
        <v>0.4</v>
      </c>
      <c r="M52" s="818">
        <v>0.25</v>
      </c>
      <c r="N52" s="818">
        <v>0.05</v>
      </c>
      <c r="O52" s="42">
        <v>1</v>
      </c>
    </row>
    <row r="53" spans="2:15" ht="71.25" customHeight="1">
      <c r="B53" s="1455"/>
      <c r="C53" s="1502"/>
      <c r="D53" s="809" t="s">
        <v>322</v>
      </c>
      <c r="E53" s="810">
        <v>0.15</v>
      </c>
      <c r="F53" s="811">
        <v>1</v>
      </c>
      <c r="G53" s="812" t="s">
        <v>156</v>
      </c>
      <c r="H53" s="813" t="s">
        <v>329</v>
      </c>
      <c r="I53" s="809" t="s">
        <v>325</v>
      </c>
      <c r="J53" s="814" t="s">
        <v>326</v>
      </c>
      <c r="K53" s="818">
        <v>0.3</v>
      </c>
      <c r="L53" s="818">
        <v>0.4</v>
      </c>
      <c r="M53" s="818">
        <v>0.25</v>
      </c>
      <c r="N53" s="818">
        <v>0.05</v>
      </c>
      <c r="O53" s="42">
        <v>1</v>
      </c>
    </row>
    <row r="54" spans="2:15" ht="87.75" customHeight="1">
      <c r="B54" s="1455"/>
      <c r="C54" s="1503"/>
      <c r="D54" s="809" t="s">
        <v>323</v>
      </c>
      <c r="E54" s="810">
        <v>0.15</v>
      </c>
      <c r="F54" s="811">
        <v>1</v>
      </c>
      <c r="G54" s="815" t="s">
        <v>324</v>
      </c>
      <c r="H54" s="813" t="s">
        <v>351</v>
      </c>
      <c r="I54" s="809" t="s">
        <v>325</v>
      </c>
      <c r="J54" s="814" t="s">
        <v>326</v>
      </c>
      <c r="K54" s="818">
        <v>0.3</v>
      </c>
      <c r="L54" s="818">
        <v>0.4</v>
      </c>
      <c r="M54" s="818">
        <v>0.25</v>
      </c>
      <c r="N54" s="818">
        <v>0.05</v>
      </c>
      <c r="O54" s="42">
        <v>1</v>
      </c>
    </row>
    <row r="55" spans="2:15" ht="105" customHeight="1">
      <c r="B55" s="1455"/>
      <c r="C55" s="1471" t="s">
        <v>143</v>
      </c>
      <c r="D55" s="27" t="s">
        <v>159</v>
      </c>
      <c r="E55" s="28">
        <v>0.2</v>
      </c>
      <c r="F55" s="132">
        <v>1</v>
      </c>
      <c r="G55" s="29">
        <v>1</v>
      </c>
      <c r="H55" s="141" t="s">
        <v>153</v>
      </c>
      <c r="I55" s="114" t="s">
        <v>359</v>
      </c>
      <c r="J55" s="115" t="s">
        <v>650</v>
      </c>
      <c r="K55" s="142">
        <v>1</v>
      </c>
      <c r="L55" s="142">
        <v>1</v>
      </c>
      <c r="M55" s="142">
        <v>1</v>
      </c>
      <c r="N55" s="142">
        <v>1</v>
      </c>
      <c r="O55" s="32">
        <f>AVERAGE(K55:N55)</f>
        <v>1</v>
      </c>
    </row>
    <row r="56" spans="2:15" ht="96" customHeight="1">
      <c r="B56" s="1455"/>
      <c r="C56" s="1473"/>
      <c r="D56" s="27" t="s">
        <v>160</v>
      </c>
      <c r="E56" s="28">
        <v>0.2</v>
      </c>
      <c r="F56" s="132">
        <v>0.4</v>
      </c>
      <c r="G56" s="29">
        <v>0.6</v>
      </c>
      <c r="H56" s="141" t="s">
        <v>154</v>
      </c>
      <c r="I56" s="114" t="s">
        <v>359</v>
      </c>
      <c r="J56" s="115" t="s">
        <v>650</v>
      </c>
      <c r="K56" s="142">
        <v>0.22</v>
      </c>
      <c r="L56" s="142">
        <v>0.14000000000000001</v>
      </c>
      <c r="M56" s="142">
        <v>0.02</v>
      </c>
      <c r="N56" s="142">
        <v>0.02</v>
      </c>
      <c r="O56" s="32">
        <f>K56+L56+M56+N56</f>
        <v>0.4</v>
      </c>
    </row>
    <row r="57" spans="2:15" ht="74.25" customHeight="1">
      <c r="B57" s="1455"/>
      <c r="C57" s="1473"/>
      <c r="D57" s="27" t="s">
        <v>161</v>
      </c>
      <c r="E57" s="28">
        <v>0.15</v>
      </c>
      <c r="F57" s="132">
        <v>1</v>
      </c>
      <c r="G57" s="143" t="s">
        <v>156</v>
      </c>
      <c r="H57" s="141" t="s">
        <v>155</v>
      </c>
      <c r="I57" s="114" t="s">
        <v>359</v>
      </c>
      <c r="J57" s="115" t="s">
        <v>158</v>
      </c>
      <c r="K57" s="142">
        <v>0.38</v>
      </c>
      <c r="L57" s="142">
        <v>0.33</v>
      </c>
      <c r="M57" s="142">
        <v>0.28999999999999998</v>
      </c>
      <c r="N57" s="142">
        <v>0</v>
      </c>
      <c r="O57" s="32">
        <f>K57+L57+M57+N57</f>
        <v>1</v>
      </c>
    </row>
    <row r="58" spans="2:15" ht="63" customHeight="1">
      <c r="B58" s="1455"/>
      <c r="C58" s="1473"/>
      <c r="D58" s="27" t="s">
        <v>162</v>
      </c>
      <c r="E58" s="28">
        <v>0.1</v>
      </c>
      <c r="F58" s="144">
        <v>12</v>
      </c>
      <c r="G58" s="143" t="s">
        <v>157</v>
      </c>
      <c r="H58" s="141" t="s">
        <v>166</v>
      </c>
      <c r="I58" s="114" t="s">
        <v>359</v>
      </c>
      <c r="J58" s="115" t="s">
        <v>158</v>
      </c>
      <c r="K58" s="145">
        <v>3</v>
      </c>
      <c r="L58" s="145">
        <v>3</v>
      </c>
      <c r="M58" s="145">
        <v>3</v>
      </c>
      <c r="N58" s="145">
        <v>3</v>
      </c>
      <c r="O58" s="43">
        <f>K58+L58+M58+N58</f>
        <v>12</v>
      </c>
    </row>
    <row r="59" spans="2:15" ht="63" customHeight="1">
      <c r="B59" s="1455"/>
      <c r="C59" s="1473"/>
      <c r="D59" s="27" t="s">
        <v>163</v>
      </c>
      <c r="E59" s="28">
        <v>0.2</v>
      </c>
      <c r="F59" s="28">
        <v>0.9</v>
      </c>
      <c r="G59" s="146">
        <v>0.86</v>
      </c>
      <c r="H59" s="147" t="s">
        <v>368</v>
      </c>
      <c r="I59" s="114" t="s">
        <v>360</v>
      </c>
      <c r="J59" s="115" t="s">
        <v>1</v>
      </c>
      <c r="K59" s="142">
        <v>0.9</v>
      </c>
      <c r="L59" s="142">
        <v>0.9</v>
      </c>
      <c r="M59" s="142">
        <v>0.9</v>
      </c>
      <c r="N59" s="142">
        <v>0.9</v>
      </c>
      <c r="O59" s="32">
        <f>AVERAGE(K59:N59)</f>
        <v>0.9</v>
      </c>
    </row>
    <row r="60" spans="2:15" ht="70.5" customHeight="1">
      <c r="B60" s="1455"/>
      <c r="C60" s="1472"/>
      <c r="D60" s="27" t="s">
        <v>164</v>
      </c>
      <c r="E60" s="28">
        <v>0.15</v>
      </c>
      <c r="F60" s="144">
        <v>7</v>
      </c>
      <c r="G60" s="143">
        <v>3</v>
      </c>
      <c r="H60" s="113" t="s">
        <v>369</v>
      </c>
      <c r="I60" s="114" t="s">
        <v>360</v>
      </c>
      <c r="J60" s="115" t="s">
        <v>1</v>
      </c>
      <c r="K60" s="145">
        <v>2</v>
      </c>
      <c r="L60" s="145">
        <v>3</v>
      </c>
      <c r="M60" s="145">
        <v>1</v>
      </c>
      <c r="N60" s="145">
        <v>1</v>
      </c>
      <c r="O60" s="43">
        <v>7</v>
      </c>
    </row>
    <row r="61" spans="2:15" ht="60" customHeight="1">
      <c r="B61" s="1455"/>
      <c r="C61" s="1457" t="s">
        <v>144</v>
      </c>
      <c r="D61" s="123" t="s">
        <v>398</v>
      </c>
      <c r="E61" s="124">
        <v>0.1</v>
      </c>
      <c r="F61" s="137">
        <v>1</v>
      </c>
      <c r="G61" s="148">
        <v>1</v>
      </c>
      <c r="H61" s="149" t="s">
        <v>385</v>
      </c>
      <c r="I61" s="150" t="s">
        <v>386</v>
      </c>
      <c r="J61" s="151" t="s">
        <v>387</v>
      </c>
      <c r="K61" s="152">
        <v>1</v>
      </c>
      <c r="L61" s="152">
        <v>1</v>
      </c>
      <c r="M61" s="152">
        <v>1</v>
      </c>
      <c r="N61" s="152">
        <v>1</v>
      </c>
      <c r="O61" s="60">
        <f>AVERAGE(K61:N61)</f>
        <v>1</v>
      </c>
    </row>
    <row r="62" spans="2:15" ht="88.5" customHeight="1">
      <c r="B62" s="1455"/>
      <c r="C62" s="1459"/>
      <c r="D62" s="123" t="s">
        <v>1085</v>
      </c>
      <c r="E62" s="124">
        <v>0.1</v>
      </c>
      <c r="F62" s="807">
        <v>0.97799999999999998</v>
      </c>
      <c r="G62" s="148">
        <v>0.97</v>
      </c>
      <c r="H62" s="123" t="s">
        <v>388</v>
      </c>
      <c r="I62" s="150" t="s">
        <v>386</v>
      </c>
      <c r="J62" s="151" t="s">
        <v>389</v>
      </c>
      <c r="K62" s="152">
        <v>0.97</v>
      </c>
      <c r="L62" s="152">
        <v>0.98</v>
      </c>
      <c r="M62" s="152">
        <v>0.98</v>
      </c>
      <c r="N62" s="152">
        <v>0.98</v>
      </c>
      <c r="O62" s="808">
        <f t="shared" ref="O62:O67" si="1">AVERAGE(K62:N62)</f>
        <v>0.97749999999999992</v>
      </c>
    </row>
    <row r="63" spans="2:15" ht="99.75" customHeight="1">
      <c r="B63" s="1455"/>
      <c r="C63" s="1459"/>
      <c r="D63" s="123" t="s">
        <v>1086</v>
      </c>
      <c r="E63" s="124">
        <v>0.1</v>
      </c>
      <c r="F63" s="807">
        <v>0.94499999999999995</v>
      </c>
      <c r="G63" s="126" t="s">
        <v>156</v>
      </c>
      <c r="H63" s="127" t="s">
        <v>390</v>
      </c>
      <c r="I63" s="150" t="s">
        <v>386</v>
      </c>
      <c r="J63" s="151" t="s">
        <v>389</v>
      </c>
      <c r="K63" s="152">
        <v>0.9</v>
      </c>
      <c r="L63" s="152">
        <v>0.96</v>
      </c>
      <c r="M63" s="152">
        <v>0.96</v>
      </c>
      <c r="N63" s="152">
        <v>0.96</v>
      </c>
      <c r="O63" s="808">
        <f t="shared" si="1"/>
        <v>0.94499999999999995</v>
      </c>
    </row>
    <row r="64" spans="2:15" ht="75">
      <c r="B64" s="1455"/>
      <c r="C64" s="1459"/>
      <c r="D64" s="123" t="s">
        <v>399</v>
      </c>
      <c r="E64" s="124">
        <v>0.15</v>
      </c>
      <c r="F64" s="153">
        <v>1</v>
      </c>
      <c r="G64" s="153">
        <v>1</v>
      </c>
      <c r="H64" s="154" t="s">
        <v>391</v>
      </c>
      <c r="I64" s="150" t="s">
        <v>386</v>
      </c>
      <c r="J64" s="151" t="s">
        <v>392</v>
      </c>
      <c r="K64" s="152">
        <v>1</v>
      </c>
      <c r="L64" s="152">
        <v>1</v>
      </c>
      <c r="M64" s="152">
        <v>1</v>
      </c>
      <c r="N64" s="152">
        <v>1</v>
      </c>
      <c r="O64" s="60">
        <f t="shared" si="1"/>
        <v>1</v>
      </c>
    </row>
    <row r="65" spans="2:15" ht="75">
      <c r="B65" s="1455"/>
      <c r="C65" s="1459"/>
      <c r="D65" s="123" t="s">
        <v>400</v>
      </c>
      <c r="E65" s="124">
        <v>0.15</v>
      </c>
      <c r="F65" s="153">
        <v>1</v>
      </c>
      <c r="G65" s="153">
        <v>1</v>
      </c>
      <c r="H65" s="154" t="s">
        <v>393</v>
      </c>
      <c r="I65" s="150" t="s">
        <v>386</v>
      </c>
      <c r="J65" s="151" t="s">
        <v>392</v>
      </c>
      <c r="K65" s="152">
        <v>1</v>
      </c>
      <c r="L65" s="152">
        <v>1</v>
      </c>
      <c r="M65" s="152">
        <v>1</v>
      </c>
      <c r="N65" s="152">
        <v>1</v>
      </c>
      <c r="O65" s="60">
        <f t="shared" si="1"/>
        <v>1</v>
      </c>
    </row>
    <row r="66" spans="2:15" ht="75">
      <c r="B66" s="1455"/>
      <c r="C66" s="1459"/>
      <c r="D66" s="123" t="s">
        <v>401</v>
      </c>
      <c r="E66" s="124">
        <v>0.15</v>
      </c>
      <c r="F66" s="153">
        <v>1</v>
      </c>
      <c r="G66" s="153">
        <v>1</v>
      </c>
      <c r="H66" s="154" t="s">
        <v>394</v>
      </c>
      <c r="I66" s="150" t="s">
        <v>386</v>
      </c>
      <c r="J66" s="151" t="s">
        <v>392</v>
      </c>
      <c r="K66" s="152">
        <v>1</v>
      </c>
      <c r="L66" s="152">
        <v>1</v>
      </c>
      <c r="M66" s="152">
        <v>1</v>
      </c>
      <c r="N66" s="152">
        <v>1</v>
      </c>
      <c r="O66" s="60">
        <f t="shared" si="1"/>
        <v>1</v>
      </c>
    </row>
    <row r="67" spans="2:15" ht="75">
      <c r="B67" s="1455"/>
      <c r="C67" s="1459"/>
      <c r="D67" s="123" t="s">
        <v>402</v>
      </c>
      <c r="E67" s="124">
        <v>0.15</v>
      </c>
      <c r="F67" s="153">
        <v>1</v>
      </c>
      <c r="G67" s="153">
        <v>0.99</v>
      </c>
      <c r="H67" s="154" t="s">
        <v>395</v>
      </c>
      <c r="I67" s="150" t="s">
        <v>386</v>
      </c>
      <c r="J67" s="151" t="s">
        <v>392</v>
      </c>
      <c r="K67" s="152">
        <v>1</v>
      </c>
      <c r="L67" s="152">
        <v>1</v>
      </c>
      <c r="M67" s="152">
        <v>1</v>
      </c>
      <c r="N67" s="152">
        <v>1</v>
      </c>
      <c r="O67" s="60">
        <f t="shared" si="1"/>
        <v>1</v>
      </c>
    </row>
    <row r="68" spans="2:15" ht="84.75" customHeight="1">
      <c r="B68" s="1455"/>
      <c r="C68" s="1458"/>
      <c r="D68" s="123" t="s">
        <v>1087</v>
      </c>
      <c r="E68" s="124">
        <v>0.1</v>
      </c>
      <c r="F68" s="155">
        <v>21</v>
      </c>
      <c r="G68" s="156" t="s">
        <v>156</v>
      </c>
      <c r="H68" s="149" t="s">
        <v>396</v>
      </c>
      <c r="I68" s="150" t="s">
        <v>386</v>
      </c>
      <c r="J68" s="151" t="s">
        <v>397</v>
      </c>
      <c r="K68" s="157">
        <v>9</v>
      </c>
      <c r="L68" s="157">
        <v>4</v>
      </c>
      <c r="M68" s="157">
        <v>4</v>
      </c>
      <c r="N68" s="157">
        <v>4</v>
      </c>
      <c r="O68" s="59">
        <f t="shared" ref="O68" si="2">K68+L68+M68+N68</f>
        <v>21</v>
      </c>
    </row>
    <row r="69" spans="2:15" ht="76.5" customHeight="1">
      <c r="B69" s="1455"/>
      <c r="C69" s="1460" t="s">
        <v>145</v>
      </c>
      <c r="D69" s="27" t="s">
        <v>464</v>
      </c>
      <c r="E69" s="119">
        <v>0.1</v>
      </c>
      <c r="F69" s="132">
        <v>1</v>
      </c>
      <c r="G69" s="158">
        <v>0.99199999999999999</v>
      </c>
      <c r="H69" s="1015" t="s">
        <v>435</v>
      </c>
      <c r="I69" s="114" t="s">
        <v>437</v>
      </c>
      <c r="J69" s="115" t="s">
        <v>438</v>
      </c>
      <c r="K69" s="142">
        <v>1</v>
      </c>
      <c r="L69" s="142">
        <v>1</v>
      </c>
      <c r="M69" s="142">
        <v>1</v>
      </c>
      <c r="N69" s="142">
        <v>1</v>
      </c>
      <c r="O69" s="32">
        <f>AVERAGE(K69:N69)</f>
        <v>1</v>
      </c>
    </row>
    <row r="70" spans="2:15" ht="62.25" customHeight="1">
      <c r="B70" s="1455"/>
      <c r="C70" s="1462"/>
      <c r="D70" s="27" t="s">
        <v>630</v>
      </c>
      <c r="E70" s="119">
        <v>0.1</v>
      </c>
      <c r="F70" s="132">
        <v>0.97</v>
      </c>
      <c r="G70" s="158">
        <v>0.96599999999999997</v>
      </c>
      <c r="H70" s="1015" t="s">
        <v>436</v>
      </c>
      <c r="I70" s="114" t="s">
        <v>437</v>
      </c>
      <c r="J70" s="115" t="s">
        <v>438</v>
      </c>
      <c r="K70" s="142">
        <v>0.97</v>
      </c>
      <c r="L70" s="142">
        <v>0.97</v>
      </c>
      <c r="M70" s="142">
        <v>0.97</v>
      </c>
      <c r="N70" s="142">
        <v>0.97</v>
      </c>
      <c r="O70" s="32">
        <f>AVERAGE(K70:N70)</f>
        <v>0.97</v>
      </c>
    </row>
    <row r="71" spans="2:15" ht="64.5" customHeight="1">
      <c r="B71" s="1455"/>
      <c r="C71" s="1462"/>
      <c r="D71" s="27" t="s">
        <v>465</v>
      </c>
      <c r="E71" s="132">
        <v>7.0000000000000007E-2</v>
      </c>
      <c r="F71" s="132">
        <v>0.95</v>
      </c>
      <c r="G71" s="1030" t="s">
        <v>156</v>
      </c>
      <c r="H71" s="1015" t="s">
        <v>459</v>
      </c>
      <c r="I71" s="114" t="s">
        <v>463</v>
      </c>
      <c r="J71" s="115" t="s">
        <v>462</v>
      </c>
      <c r="K71" s="142">
        <v>0.95</v>
      </c>
      <c r="L71" s="142">
        <v>0.95</v>
      </c>
      <c r="M71" s="142">
        <v>0.95</v>
      </c>
      <c r="N71" s="142">
        <v>0.95</v>
      </c>
      <c r="O71" s="32">
        <f>AVERAGE(K71:N71)</f>
        <v>0.95</v>
      </c>
    </row>
    <row r="72" spans="2:15" ht="64.5" customHeight="1">
      <c r="B72" s="1455"/>
      <c r="C72" s="1462"/>
      <c r="D72" s="27" t="s">
        <v>466</v>
      </c>
      <c r="E72" s="132">
        <v>7.0000000000000007E-2</v>
      </c>
      <c r="F72" s="132">
        <v>0.95</v>
      </c>
      <c r="G72" s="1030" t="s">
        <v>156</v>
      </c>
      <c r="H72" s="1015" t="s">
        <v>460</v>
      </c>
      <c r="I72" s="114" t="s">
        <v>463</v>
      </c>
      <c r="J72" s="115" t="s">
        <v>462</v>
      </c>
      <c r="K72" s="142">
        <v>0.95</v>
      </c>
      <c r="L72" s="142">
        <v>0.95</v>
      </c>
      <c r="M72" s="142">
        <v>0.95</v>
      </c>
      <c r="N72" s="142">
        <v>0.95</v>
      </c>
      <c r="O72" s="32">
        <f t="shared" ref="O72:O73" si="3">AVERAGE(K72:N72)</f>
        <v>0.95</v>
      </c>
    </row>
    <row r="73" spans="2:15" ht="64.5" customHeight="1">
      <c r="B73" s="1455"/>
      <c r="C73" s="1462"/>
      <c r="D73" s="27" t="s">
        <v>467</v>
      </c>
      <c r="E73" s="132">
        <v>0.06</v>
      </c>
      <c r="F73" s="132">
        <v>1</v>
      </c>
      <c r="G73" s="1030" t="s">
        <v>156</v>
      </c>
      <c r="H73" s="1015" t="s">
        <v>461</v>
      </c>
      <c r="I73" s="114" t="s">
        <v>463</v>
      </c>
      <c r="J73" s="115" t="s">
        <v>462</v>
      </c>
      <c r="K73" s="142">
        <v>1</v>
      </c>
      <c r="L73" s="142">
        <v>1</v>
      </c>
      <c r="M73" s="142">
        <v>1</v>
      </c>
      <c r="N73" s="142">
        <v>1</v>
      </c>
      <c r="O73" s="32">
        <f t="shared" si="3"/>
        <v>1</v>
      </c>
    </row>
    <row r="74" spans="2:15" ht="78" customHeight="1">
      <c r="B74" s="1455"/>
      <c r="C74" s="1462"/>
      <c r="D74" s="27" t="s">
        <v>468</v>
      </c>
      <c r="E74" s="38">
        <v>0.1</v>
      </c>
      <c r="F74" s="132">
        <v>0.95</v>
      </c>
      <c r="G74" s="1030" t="s">
        <v>156</v>
      </c>
      <c r="H74" s="1015" t="s">
        <v>451</v>
      </c>
      <c r="I74" s="114" t="s">
        <v>452</v>
      </c>
      <c r="J74" s="115" t="s">
        <v>453</v>
      </c>
      <c r="K74" s="142">
        <v>0.95</v>
      </c>
      <c r="L74" s="142">
        <v>0.95</v>
      </c>
      <c r="M74" s="142">
        <v>0.95</v>
      </c>
      <c r="N74" s="142">
        <v>0.95</v>
      </c>
      <c r="O74" s="32">
        <f>AVERAGE(K74:N74)</f>
        <v>0.95</v>
      </c>
    </row>
    <row r="75" spans="2:15" ht="96.75" customHeight="1">
      <c r="B75" s="1455"/>
      <c r="C75" s="1462"/>
      <c r="D75" s="27" t="s">
        <v>492</v>
      </c>
      <c r="E75" s="38">
        <v>0.05</v>
      </c>
      <c r="F75" s="132">
        <v>0.95</v>
      </c>
      <c r="G75" s="1030" t="s">
        <v>156</v>
      </c>
      <c r="H75" s="1015" t="s">
        <v>485</v>
      </c>
      <c r="I75" s="114" t="s">
        <v>486</v>
      </c>
      <c r="J75" s="115" t="s">
        <v>487</v>
      </c>
      <c r="K75" s="142">
        <v>0.95</v>
      </c>
      <c r="L75" s="142">
        <v>0.95</v>
      </c>
      <c r="M75" s="142">
        <v>0.95</v>
      </c>
      <c r="N75" s="142">
        <v>0.95</v>
      </c>
      <c r="O75" s="32">
        <f t="shared" ref="O75:O76" si="4">AVERAGE(K75:N75)</f>
        <v>0.95</v>
      </c>
    </row>
    <row r="76" spans="2:15" ht="76.5" customHeight="1">
      <c r="B76" s="1455"/>
      <c r="C76" s="1462"/>
      <c r="D76" s="27" t="s">
        <v>493</v>
      </c>
      <c r="E76" s="38">
        <v>0.05</v>
      </c>
      <c r="F76" s="132">
        <v>0.8</v>
      </c>
      <c r="G76" s="1030">
        <v>264</v>
      </c>
      <c r="H76" s="1015" t="s">
        <v>512</v>
      </c>
      <c r="I76" s="114" t="s">
        <v>486</v>
      </c>
      <c r="J76" s="115" t="s">
        <v>488</v>
      </c>
      <c r="K76" s="142">
        <v>0.8</v>
      </c>
      <c r="L76" s="142">
        <v>0.8</v>
      </c>
      <c r="M76" s="142">
        <v>0.8</v>
      </c>
      <c r="N76" s="142">
        <v>0.8</v>
      </c>
      <c r="O76" s="32">
        <f t="shared" si="4"/>
        <v>0.8</v>
      </c>
    </row>
    <row r="77" spans="2:15" ht="120" customHeight="1">
      <c r="B77" s="1455"/>
      <c r="C77" s="1462"/>
      <c r="D77" s="27" t="s">
        <v>494</v>
      </c>
      <c r="E77" s="38">
        <v>0.05</v>
      </c>
      <c r="F77" s="144">
        <v>100</v>
      </c>
      <c r="G77" s="1030">
        <v>32</v>
      </c>
      <c r="H77" s="159" t="s">
        <v>635</v>
      </c>
      <c r="I77" s="114" t="s">
        <v>486</v>
      </c>
      <c r="J77" s="115" t="s">
        <v>489</v>
      </c>
      <c r="K77" s="160">
        <v>25</v>
      </c>
      <c r="L77" s="160">
        <v>25</v>
      </c>
      <c r="M77" s="160">
        <v>25</v>
      </c>
      <c r="N77" s="160">
        <v>25</v>
      </c>
      <c r="O77" s="43">
        <f t="shared" ref="O77:O78" si="5">K77+L77+M77+N77</f>
        <v>100</v>
      </c>
    </row>
    <row r="78" spans="2:15" ht="87" customHeight="1">
      <c r="B78" s="1455"/>
      <c r="C78" s="1462"/>
      <c r="D78" s="27" t="s">
        <v>495</v>
      </c>
      <c r="E78" s="38">
        <v>0.05</v>
      </c>
      <c r="F78" s="144">
        <v>100</v>
      </c>
      <c r="G78" s="1030">
        <v>26</v>
      </c>
      <c r="H78" s="159" t="s">
        <v>636</v>
      </c>
      <c r="I78" s="114" t="s">
        <v>490</v>
      </c>
      <c r="J78" s="115" t="s">
        <v>491</v>
      </c>
      <c r="K78" s="160">
        <v>25</v>
      </c>
      <c r="L78" s="160">
        <v>25</v>
      </c>
      <c r="M78" s="160">
        <v>25</v>
      </c>
      <c r="N78" s="160">
        <v>25</v>
      </c>
      <c r="O78" s="43">
        <f t="shared" si="5"/>
        <v>100</v>
      </c>
    </row>
    <row r="79" spans="2:15" ht="63" customHeight="1">
      <c r="B79" s="1455"/>
      <c r="C79" s="1462"/>
      <c r="D79" s="27" t="s">
        <v>518</v>
      </c>
      <c r="E79" s="38">
        <v>0.05</v>
      </c>
      <c r="F79" s="132">
        <v>1</v>
      </c>
      <c r="G79" s="29">
        <v>1</v>
      </c>
      <c r="H79" s="1015" t="s">
        <v>514</v>
      </c>
      <c r="I79" s="114" t="s">
        <v>515</v>
      </c>
      <c r="J79" s="161" t="s">
        <v>3</v>
      </c>
      <c r="K79" s="162">
        <v>1</v>
      </c>
      <c r="L79" s="162">
        <v>1</v>
      </c>
      <c r="M79" s="162">
        <v>1</v>
      </c>
      <c r="N79" s="162">
        <v>1</v>
      </c>
      <c r="O79" s="32">
        <f t="shared" ref="O79:O83" si="6">AVERAGE(K79:N79)</f>
        <v>1</v>
      </c>
    </row>
    <row r="80" spans="2:15" ht="54.75" customHeight="1">
      <c r="B80" s="1455"/>
      <c r="C80" s="1462"/>
      <c r="D80" s="27" t="s">
        <v>519</v>
      </c>
      <c r="E80" s="38">
        <v>0.05</v>
      </c>
      <c r="F80" s="29">
        <v>1</v>
      </c>
      <c r="G80" s="29">
        <v>1</v>
      </c>
      <c r="H80" s="1015" t="s">
        <v>516</v>
      </c>
      <c r="I80" s="114" t="s">
        <v>515</v>
      </c>
      <c r="J80" s="161" t="s">
        <v>3</v>
      </c>
      <c r="K80" s="162">
        <v>1</v>
      </c>
      <c r="L80" s="162">
        <v>1</v>
      </c>
      <c r="M80" s="162">
        <v>1</v>
      </c>
      <c r="N80" s="162">
        <v>1</v>
      </c>
      <c r="O80" s="32">
        <f t="shared" si="6"/>
        <v>1</v>
      </c>
    </row>
    <row r="81" spans="2:15" ht="78.75" customHeight="1">
      <c r="B81" s="1455"/>
      <c r="C81" s="1462"/>
      <c r="D81" s="27" t="s">
        <v>520</v>
      </c>
      <c r="E81" s="38">
        <v>0.05</v>
      </c>
      <c r="F81" s="29">
        <v>1</v>
      </c>
      <c r="G81" s="29">
        <v>1</v>
      </c>
      <c r="H81" s="1015" t="s">
        <v>517</v>
      </c>
      <c r="I81" s="114" t="s">
        <v>515</v>
      </c>
      <c r="J81" s="161" t="s">
        <v>3</v>
      </c>
      <c r="K81" s="162">
        <v>1</v>
      </c>
      <c r="L81" s="162">
        <v>1</v>
      </c>
      <c r="M81" s="162">
        <v>1</v>
      </c>
      <c r="N81" s="162">
        <v>1</v>
      </c>
      <c r="O81" s="32">
        <f t="shared" si="6"/>
        <v>1</v>
      </c>
    </row>
    <row r="82" spans="2:15" ht="76.5" customHeight="1">
      <c r="B82" s="1455"/>
      <c r="C82" s="1462"/>
      <c r="D82" s="1477" t="s">
        <v>521</v>
      </c>
      <c r="E82" s="1480">
        <v>0.05</v>
      </c>
      <c r="F82" s="29">
        <v>1</v>
      </c>
      <c r="G82" s="29">
        <v>1</v>
      </c>
      <c r="H82" s="1015" t="s">
        <v>523</v>
      </c>
      <c r="I82" s="114" t="s">
        <v>515</v>
      </c>
      <c r="J82" s="161" t="s">
        <v>3</v>
      </c>
      <c r="K82" s="162">
        <v>1</v>
      </c>
      <c r="L82" s="162">
        <v>1</v>
      </c>
      <c r="M82" s="162">
        <v>1</v>
      </c>
      <c r="N82" s="162">
        <v>1</v>
      </c>
      <c r="O82" s="32">
        <f t="shared" si="6"/>
        <v>1</v>
      </c>
    </row>
    <row r="83" spans="2:15" ht="76.5" customHeight="1">
      <c r="B83" s="1455"/>
      <c r="C83" s="1462"/>
      <c r="D83" s="1479"/>
      <c r="E83" s="1271"/>
      <c r="F83" s="29">
        <v>1</v>
      </c>
      <c r="G83" s="29">
        <v>1</v>
      </c>
      <c r="H83" s="1015" t="s">
        <v>522</v>
      </c>
      <c r="I83" s="114" t="s">
        <v>515</v>
      </c>
      <c r="J83" s="161" t="s">
        <v>3</v>
      </c>
      <c r="K83" s="162">
        <v>1</v>
      </c>
      <c r="L83" s="162">
        <v>1</v>
      </c>
      <c r="M83" s="162">
        <v>1</v>
      </c>
      <c r="N83" s="162">
        <v>1</v>
      </c>
      <c r="O83" s="32">
        <f t="shared" si="6"/>
        <v>1</v>
      </c>
    </row>
    <row r="84" spans="2:15" ht="76.5" customHeight="1">
      <c r="B84" s="1455"/>
      <c r="C84" s="1462"/>
      <c r="D84" s="1477" t="s">
        <v>902</v>
      </c>
      <c r="E84" s="1480">
        <v>0.1</v>
      </c>
      <c r="F84" s="29">
        <v>0.95</v>
      </c>
      <c r="G84" s="29" t="s">
        <v>156</v>
      </c>
      <c r="H84" s="1015" t="s">
        <v>903</v>
      </c>
      <c r="I84" s="816" t="s">
        <v>452</v>
      </c>
      <c r="J84" s="161" t="s">
        <v>453</v>
      </c>
      <c r="K84" s="162">
        <v>0.6</v>
      </c>
      <c r="L84" s="162">
        <v>0.8</v>
      </c>
      <c r="M84" s="162">
        <v>0.9</v>
      </c>
      <c r="N84" s="162">
        <v>0.95</v>
      </c>
      <c r="O84" s="538">
        <f>+N84</f>
        <v>0.95</v>
      </c>
    </row>
    <row r="85" spans="2:15" ht="76.5" customHeight="1">
      <c r="B85" s="1455"/>
      <c r="C85" s="1462"/>
      <c r="D85" s="1478"/>
      <c r="E85" s="1279"/>
      <c r="F85" s="29">
        <v>0.95</v>
      </c>
      <c r="G85" s="29" t="s">
        <v>156</v>
      </c>
      <c r="H85" s="1015" t="s">
        <v>904</v>
      </c>
      <c r="I85" s="816" t="s">
        <v>452</v>
      </c>
      <c r="J85" s="161" t="s">
        <v>453</v>
      </c>
      <c r="K85" s="162">
        <v>0.6</v>
      </c>
      <c r="L85" s="162">
        <v>0.8</v>
      </c>
      <c r="M85" s="162">
        <v>0.9</v>
      </c>
      <c r="N85" s="162">
        <v>0.95</v>
      </c>
      <c r="O85" s="538">
        <f>+N85</f>
        <v>0.95</v>
      </c>
    </row>
    <row r="86" spans="2:15" ht="76.5" customHeight="1">
      <c r="B86" s="1455"/>
      <c r="C86" s="1461"/>
      <c r="D86" s="1479"/>
      <c r="E86" s="1271"/>
      <c r="F86" s="29">
        <v>0.95</v>
      </c>
      <c r="G86" s="29" t="s">
        <v>156</v>
      </c>
      <c r="H86" s="1015" t="s">
        <v>905</v>
      </c>
      <c r="I86" s="816" t="s">
        <v>452</v>
      </c>
      <c r="J86" s="161" t="s">
        <v>453</v>
      </c>
      <c r="K86" s="162">
        <v>0.6</v>
      </c>
      <c r="L86" s="162">
        <v>0.8</v>
      </c>
      <c r="M86" s="162">
        <v>0.9</v>
      </c>
      <c r="N86" s="162">
        <v>0.95</v>
      </c>
      <c r="O86" s="538">
        <f>+N86</f>
        <v>0.95</v>
      </c>
    </row>
    <row r="87" spans="2:15" ht="73.5" customHeight="1">
      <c r="B87" s="1455"/>
      <c r="C87" s="1457" t="s">
        <v>146</v>
      </c>
      <c r="D87" s="123" t="s">
        <v>545</v>
      </c>
      <c r="E87" s="124">
        <v>0.05</v>
      </c>
      <c r="F87" s="163">
        <f>+O87</f>
        <v>148</v>
      </c>
      <c r="G87" s="126" t="s">
        <v>156</v>
      </c>
      <c r="H87" s="127" t="s">
        <v>541</v>
      </c>
      <c r="I87" s="128" t="s">
        <v>560</v>
      </c>
      <c r="J87" s="128" t="s">
        <v>542</v>
      </c>
      <c r="K87" s="164">
        <v>24</v>
      </c>
      <c r="L87" s="164">
        <v>52</v>
      </c>
      <c r="M87" s="164">
        <v>36</v>
      </c>
      <c r="N87" s="164">
        <v>36</v>
      </c>
      <c r="O87" s="59">
        <f t="shared" ref="O87:O92" si="7">K87+L87+M87+N87</f>
        <v>148</v>
      </c>
    </row>
    <row r="88" spans="2:15" ht="86.25" customHeight="1">
      <c r="B88" s="1455"/>
      <c r="C88" s="1459"/>
      <c r="D88" s="123" t="s">
        <v>1088</v>
      </c>
      <c r="E88" s="124">
        <v>0.05</v>
      </c>
      <c r="F88" s="163">
        <f t="shared" ref="F88:F89" si="8">+O88</f>
        <v>20</v>
      </c>
      <c r="G88" s="126" t="s">
        <v>156</v>
      </c>
      <c r="H88" s="127" t="s">
        <v>543</v>
      </c>
      <c r="I88" s="128" t="s">
        <v>560</v>
      </c>
      <c r="J88" s="128" t="s">
        <v>542</v>
      </c>
      <c r="K88" s="166">
        <v>2</v>
      </c>
      <c r="L88" s="166">
        <v>6</v>
      </c>
      <c r="M88" s="166">
        <v>6</v>
      </c>
      <c r="N88" s="166">
        <v>6</v>
      </c>
      <c r="O88" s="59">
        <f t="shared" si="7"/>
        <v>20</v>
      </c>
    </row>
    <row r="89" spans="2:15" ht="96.75" customHeight="1">
      <c r="B89" s="1455"/>
      <c r="C89" s="1459"/>
      <c r="D89" s="123" t="s">
        <v>546</v>
      </c>
      <c r="E89" s="124">
        <v>0.2</v>
      </c>
      <c r="F89" s="163">
        <f t="shared" si="8"/>
        <v>400</v>
      </c>
      <c r="G89" s="126" t="s">
        <v>554</v>
      </c>
      <c r="H89" s="127" t="s">
        <v>544</v>
      </c>
      <c r="I89" s="128" t="s">
        <v>560</v>
      </c>
      <c r="J89" s="128" t="s">
        <v>542</v>
      </c>
      <c r="K89" s="166">
        <v>100</v>
      </c>
      <c r="L89" s="166">
        <v>100</v>
      </c>
      <c r="M89" s="166">
        <v>100</v>
      </c>
      <c r="N89" s="166">
        <v>100</v>
      </c>
      <c r="O89" s="59">
        <f t="shared" si="7"/>
        <v>400</v>
      </c>
    </row>
    <row r="90" spans="2:15" ht="69.75" customHeight="1">
      <c r="B90" s="1455"/>
      <c r="C90" s="1459"/>
      <c r="D90" s="123" t="s">
        <v>563</v>
      </c>
      <c r="E90" s="137">
        <v>0.5</v>
      </c>
      <c r="F90" s="126">
        <v>4</v>
      </c>
      <c r="G90" s="126">
        <v>4</v>
      </c>
      <c r="H90" s="127" t="s">
        <v>561</v>
      </c>
      <c r="I90" s="167" t="s">
        <v>562</v>
      </c>
      <c r="J90" s="167" t="s">
        <v>2</v>
      </c>
      <c r="K90" s="126">
        <v>1</v>
      </c>
      <c r="L90" s="126">
        <v>1</v>
      </c>
      <c r="M90" s="126">
        <v>1</v>
      </c>
      <c r="N90" s="126">
        <v>1</v>
      </c>
      <c r="O90" s="59">
        <f t="shared" si="7"/>
        <v>4</v>
      </c>
    </row>
    <row r="91" spans="2:15" ht="56.25" customHeight="1">
      <c r="B91" s="1455"/>
      <c r="C91" s="1459"/>
      <c r="D91" s="123" t="s">
        <v>631</v>
      </c>
      <c r="E91" s="137">
        <v>0.1</v>
      </c>
      <c r="F91" s="165">
        <v>4</v>
      </c>
      <c r="G91" s="126">
        <v>4</v>
      </c>
      <c r="H91" s="127" t="s">
        <v>632</v>
      </c>
      <c r="I91" s="167" t="s">
        <v>562</v>
      </c>
      <c r="J91" s="167" t="s">
        <v>2</v>
      </c>
      <c r="K91" s="126">
        <v>1</v>
      </c>
      <c r="L91" s="126">
        <v>1</v>
      </c>
      <c r="M91" s="126">
        <v>1</v>
      </c>
      <c r="N91" s="126">
        <v>1</v>
      </c>
      <c r="O91" s="59">
        <f t="shared" si="7"/>
        <v>4</v>
      </c>
    </row>
    <row r="92" spans="2:15" ht="61.5" customHeight="1">
      <c r="B92" s="1455"/>
      <c r="C92" s="1458"/>
      <c r="D92" s="123" t="s">
        <v>633</v>
      </c>
      <c r="E92" s="137">
        <v>0.1</v>
      </c>
      <c r="F92" s="165">
        <v>4</v>
      </c>
      <c r="G92" s="126">
        <v>4</v>
      </c>
      <c r="H92" s="127" t="s">
        <v>634</v>
      </c>
      <c r="I92" s="167" t="s">
        <v>562</v>
      </c>
      <c r="J92" s="167" t="s">
        <v>2</v>
      </c>
      <c r="K92" s="126">
        <v>1</v>
      </c>
      <c r="L92" s="126">
        <v>1</v>
      </c>
      <c r="M92" s="126">
        <v>1</v>
      </c>
      <c r="N92" s="126">
        <v>1</v>
      </c>
      <c r="O92" s="59">
        <f t="shared" si="7"/>
        <v>4</v>
      </c>
    </row>
    <row r="93" spans="2:15" ht="60" customHeight="1">
      <c r="B93" s="1455"/>
      <c r="C93" s="1471" t="s">
        <v>147</v>
      </c>
      <c r="D93" s="1015" t="s">
        <v>580</v>
      </c>
      <c r="E93" s="1014">
        <v>0.5</v>
      </c>
      <c r="F93" s="29">
        <v>1</v>
      </c>
      <c r="G93" s="29">
        <v>1</v>
      </c>
      <c r="H93" s="1015" t="s">
        <v>576</v>
      </c>
      <c r="I93" s="1015" t="s">
        <v>577</v>
      </c>
      <c r="J93" s="168" t="s">
        <v>578</v>
      </c>
      <c r="K93" s="162">
        <v>1</v>
      </c>
      <c r="L93" s="162">
        <v>1</v>
      </c>
      <c r="M93" s="162">
        <v>1</v>
      </c>
      <c r="N93" s="162">
        <v>1</v>
      </c>
      <c r="O93" s="32">
        <f t="shared" ref="O93:O94" si="9">AVERAGE(K93:N93)</f>
        <v>1</v>
      </c>
    </row>
    <row r="94" spans="2:15" ht="69.75" customHeight="1">
      <c r="B94" s="1455"/>
      <c r="C94" s="1472"/>
      <c r="D94" s="1015" t="s">
        <v>581</v>
      </c>
      <c r="E94" s="1014">
        <v>0.5</v>
      </c>
      <c r="F94" s="29">
        <v>1</v>
      </c>
      <c r="G94" s="29">
        <v>1</v>
      </c>
      <c r="H94" s="1015" t="s">
        <v>579</v>
      </c>
      <c r="I94" s="1015" t="s">
        <v>577</v>
      </c>
      <c r="J94" s="168" t="s">
        <v>578</v>
      </c>
      <c r="K94" s="162">
        <v>1</v>
      </c>
      <c r="L94" s="162">
        <v>1</v>
      </c>
      <c r="M94" s="162">
        <v>1</v>
      </c>
      <c r="N94" s="162">
        <v>1</v>
      </c>
      <c r="O94" s="32">
        <f t="shared" si="9"/>
        <v>1</v>
      </c>
    </row>
    <row r="95" spans="2:15" ht="114" customHeight="1">
      <c r="B95" s="1456"/>
      <c r="C95" s="169" t="s">
        <v>148</v>
      </c>
      <c r="D95" s="123" t="s">
        <v>384</v>
      </c>
      <c r="E95" s="124">
        <v>1</v>
      </c>
      <c r="F95" s="163">
        <v>3</v>
      </c>
      <c r="G95" s="126" t="s">
        <v>156</v>
      </c>
      <c r="H95" s="123" t="s">
        <v>378</v>
      </c>
      <c r="I95" s="128" t="s">
        <v>360</v>
      </c>
      <c r="J95" s="170" t="s">
        <v>1</v>
      </c>
      <c r="K95" s="171">
        <v>1</v>
      </c>
      <c r="L95" s="171">
        <v>1</v>
      </c>
      <c r="M95" s="171">
        <v>1</v>
      </c>
      <c r="N95" s="171">
        <v>0</v>
      </c>
      <c r="O95" s="59">
        <f t="shared" ref="O95" si="10">K95+L95+M95+N95</f>
        <v>3</v>
      </c>
    </row>
    <row r="96" spans="2:15" ht="93.75" customHeight="1">
      <c r="B96" s="1451" t="s">
        <v>149</v>
      </c>
      <c r="C96" s="1463" t="s">
        <v>150</v>
      </c>
      <c r="D96" s="27" t="s">
        <v>594</v>
      </c>
      <c r="E96" s="38">
        <v>0.5</v>
      </c>
      <c r="F96" s="47">
        <v>4</v>
      </c>
      <c r="G96" s="1030">
        <v>2</v>
      </c>
      <c r="H96" s="1015" t="s">
        <v>590</v>
      </c>
      <c r="I96" s="114" t="s">
        <v>591</v>
      </c>
      <c r="J96" s="161" t="s">
        <v>592</v>
      </c>
      <c r="K96" s="172">
        <v>1</v>
      </c>
      <c r="L96" s="172">
        <v>1</v>
      </c>
      <c r="M96" s="172">
        <v>1</v>
      </c>
      <c r="N96" s="172">
        <v>1</v>
      </c>
      <c r="O96" s="31">
        <f t="shared" ref="O96:O99" si="11">K96+L96+M96+N96</f>
        <v>4</v>
      </c>
    </row>
    <row r="97" spans="2:15" ht="93.75" customHeight="1">
      <c r="B97" s="1452"/>
      <c r="C97" s="1464"/>
      <c r="D97" s="27" t="s">
        <v>1089</v>
      </c>
      <c r="E97" s="38">
        <v>0.5</v>
      </c>
      <c r="F97" s="47">
        <v>2</v>
      </c>
      <c r="G97" s="784" t="s">
        <v>156</v>
      </c>
      <c r="H97" s="1033" t="s">
        <v>1090</v>
      </c>
      <c r="I97" s="816" t="s">
        <v>591</v>
      </c>
      <c r="J97" s="161" t="s">
        <v>592</v>
      </c>
      <c r="K97" s="817">
        <v>0</v>
      </c>
      <c r="L97" s="817">
        <v>1</v>
      </c>
      <c r="M97" s="817">
        <v>1</v>
      </c>
      <c r="N97" s="817">
        <v>0</v>
      </c>
      <c r="O97" s="31">
        <f t="shared" si="11"/>
        <v>2</v>
      </c>
    </row>
    <row r="98" spans="2:15" ht="102" customHeight="1">
      <c r="B98" s="1452"/>
      <c r="C98" s="173" t="s">
        <v>151</v>
      </c>
      <c r="D98" s="27" t="s">
        <v>595</v>
      </c>
      <c r="E98" s="38">
        <v>1</v>
      </c>
      <c r="F98" s="47">
        <v>8</v>
      </c>
      <c r="G98" s="1030" t="s">
        <v>156</v>
      </c>
      <c r="H98" s="1015" t="s">
        <v>593</v>
      </c>
      <c r="I98" s="114" t="s">
        <v>591</v>
      </c>
      <c r="J98" s="161" t="s">
        <v>592</v>
      </c>
      <c r="K98" s="172">
        <v>2</v>
      </c>
      <c r="L98" s="172">
        <v>2</v>
      </c>
      <c r="M98" s="172">
        <v>3</v>
      </c>
      <c r="N98" s="172">
        <v>1</v>
      </c>
      <c r="O98" s="31">
        <f t="shared" si="11"/>
        <v>8</v>
      </c>
    </row>
    <row r="99" spans="2:15" ht="124.5" customHeight="1">
      <c r="B99" s="1453"/>
      <c r="C99" s="174" t="s">
        <v>152</v>
      </c>
      <c r="D99" s="27" t="s">
        <v>1091</v>
      </c>
      <c r="E99" s="38">
        <v>1</v>
      </c>
      <c r="F99" s="47">
        <v>80</v>
      </c>
      <c r="G99" s="1030">
        <v>3</v>
      </c>
      <c r="H99" s="1015" t="s">
        <v>596</v>
      </c>
      <c r="I99" s="114" t="s">
        <v>591</v>
      </c>
      <c r="J99" s="161" t="s">
        <v>592</v>
      </c>
      <c r="K99" s="172">
        <v>3</v>
      </c>
      <c r="L99" s="172">
        <v>38</v>
      </c>
      <c r="M99" s="172">
        <v>39</v>
      </c>
      <c r="N99" s="172">
        <v>0</v>
      </c>
      <c r="O99" s="31">
        <f t="shared" si="11"/>
        <v>80</v>
      </c>
    </row>
    <row r="100" spans="2:15" ht="17.399999999999999">
      <c r="B100" s="1504"/>
      <c r="C100" s="1505"/>
      <c r="D100" s="1505"/>
      <c r="E100" s="1505"/>
      <c r="F100" s="1505"/>
      <c r="G100" s="1505"/>
      <c r="H100" s="1505"/>
      <c r="I100" s="1505"/>
      <c r="J100" s="1505"/>
      <c r="K100" s="1505"/>
      <c r="L100" s="1505"/>
      <c r="M100" s="1505"/>
      <c r="N100" s="1505"/>
      <c r="O100" s="1505"/>
    </row>
    <row r="101" spans="2:15">
      <c r="B101" s="1500"/>
      <c r="C101" s="1500"/>
      <c r="D101" s="1500"/>
      <c r="E101" s="1500"/>
      <c r="F101" s="1500"/>
      <c r="G101" s="175"/>
      <c r="H101" s="176"/>
      <c r="I101" s="176"/>
      <c r="J101" s="176"/>
    </row>
    <row r="102" spans="2:15" ht="13.5" customHeight="1">
      <c r="B102" s="176"/>
      <c r="C102" s="176"/>
      <c r="D102" s="176"/>
      <c r="E102" s="175"/>
      <c r="F102" s="175"/>
      <c r="G102" s="175"/>
      <c r="H102" s="176"/>
      <c r="I102" s="176"/>
      <c r="J102" s="176"/>
    </row>
    <row r="103" spans="2:15" ht="28.5" customHeight="1">
      <c r="B103" s="54" t="s">
        <v>26</v>
      </c>
      <c r="C103" s="56">
        <v>44226</v>
      </c>
      <c r="D103" s="176"/>
      <c r="E103" s="175"/>
      <c r="F103" s="175"/>
      <c r="G103" s="175"/>
      <c r="H103" s="176"/>
      <c r="I103" s="176"/>
      <c r="J103" s="176"/>
    </row>
    <row r="104" spans="2:15">
      <c r="B104" s="176"/>
      <c r="C104" s="176"/>
      <c r="D104" s="176"/>
      <c r="E104" s="175"/>
      <c r="F104" s="175"/>
      <c r="G104" s="175"/>
      <c r="H104" s="176"/>
      <c r="I104" s="176"/>
      <c r="J104" s="176"/>
    </row>
    <row r="105" spans="2:15" ht="26.25" customHeight="1">
      <c r="B105" s="54" t="s">
        <v>49</v>
      </c>
      <c r="C105" s="56">
        <v>44369</v>
      </c>
      <c r="D105" s="176"/>
      <c r="E105" s="175"/>
      <c r="F105" s="175"/>
      <c r="G105" s="175"/>
      <c r="H105" s="1031"/>
      <c r="I105" s="1031"/>
      <c r="J105" s="1031"/>
    </row>
    <row r="106" spans="2:15">
      <c r="B106" s="176"/>
      <c r="C106" s="176"/>
      <c r="D106" s="176"/>
      <c r="E106" s="175"/>
      <c r="F106" s="175"/>
      <c r="G106" s="175"/>
      <c r="H106" s="176"/>
      <c r="I106" s="176"/>
      <c r="J106" s="176"/>
    </row>
    <row r="107" spans="2:15" ht="26.25" customHeight="1">
      <c r="B107" s="54" t="s">
        <v>49</v>
      </c>
      <c r="C107" s="56">
        <v>44433</v>
      </c>
      <c r="D107" s="176"/>
      <c r="E107" s="175"/>
      <c r="F107" s="175"/>
      <c r="G107" s="175"/>
      <c r="H107" s="1031"/>
      <c r="I107" s="1031"/>
      <c r="J107" s="1031"/>
    </row>
    <row r="108" spans="2:15">
      <c r="B108" s="176"/>
      <c r="C108" s="176"/>
      <c r="D108" s="176"/>
      <c r="E108" s="175"/>
      <c r="F108" s="175"/>
      <c r="G108" s="175"/>
      <c r="H108" s="176"/>
      <c r="I108" s="176"/>
      <c r="J108" s="176"/>
    </row>
    <row r="109" spans="2:15" ht="26.25" customHeight="1">
      <c r="B109" s="54" t="s">
        <v>49</v>
      </c>
      <c r="C109" s="56">
        <v>44470</v>
      </c>
      <c r="D109" s="176"/>
      <c r="E109" s="175"/>
      <c r="F109" s="175"/>
      <c r="G109" s="175"/>
      <c r="H109" s="1031"/>
      <c r="I109" s="1031"/>
      <c r="J109" s="1031"/>
    </row>
    <row r="110" spans="2:15">
      <c r="B110" s="176"/>
      <c r="C110" s="176"/>
      <c r="D110" s="176"/>
      <c r="E110" s="175"/>
      <c r="F110" s="175"/>
      <c r="G110" s="175"/>
      <c r="H110" s="176"/>
      <c r="I110" s="176"/>
      <c r="J110" s="176"/>
    </row>
    <row r="111" spans="2:15" ht="26.25" customHeight="1">
      <c r="B111" s="54" t="s">
        <v>49</v>
      </c>
      <c r="C111" s="56">
        <v>44581</v>
      </c>
      <c r="D111" s="176"/>
      <c r="E111" s="175"/>
      <c r="F111" s="175"/>
      <c r="G111" s="175"/>
      <c r="H111" s="1031"/>
      <c r="I111" s="1031"/>
      <c r="J111" s="1031"/>
    </row>
    <row r="112" spans="2:15">
      <c r="B112" s="176"/>
      <c r="C112" s="176"/>
      <c r="D112" s="176"/>
      <c r="E112" s="175"/>
      <c r="F112" s="175"/>
      <c r="G112" s="175"/>
      <c r="H112" s="176"/>
      <c r="I112" s="176"/>
      <c r="J112" s="176"/>
    </row>
    <row r="113" spans="2:10" ht="26.25" customHeight="1">
      <c r="B113" s="54" t="s">
        <v>49</v>
      </c>
      <c r="C113" s="56">
        <v>44740</v>
      </c>
      <c r="D113" s="176"/>
      <c r="E113" s="175"/>
      <c r="F113" s="175"/>
      <c r="G113" s="175"/>
      <c r="H113" s="1031"/>
      <c r="I113" s="1031"/>
      <c r="J113" s="1031"/>
    </row>
    <row r="114" spans="2:10" ht="15" customHeight="1">
      <c r="B114" s="176"/>
      <c r="C114" s="176"/>
      <c r="D114" s="176"/>
      <c r="E114" s="175"/>
      <c r="F114" s="175"/>
      <c r="G114" s="175"/>
      <c r="H114" s="176"/>
      <c r="I114" s="176"/>
      <c r="J114" s="176"/>
    </row>
    <row r="115" spans="2:10" ht="15" customHeight="1">
      <c r="B115" s="1047" t="s">
        <v>916</v>
      </c>
      <c r="C115" s="176"/>
      <c r="D115" s="176"/>
      <c r="E115" s="175"/>
      <c r="F115" s="175"/>
      <c r="G115" s="175"/>
      <c r="H115" s="1031"/>
      <c r="I115" s="1031"/>
      <c r="J115" s="1031"/>
    </row>
    <row r="116" spans="2:10" ht="15" customHeight="1">
      <c r="B116" s="176"/>
      <c r="C116" s="176"/>
      <c r="D116" s="176"/>
      <c r="E116" s="175"/>
      <c r="F116" s="175"/>
      <c r="G116" s="175"/>
      <c r="H116" s="176"/>
      <c r="I116" s="176"/>
      <c r="J116" s="176"/>
    </row>
    <row r="117" spans="2:10" ht="15" customHeight="1">
      <c r="B117" s="176"/>
      <c r="C117" s="176"/>
      <c r="D117" s="176"/>
      <c r="E117" s="175"/>
      <c r="F117" s="175"/>
      <c r="G117" s="175"/>
      <c r="H117" s="1031"/>
      <c r="I117" s="1031"/>
      <c r="J117" s="1031"/>
    </row>
  </sheetData>
  <sheetProtection algorithmName="SHA-512" hashValue="xIiFNhb8Kim6riAjE8N6rKjLB5EVnxH7i+WXi3piizraUH0NMgHytufYbtV7N/MgT3tYLEWJd+BiT6eQUyixXw==" saltValue="PFkGq4mkG/CbnkJCw7hEzw==" spinCount="100000" sheet="1" objects="1" scenarios="1"/>
  <mergeCells count="44">
    <mergeCell ref="C96:C97"/>
    <mergeCell ref="C33:C34"/>
    <mergeCell ref="C35:C36"/>
    <mergeCell ref="C37:C39"/>
    <mergeCell ref="B33:B39"/>
    <mergeCell ref="B101:F101"/>
    <mergeCell ref="C40:C41"/>
    <mergeCell ref="C42:C43"/>
    <mergeCell ref="C45:C47"/>
    <mergeCell ref="B40:B47"/>
    <mergeCell ref="C48:C54"/>
    <mergeCell ref="C61:C68"/>
    <mergeCell ref="E82:E83"/>
    <mergeCell ref="D82:D83"/>
    <mergeCell ref="C87:C92"/>
    <mergeCell ref="C93:C94"/>
    <mergeCell ref="D84:D86"/>
    <mergeCell ref="E84:E86"/>
    <mergeCell ref="C69:C86"/>
    <mergeCell ref="B100:O100"/>
    <mergeCell ref="B96:B99"/>
    <mergeCell ref="N2:O2"/>
    <mergeCell ref="N5:O5"/>
    <mergeCell ref="N6:O6"/>
    <mergeCell ref="B8:O8"/>
    <mergeCell ref="E10:E12"/>
    <mergeCell ref="C2:M6"/>
    <mergeCell ref="I10:I12"/>
    <mergeCell ref="B2:B6"/>
    <mergeCell ref="O10:O12"/>
    <mergeCell ref="J10:J12"/>
    <mergeCell ref="K10:N10"/>
    <mergeCell ref="B10:B12"/>
    <mergeCell ref="C10:C12"/>
    <mergeCell ref="D10:D12"/>
    <mergeCell ref="F10:F12"/>
    <mergeCell ref="H10:H12"/>
    <mergeCell ref="G10:G12"/>
    <mergeCell ref="B48:B95"/>
    <mergeCell ref="C55:C60"/>
    <mergeCell ref="C13:C23"/>
    <mergeCell ref="C30:C32"/>
    <mergeCell ref="C24:C29"/>
    <mergeCell ref="B13:B32"/>
  </mergeCell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92D050"/>
  </sheetPr>
  <dimension ref="B1:BH31"/>
  <sheetViews>
    <sheetView showGridLines="0" topLeftCell="A22" zoomScale="55" zoomScaleNormal="55" workbookViewId="0">
      <selection activeCell="C7" sqref="C7"/>
    </sheetView>
  </sheetViews>
  <sheetFormatPr baseColWidth="10" defaultColWidth="17.33203125" defaultRowHeight="15" customHeight="1"/>
  <cols>
    <col min="1" max="1" width="4.33203125" style="107" customWidth="1"/>
    <col min="2" max="2" width="58.6640625" style="105" customWidth="1"/>
    <col min="3" max="3" width="56.109375" style="105" customWidth="1"/>
    <col min="4" max="4" width="49.6640625" style="105" customWidth="1"/>
    <col min="5" max="5" width="27.5546875" style="105" customWidth="1"/>
    <col min="6" max="7" width="29.33203125" style="106" customWidth="1"/>
    <col min="8" max="8" width="36.33203125" style="105" customWidth="1"/>
    <col min="9" max="9" width="39.6640625" style="105" customWidth="1"/>
    <col min="10" max="10" width="58.44140625" style="105" customWidth="1"/>
    <col min="11" max="11" width="48.44140625" style="105" customWidth="1"/>
    <col min="12" max="13" width="28.5546875" style="105" customWidth="1"/>
    <col min="14" max="14" width="37.44140625" style="105" customWidth="1"/>
    <col min="15" max="15" width="39.33203125" style="107" customWidth="1"/>
    <col min="16" max="46" width="15.88671875" style="107" customWidth="1"/>
    <col min="47"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0" ht="15" customHeight="1" thickBot="1"/>
    <row r="2" spans="2:60" ht="16.5" customHeight="1">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77" t="s">
        <v>31</v>
      </c>
      <c r="BH2" s="178"/>
    </row>
    <row r="3" spans="2:60" ht="16.5" customHeight="1">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6.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6.5" customHeight="1">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6.5"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0" ht="19.5" customHeight="1">
      <c r="B7" s="108"/>
      <c r="C7" s="108"/>
      <c r="D7" s="108"/>
      <c r="E7" s="108"/>
      <c r="F7" s="109"/>
      <c r="G7" s="109"/>
      <c r="H7" s="108"/>
      <c r="I7" s="108"/>
      <c r="J7" s="108"/>
      <c r="K7" s="108"/>
      <c r="L7" s="108"/>
      <c r="M7" s="108"/>
      <c r="N7" s="108"/>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46"/>
      <c r="AY7" s="1546"/>
      <c r="AZ7" s="1546"/>
      <c r="BA7" s="1547"/>
      <c r="BB7" s="1029"/>
      <c r="BC7" s="1029"/>
      <c r="BD7" s="1029"/>
      <c r="BE7" s="110"/>
      <c r="BF7" s="110"/>
    </row>
    <row r="8" spans="2:60" ht="28.5" customHeight="1">
      <c r="B8" s="183" t="s">
        <v>45</v>
      </c>
      <c r="C8" s="1533" t="s">
        <v>79</v>
      </c>
      <c r="D8" s="1533"/>
      <c r="E8" s="184"/>
      <c r="F8" s="184"/>
      <c r="G8" s="184"/>
      <c r="H8" s="184"/>
      <c r="I8" s="184"/>
      <c r="J8" s="184"/>
      <c r="K8" s="184"/>
      <c r="L8" s="184"/>
      <c r="M8" s="184"/>
      <c r="N8" s="184"/>
      <c r="AW8" s="1029"/>
      <c r="AX8" s="1029"/>
      <c r="AY8" s="1029"/>
      <c r="AZ8" s="1029"/>
      <c r="BA8" s="1029"/>
      <c r="BB8" s="1029"/>
      <c r="BC8" s="1029"/>
      <c r="BD8" s="1029"/>
    </row>
    <row r="9" spans="2:60" ht="98.25" customHeight="1">
      <c r="B9" s="183" t="s">
        <v>34</v>
      </c>
      <c r="C9" s="1534" t="s">
        <v>367</v>
      </c>
      <c r="D9" s="1535"/>
      <c r="E9" s="184"/>
      <c r="F9" s="184"/>
      <c r="G9" s="184"/>
      <c r="H9" s="184"/>
      <c r="I9" s="184"/>
      <c r="J9" s="184"/>
      <c r="K9" s="184"/>
      <c r="L9" s="184"/>
      <c r="M9" s="184"/>
      <c r="N9" s="184"/>
      <c r="AW9" s="1029"/>
      <c r="AX9" s="1029"/>
      <c r="AY9" s="1029"/>
      <c r="AZ9" s="1029"/>
      <c r="BA9" s="1029"/>
      <c r="BB9" s="1029"/>
      <c r="BC9" s="1029"/>
      <c r="BD9" s="1029"/>
    </row>
    <row r="10" spans="2:60" ht="30" customHeight="1">
      <c r="B10" s="183" t="s">
        <v>101</v>
      </c>
      <c r="C10" s="1536">
        <v>2022</v>
      </c>
      <c r="D10" s="1537"/>
      <c r="E10" s="184"/>
      <c r="F10" s="184"/>
      <c r="G10" s="184"/>
      <c r="H10" s="184"/>
      <c r="I10" s="184"/>
      <c r="J10" s="184"/>
      <c r="K10" s="184"/>
      <c r="L10" s="184"/>
      <c r="M10" s="184"/>
      <c r="N10" s="184"/>
      <c r="AW10" s="1029"/>
      <c r="AX10" s="1029"/>
      <c r="AY10" s="1029"/>
      <c r="AZ10" s="1029"/>
      <c r="BA10" s="1029"/>
      <c r="BB10" s="1029"/>
      <c r="BC10" s="1029"/>
      <c r="BD10" s="1029"/>
    </row>
    <row r="11" spans="2:60" ht="14.25" customHeight="1">
      <c r="B11" s="108"/>
      <c r="C11" s="108"/>
      <c r="D11" s="108"/>
      <c r="E11" s="108"/>
      <c r="F11" s="109"/>
      <c r="G11" s="109"/>
      <c r="H11" s="108"/>
      <c r="I11" s="108"/>
      <c r="J11" s="108"/>
      <c r="K11" s="108"/>
      <c r="L11" s="108"/>
      <c r="M11" s="108"/>
      <c r="N11" s="108"/>
      <c r="AV11" s="295"/>
      <c r="AW11" s="1029"/>
      <c r="AX11" s="1029"/>
      <c r="AY11" s="1029"/>
      <c r="AZ11" s="1029"/>
      <c r="BA11" s="1029"/>
      <c r="BB11" s="1029"/>
      <c r="BC11" s="1029"/>
      <c r="BD11" s="1029"/>
    </row>
    <row r="12" spans="2:60" ht="33"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2:60" ht="21.75" customHeight="1">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21.75" customHeight="1">
      <c r="B14" s="1430"/>
      <c r="C14" s="1430"/>
      <c r="D14" s="1202"/>
      <c r="E14" s="1430"/>
      <c r="F14" s="1202"/>
      <c r="G14" s="1430"/>
      <c r="H14" s="1430"/>
      <c r="I14" s="1430"/>
      <c r="J14" s="1430"/>
      <c r="K14" s="1430"/>
      <c r="L14" s="1430"/>
      <c r="M14" s="1430"/>
      <c r="N14" s="1430"/>
      <c r="O14" s="1430"/>
      <c r="P14" s="1512" t="s">
        <v>5</v>
      </c>
      <c r="Q14" s="1512"/>
      <c r="R14" s="1512" t="s">
        <v>6</v>
      </c>
      <c r="S14" s="1512"/>
      <c r="T14" s="1512" t="s">
        <v>7</v>
      </c>
      <c r="U14" s="1512"/>
      <c r="V14" s="1448" t="s">
        <v>8</v>
      </c>
      <c r="W14" s="1448"/>
      <c r="X14" s="1512" t="s">
        <v>27</v>
      </c>
      <c r="Y14" s="1512"/>
      <c r="Z14" s="1512" t="s">
        <v>9</v>
      </c>
      <c r="AA14" s="1512"/>
      <c r="AB14" s="1512" t="s">
        <v>10</v>
      </c>
      <c r="AC14" s="1512"/>
      <c r="AD14" s="1448" t="s">
        <v>8</v>
      </c>
      <c r="AE14" s="1448"/>
      <c r="AF14" s="1512" t="s">
        <v>11</v>
      </c>
      <c r="AG14" s="1512"/>
      <c r="AH14" s="1512" t="s">
        <v>12</v>
      </c>
      <c r="AI14" s="1512"/>
      <c r="AJ14" s="1512" t="s">
        <v>13</v>
      </c>
      <c r="AK14" s="1512"/>
      <c r="AL14" s="1448" t="s">
        <v>8</v>
      </c>
      <c r="AM14" s="1448"/>
      <c r="AN14" s="1512" t="s">
        <v>14</v>
      </c>
      <c r="AO14" s="1512"/>
      <c r="AP14" s="1512" t="s">
        <v>15</v>
      </c>
      <c r="AQ14" s="1512"/>
      <c r="AR14" s="1512" t="s">
        <v>16</v>
      </c>
      <c r="AS14" s="1512"/>
      <c r="AT14" s="1448" t="s">
        <v>8</v>
      </c>
      <c r="AU14" s="1448"/>
      <c r="AV14" s="1548"/>
      <c r="AW14" s="1553"/>
      <c r="AX14" s="1553"/>
      <c r="AY14" s="1553"/>
      <c r="AZ14" s="1553"/>
      <c r="BA14" s="1559"/>
      <c r="BB14" s="1559"/>
      <c r="BC14" s="1559"/>
      <c r="BD14" s="1559"/>
      <c r="BE14" s="1562"/>
      <c r="BF14" s="1562"/>
      <c r="BG14" s="1562"/>
      <c r="BH14" s="1562"/>
    </row>
    <row r="15" spans="2:60" ht="21.75" customHeight="1">
      <c r="B15" s="1430"/>
      <c r="C15" s="1430"/>
      <c r="D15" s="1202"/>
      <c r="E15" s="1430"/>
      <c r="F15" s="1202"/>
      <c r="G15" s="1430"/>
      <c r="H15" s="1430"/>
      <c r="I15" s="1430"/>
      <c r="J15" s="1430"/>
      <c r="K15" s="1430"/>
      <c r="L15" s="1430"/>
      <c r="M15" s="1430"/>
      <c r="N15" s="1430"/>
      <c r="O15" s="1430"/>
      <c r="P15" s="50" t="s">
        <v>17</v>
      </c>
      <c r="Q15" s="51" t="s">
        <v>18</v>
      </c>
      <c r="R15" s="50" t="s">
        <v>17</v>
      </c>
      <c r="S15" s="51" t="s">
        <v>18</v>
      </c>
      <c r="T15" s="50" t="s">
        <v>17</v>
      </c>
      <c r="U15" s="51" t="s">
        <v>18</v>
      </c>
      <c r="V15" s="52" t="s">
        <v>17</v>
      </c>
      <c r="W15" s="53" t="s">
        <v>18</v>
      </c>
      <c r="X15" s="50" t="s">
        <v>17</v>
      </c>
      <c r="Y15" s="51" t="s">
        <v>18</v>
      </c>
      <c r="Z15" s="50" t="s">
        <v>17</v>
      </c>
      <c r="AA15" s="51" t="s">
        <v>18</v>
      </c>
      <c r="AB15" s="50" t="s">
        <v>17</v>
      </c>
      <c r="AC15" s="51" t="s">
        <v>18</v>
      </c>
      <c r="AD15" s="52" t="s">
        <v>17</v>
      </c>
      <c r="AE15" s="53" t="s">
        <v>18</v>
      </c>
      <c r="AF15" s="50" t="s">
        <v>17</v>
      </c>
      <c r="AG15" s="51" t="s">
        <v>18</v>
      </c>
      <c r="AH15" s="50" t="s">
        <v>17</v>
      </c>
      <c r="AI15" s="51" t="s">
        <v>18</v>
      </c>
      <c r="AJ15" s="50" t="s">
        <v>17</v>
      </c>
      <c r="AK15" s="51" t="s">
        <v>18</v>
      </c>
      <c r="AL15" s="52" t="s">
        <v>17</v>
      </c>
      <c r="AM15" s="53" t="s">
        <v>18</v>
      </c>
      <c r="AN15" s="50" t="s">
        <v>17</v>
      </c>
      <c r="AO15" s="51" t="s">
        <v>18</v>
      </c>
      <c r="AP15" s="50" t="s">
        <v>17</v>
      </c>
      <c r="AQ15" s="51" t="s">
        <v>18</v>
      </c>
      <c r="AR15" s="50" t="s">
        <v>17</v>
      </c>
      <c r="AS15" s="51" t="s">
        <v>18</v>
      </c>
      <c r="AT15" s="52" t="s">
        <v>17</v>
      </c>
      <c r="AU15" s="53" t="s">
        <v>18</v>
      </c>
      <c r="AV15" s="1548"/>
      <c r="AW15" s="1554"/>
      <c r="AX15" s="1554"/>
      <c r="AY15" s="1554"/>
      <c r="AZ15" s="1554"/>
      <c r="BA15" s="1560"/>
      <c r="BB15" s="1560"/>
      <c r="BC15" s="1560"/>
      <c r="BD15" s="1560"/>
      <c r="BE15" s="1563"/>
      <c r="BF15" s="1563"/>
      <c r="BG15" s="1563"/>
      <c r="BH15" s="1563"/>
    </row>
    <row r="16" spans="2:60" ht="187.95" customHeight="1">
      <c r="B16" s="154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0" t="str">
        <f>+'01-FR-03 POA INSTITUCIONAL'!C55</f>
        <v>4.2. Consolidar el 90% del Modelo Integrado de Planeación y Gestión –MIPG- y sus sistemas de gestión articulados, como compromiso con la Calidad, la Excelencia, la Responsabilidad Ambiental y la Mejora en la prestación del Servicio.</v>
      </c>
      <c r="D16" s="27" t="str">
        <f>+'01-FR-03 POA INSTITUCIONAL'!D55</f>
        <v>4.2.1 Formular e implementar el 100% de las acciones para la Sostenibilidad y mejora del Sistema de Gestión de la Calidad 
-SGC- (Meta Transversal)</v>
      </c>
      <c r="E16" s="28">
        <f>+'01-FR-03 POA INSTITUCIONAL'!E55</f>
        <v>0.2</v>
      </c>
      <c r="F16" s="276">
        <f>+'01-FR-03 POA INSTITUCIONAL'!F55</f>
        <v>1</v>
      </c>
      <c r="G16" s="132">
        <f>+'01-FR-03 POA INSTITUCIONAL'!L55</f>
        <v>1</v>
      </c>
      <c r="H16" s="29">
        <f>+'01-FR-03 POA INSTITUCIONAL'!G55</f>
        <v>1</v>
      </c>
      <c r="I16" s="29" t="str">
        <f>+'01-FR-03 POA INSTITUCIONAL'!H55</f>
        <v xml:space="preserve">Porcentaje de acciones implementadas para la sostenibilidad y mejora del SGC </v>
      </c>
      <c r="J16" s="185" t="s">
        <v>668</v>
      </c>
      <c r="K16" s="190" t="s">
        <v>1095</v>
      </c>
      <c r="L16" s="186" t="s">
        <v>167</v>
      </c>
      <c r="M16" s="187" t="s">
        <v>362</v>
      </c>
      <c r="N16" s="186" t="s">
        <v>364</v>
      </c>
      <c r="O16" s="30" t="str">
        <f>+'01-FR-03 POA INSTITUCIONAL'!J55</f>
        <v>Dirección de Planeación
Aportan: Dependencias lideradas por  Responsables de procesos y operativos de todos los procesos institucionales</v>
      </c>
      <c r="P16" s="819">
        <v>0</v>
      </c>
      <c r="Q16" s="188">
        <v>0</v>
      </c>
      <c r="R16" s="819">
        <v>0.2</v>
      </c>
      <c r="S16" s="188">
        <v>0.2</v>
      </c>
      <c r="T16" s="819">
        <v>0.04</v>
      </c>
      <c r="U16" s="188">
        <v>0.04</v>
      </c>
      <c r="V16" s="44">
        <f>P16+R16+T16</f>
        <v>0.24000000000000002</v>
      </c>
      <c r="W16" s="44">
        <f>Q16+S16+U16</f>
        <v>0.24000000000000002</v>
      </c>
      <c r="X16" s="819">
        <v>0.11</v>
      </c>
      <c r="Y16" s="552">
        <v>5.8999999999999997E-2</v>
      </c>
      <c r="Z16" s="819">
        <v>0.08</v>
      </c>
      <c r="AA16" s="552">
        <v>0.14099999999999999</v>
      </c>
      <c r="AB16" s="819">
        <v>0.08</v>
      </c>
      <c r="AC16" s="552">
        <v>7.8E-2</v>
      </c>
      <c r="AD16" s="271">
        <f>X16+Z16+AB16</f>
        <v>0.27</v>
      </c>
      <c r="AE16" s="288">
        <f>Y16+AA16+AC16</f>
        <v>0.27799999999999997</v>
      </c>
      <c r="AF16" s="819">
        <v>0.11</v>
      </c>
      <c r="AG16" s="760">
        <v>0.12</v>
      </c>
      <c r="AH16" s="819">
        <v>0.08</v>
      </c>
      <c r="AI16" s="760">
        <v>6.9000000000000006E-2</v>
      </c>
      <c r="AJ16" s="823">
        <v>0.08</v>
      </c>
      <c r="AK16" s="761">
        <v>8.8999999999999996E-2</v>
      </c>
      <c r="AL16" s="271">
        <f>AF16+AH16+AJ16</f>
        <v>0.27</v>
      </c>
      <c r="AM16" s="271">
        <f>AG16+AI16+AK16</f>
        <v>0.27800000000000002</v>
      </c>
      <c r="AN16" s="819">
        <v>0.11</v>
      </c>
      <c r="AO16" s="821">
        <v>8.4000000000000005E-2</v>
      </c>
      <c r="AP16" s="819">
        <v>0.08</v>
      </c>
      <c r="AQ16" s="819">
        <v>0.09</v>
      </c>
      <c r="AR16" s="819">
        <v>0.03</v>
      </c>
      <c r="AS16" s="820">
        <v>2.9600000000000001E-2</v>
      </c>
      <c r="AT16" s="789">
        <f>AN16+AP16+AR16</f>
        <v>0.22</v>
      </c>
      <c r="AU16" s="288">
        <f>AO16+AQ16+AS16</f>
        <v>0.2036</v>
      </c>
      <c r="AV16" s="271">
        <f>V16+AD16+AL16+AT16</f>
        <v>1</v>
      </c>
      <c r="AW16" s="271">
        <f>+W16</f>
        <v>0.24000000000000002</v>
      </c>
      <c r="AX16" s="288">
        <f>+W16+AE16</f>
        <v>0.51800000000000002</v>
      </c>
      <c r="AY16" s="271">
        <f>+W16+AE16+AM16</f>
        <v>0.79600000000000004</v>
      </c>
      <c r="AZ16" s="288">
        <f>+W16+AE16+AM16+AU16</f>
        <v>0.99960000000000004</v>
      </c>
      <c r="BA16" s="301">
        <f>IF(AND(AW16&gt;0,$AV16&gt;0),AW16/$AV16,0)</f>
        <v>0.24000000000000002</v>
      </c>
      <c r="BB16" s="553">
        <f t="shared" ref="BB16:BD16" si="0">IF(AND(AX16&gt;0,$AV16&gt;0),AX16/$AV16,0)</f>
        <v>0.51800000000000002</v>
      </c>
      <c r="BC16" s="301">
        <f t="shared" si="0"/>
        <v>0.79600000000000004</v>
      </c>
      <c r="BD16" s="301">
        <f t="shared" si="0"/>
        <v>0.99960000000000004</v>
      </c>
      <c r="BE16" s="274">
        <f>(((IF(AND(AW16&gt;0,$F16&gt;0),AW16/$F16,0)))/4)</f>
        <v>6.0000000000000005E-2</v>
      </c>
      <c r="BF16" s="274">
        <f t="shared" ref="BF16:BH16" si="1">(((IF(AND(AX16&gt;0,$F16&gt;0),AX16/$F16,0)))/4)</f>
        <v>0.1295</v>
      </c>
      <c r="BG16" s="274">
        <f t="shared" si="1"/>
        <v>0.19900000000000001</v>
      </c>
      <c r="BH16" s="274">
        <f t="shared" si="1"/>
        <v>0.24990000000000001</v>
      </c>
    </row>
    <row r="17" spans="2:60" ht="288.75" customHeight="1">
      <c r="B17" s="1541"/>
      <c r="C17" s="1541"/>
      <c r="D17" s="27" t="str">
        <f>+'01-FR-03 POA INSTITUCIONAL'!D56</f>
        <v>4.2.2 Implementar el 40% de las actividades requeridas para la sostenibilidad y mejora del MIPG, de acuerdo con la metodología establecida por la Función Pública. (Meta Transversal)</v>
      </c>
      <c r="E17" s="28">
        <f>+'01-FR-03 POA INSTITUCIONAL'!E56</f>
        <v>0.2</v>
      </c>
      <c r="F17" s="276">
        <f>+'01-FR-03 POA INSTITUCIONAL'!F56</f>
        <v>0.4</v>
      </c>
      <c r="G17" s="132">
        <f>+'01-FR-03 POA INSTITUCIONAL'!L56</f>
        <v>0.14000000000000001</v>
      </c>
      <c r="H17" s="29">
        <f>+'01-FR-03 POA INSTITUCIONAL'!G56</f>
        <v>0.6</v>
      </c>
      <c r="I17" s="29" t="str">
        <f>+'01-FR-03 POA INSTITUCIONAL'!H56</f>
        <v>Porcentaje de actividades implementadas para la sostenibilidad  y mejora del MIPG</v>
      </c>
      <c r="J17" s="185" t="s">
        <v>669</v>
      </c>
      <c r="K17" s="190" t="s">
        <v>1168</v>
      </c>
      <c r="L17" s="186" t="s">
        <v>361</v>
      </c>
      <c r="M17" s="187" t="s">
        <v>362</v>
      </c>
      <c r="N17" s="186" t="s">
        <v>363</v>
      </c>
      <c r="O17" s="30" t="str">
        <f>+'01-FR-03 POA INSTITUCIONAL'!J56</f>
        <v>Dirección de Planeación
Aportan: Dependencias lideradas por  Responsables de procesos y operativos de todos los procesos institucionales</v>
      </c>
      <c r="P17" s="820">
        <v>0</v>
      </c>
      <c r="Q17" s="191">
        <v>0</v>
      </c>
      <c r="R17" s="820">
        <v>0.04</v>
      </c>
      <c r="S17" s="191">
        <v>0.04</v>
      </c>
      <c r="T17" s="820">
        <v>1.0999999999999999E-2</v>
      </c>
      <c r="U17" s="864">
        <v>1.0999999999999999E-2</v>
      </c>
      <c r="V17" s="58">
        <f>P17+R17+T17</f>
        <v>5.1000000000000004E-2</v>
      </c>
      <c r="W17" s="58">
        <f>Q17+S17+U17</f>
        <v>5.1000000000000004E-2</v>
      </c>
      <c r="X17" s="820">
        <v>1.32E-2</v>
      </c>
      <c r="Y17" s="864">
        <v>1.32E-2</v>
      </c>
      <c r="Z17" s="820">
        <v>1.32E-2</v>
      </c>
      <c r="AA17" s="820">
        <v>1.32E-2</v>
      </c>
      <c r="AB17" s="820">
        <v>9.5999999999999992E-3</v>
      </c>
      <c r="AC17" s="864">
        <v>8.9999999999999993E-3</v>
      </c>
      <c r="AD17" s="58">
        <f>X17+Z17+AB17</f>
        <v>3.5999999999999997E-2</v>
      </c>
      <c r="AE17" s="58">
        <f>Y17+AA17+AC17</f>
        <v>3.5400000000000001E-2</v>
      </c>
      <c r="AF17" s="820">
        <v>8.0000000000000002E-3</v>
      </c>
      <c r="AG17" s="820">
        <v>8.0000000000000002E-3</v>
      </c>
      <c r="AH17" s="820">
        <v>8.0000000000000002E-3</v>
      </c>
      <c r="AI17" s="864">
        <v>8.0000000000000002E-3</v>
      </c>
      <c r="AJ17" s="824">
        <v>1.0999999999999999E-2</v>
      </c>
      <c r="AK17" s="946">
        <v>1.0999999999999999E-2</v>
      </c>
      <c r="AL17" s="58">
        <f>AF17+AH17+AJ17</f>
        <v>2.7E-2</v>
      </c>
      <c r="AM17" s="58">
        <f>AG17+AI17+AK17</f>
        <v>2.7E-2</v>
      </c>
      <c r="AN17" s="820">
        <v>8.0000000000000002E-3</v>
      </c>
      <c r="AO17" s="820">
        <v>7.4999999999999997E-3</v>
      </c>
      <c r="AP17" s="820">
        <v>8.0000000000000002E-3</v>
      </c>
      <c r="AQ17" s="820">
        <v>8.0000000000000002E-3</v>
      </c>
      <c r="AR17" s="821">
        <v>0.01</v>
      </c>
      <c r="AS17" s="821">
        <v>1.11E-2</v>
      </c>
      <c r="AT17" s="58">
        <f>AN17+AP17+AR17</f>
        <v>2.6000000000000002E-2</v>
      </c>
      <c r="AU17" s="58">
        <f>AO17+AQ17+AS17</f>
        <v>2.6599999999999999E-2</v>
      </c>
      <c r="AV17" s="44">
        <f t="shared" ref="AV17:AV19" si="2">V17+AD17+AL17+AT17</f>
        <v>0.13999999999999999</v>
      </c>
      <c r="AW17" s="271">
        <f>+W17</f>
        <v>5.1000000000000004E-2</v>
      </c>
      <c r="AX17" s="271">
        <f>+W17+AE17</f>
        <v>8.6400000000000005E-2</v>
      </c>
      <c r="AY17" s="271">
        <f>+W17+AE17+AM17</f>
        <v>0.1134</v>
      </c>
      <c r="AZ17" s="288">
        <f>+W17+AE17+AM17+AU17</f>
        <v>0.14000000000000001</v>
      </c>
      <c r="BA17" s="301">
        <f t="shared" ref="BA17:BA19" si="3">IF(AND(AW17&gt;0,$AV17&gt;0),AW17/$AV17,0)</f>
        <v>0.36428571428571432</v>
      </c>
      <c r="BB17" s="301">
        <f t="shared" ref="BB17:BB19" si="4">IF(AND(AX17&gt;0,$AV17&gt;0),AX17/$AV17,0)</f>
        <v>0.61714285714285722</v>
      </c>
      <c r="BC17" s="301">
        <f t="shared" ref="BC17:BC19" si="5">IF(AND(AY17&gt;0,$AV17&gt;0),AY17/$AV17,0)</f>
        <v>0.81</v>
      </c>
      <c r="BD17" s="301">
        <f t="shared" ref="BD17:BD19" si="6">IF(AND(AZ17&gt;0,$AV17&gt;0),AZ17/$AV17,0)</f>
        <v>1.0000000000000002</v>
      </c>
      <c r="BE17" s="274">
        <f>((IF(AND(AW17&gt;0,$F17&gt;0),AW17/$F17,0)))</f>
        <v>0.1275</v>
      </c>
      <c r="BF17" s="274">
        <f t="shared" ref="BF17:BH19" si="7">((IF(AND(AX17&gt;0,$F17&gt;0),AX17/$F17,0)))</f>
        <v>0.216</v>
      </c>
      <c r="BG17" s="274">
        <f t="shared" si="7"/>
        <v>0.28349999999999997</v>
      </c>
      <c r="BH17" s="274">
        <f t="shared" si="7"/>
        <v>0.35000000000000003</v>
      </c>
    </row>
    <row r="18" spans="2:60" ht="75.75" customHeight="1">
      <c r="B18" s="1541"/>
      <c r="C18" s="1541"/>
      <c r="D18" s="27" t="str">
        <f>+'01-FR-03 POA INSTITUCIONAL'!D57</f>
        <v>4.2.3 Implementar el 100% de los requisitos del Sistema de Gestión Ambiental –SGA-, bajo los estándares de la norma ISO 14001</v>
      </c>
      <c r="E18" s="28">
        <f>+'01-FR-03 POA INSTITUCIONAL'!E57</f>
        <v>0.15</v>
      </c>
      <c r="F18" s="276">
        <f>+'01-FR-03 POA INSTITUCIONAL'!F57</f>
        <v>1</v>
      </c>
      <c r="G18" s="132">
        <f>+'01-FR-03 POA INSTITUCIONAL'!L57</f>
        <v>0.33</v>
      </c>
      <c r="H18" s="29" t="str">
        <f>+'01-FR-03 POA INSTITUCIONAL'!G57</f>
        <v>S.I.</v>
      </c>
      <c r="I18" s="29" t="str">
        <f>+'01-FR-03 POA INSTITUCIONAL'!H57</f>
        <v xml:space="preserve">Porcentaje de requisitos del  SGA implementados bajo los estándares de la norma ISO 14001 </v>
      </c>
      <c r="J18" s="185" t="s">
        <v>165</v>
      </c>
      <c r="K18" s="190" t="s">
        <v>1096</v>
      </c>
      <c r="L18" s="186" t="s">
        <v>1097</v>
      </c>
      <c r="M18" s="186" t="s">
        <v>362</v>
      </c>
      <c r="N18" s="186" t="s">
        <v>363</v>
      </c>
      <c r="O18" s="30" t="str">
        <f>+'01-FR-03 POA INSTITUCIONAL'!J57</f>
        <v>Dirección de Planeación</v>
      </c>
      <c r="P18" s="821">
        <v>2.9000000000000001E-2</v>
      </c>
      <c r="Q18" s="188">
        <v>2.9000000000000001E-2</v>
      </c>
      <c r="R18" s="821">
        <v>2.9000000000000001E-2</v>
      </c>
      <c r="S18" s="188">
        <v>2.9000000000000001E-2</v>
      </c>
      <c r="T18" s="821">
        <v>0.03</v>
      </c>
      <c r="U18" s="188">
        <v>0.03</v>
      </c>
      <c r="V18" s="44">
        <f t="shared" ref="V18" si="8">P18+R18+T18</f>
        <v>8.7999999999999995E-2</v>
      </c>
      <c r="W18" s="44">
        <f t="shared" ref="W18" si="9">Q18+S18+U18</f>
        <v>8.7999999999999995E-2</v>
      </c>
      <c r="X18" s="821">
        <v>2.9000000000000001E-2</v>
      </c>
      <c r="Y18" s="188">
        <v>2.9000000000000001E-2</v>
      </c>
      <c r="Z18" s="821">
        <v>2.9000000000000001E-2</v>
      </c>
      <c r="AA18" s="821">
        <v>2.9000000000000001E-2</v>
      </c>
      <c r="AB18" s="821">
        <v>0.03</v>
      </c>
      <c r="AC18" s="188">
        <v>0.03</v>
      </c>
      <c r="AD18" s="44">
        <f t="shared" ref="AD18" si="10">X18+Z18+AB18</f>
        <v>8.7999999999999995E-2</v>
      </c>
      <c r="AE18" s="44">
        <f t="shared" ref="AE18" si="11">Y18+AA18+AC18</f>
        <v>8.7999999999999995E-2</v>
      </c>
      <c r="AF18" s="821">
        <v>2.9000000000000001E-2</v>
      </c>
      <c r="AG18" s="821">
        <v>2.9000000000000001E-2</v>
      </c>
      <c r="AH18" s="821">
        <v>2.9000000000000001E-2</v>
      </c>
      <c r="AI18" s="821">
        <v>2.9000000000000001E-2</v>
      </c>
      <c r="AJ18" s="821">
        <v>0.03</v>
      </c>
      <c r="AK18" s="189">
        <v>0.03</v>
      </c>
      <c r="AL18" s="44">
        <f t="shared" ref="AL18" si="12">AF18+AH18+AJ18</f>
        <v>8.7999999999999995E-2</v>
      </c>
      <c r="AM18" s="44">
        <f t="shared" ref="AM18" si="13">AG18+AI18+AK18</f>
        <v>8.7999999999999995E-2</v>
      </c>
      <c r="AN18" s="821">
        <v>2.1999999999999999E-2</v>
      </c>
      <c r="AO18" s="821">
        <v>2.1999999999999999E-2</v>
      </c>
      <c r="AP18" s="821">
        <v>2.1999999999999999E-2</v>
      </c>
      <c r="AQ18" s="821">
        <v>2.1999999999999999E-2</v>
      </c>
      <c r="AR18" s="821">
        <v>2.1999999999999999E-2</v>
      </c>
      <c r="AS18" s="821">
        <v>2.1999999999999999E-2</v>
      </c>
      <c r="AT18" s="44">
        <f t="shared" ref="AT18" si="14">AN18+AP18+AR18</f>
        <v>6.6000000000000003E-2</v>
      </c>
      <c r="AU18" s="44">
        <f t="shared" ref="AU18" si="15">AO18+AQ18+AS18</f>
        <v>6.6000000000000003E-2</v>
      </c>
      <c r="AV18" s="44">
        <f t="shared" si="2"/>
        <v>0.33</v>
      </c>
      <c r="AW18" s="271">
        <f>+W18</f>
        <v>8.7999999999999995E-2</v>
      </c>
      <c r="AX18" s="271">
        <f>+W18+AE18</f>
        <v>0.17599999999999999</v>
      </c>
      <c r="AY18" s="271">
        <f>+W18+AE18+AM18</f>
        <v>0.26400000000000001</v>
      </c>
      <c r="AZ18" s="271">
        <f>+W18+AE18+AM18+AU18</f>
        <v>0.33</v>
      </c>
      <c r="BA18" s="301">
        <f t="shared" si="3"/>
        <v>0.26666666666666666</v>
      </c>
      <c r="BB18" s="302">
        <f t="shared" si="4"/>
        <v>0.53333333333333333</v>
      </c>
      <c r="BC18" s="303">
        <f t="shared" si="5"/>
        <v>0.8</v>
      </c>
      <c r="BD18" s="303">
        <f t="shared" si="6"/>
        <v>1</v>
      </c>
      <c r="BE18" s="274">
        <f>((IF(AND(AW18&gt;0,$F18&gt;0),AW18/$F18,0)))</f>
        <v>8.7999999999999995E-2</v>
      </c>
      <c r="BF18" s="274">
        <f t="shared" si="7"/>
        <v>0.17599999999999999</v>
      </c>
      <c r="BG18" s="274">
        <f t="shared" si="7"/>
        <v>0.26400000000000001</v>
      </c>
      <c r="BH18" s="274">
        <f t="shared" si="7"/>
        <v>0.33</v>
      </c>
    </row>
    <row r="19" spans="2:60" ht="75.75" customHeight="1">
      <c r="B19" s="1541"/>
      <c r="C19" s="1541"/>
      <c r="D19" s="27" t="str">
        <f>+'01-FR-03 POA INSTITUCIONAL'!D58</f>
        <v>4.2.4 Realizar 12 acciones de monitoreo y revisión  al Plan Anticorrupción y de Atención al Ciudadano -PAAC- de la vigencia.</v>
      </c>
      <c r="E19" s="28">
        <f>+'01-FR-03 POA INSTITUCIONAL'!E58</f>
        <v>0.1</v>
      </c>
      <c r="F19" s="16">
        <f>+'01-FR-03 POA INSTITUCIONAL'!F58</f>
        <v>12</v>
      </c>
      <c r="G19" s="144">
        <f>+'01-FR-03 POA INSTITUCIONAL'!L58</f>
        <v>3</v>
      </c>
      <c r="H19" s="29" t="str">
        <f>+'01-FR-03 POA INSTITUCIONAL'!G58</f>
        <v>3 
(En el último año)</v>
      </c>
      <c r="I19" s="29" t="str">
        <f>+'01-FR-03 POA INSTITUCIONAL'!H58</f>
        <v>Acciones de monitoreo y revisión realizadas al PAAC</v>
      </c>
      <c r="J19" s="185" t="s">
        <v>670</v>
      </c>
      <c r="K19" s="190" t="s">
        <v>365</v>
      </c>
      <c r="L19" s="186" t="s">
        <v>366</v>
      </c>
      <c r="M19" s="186" t="s">
        <v>362</v>
      </c>
      <c r="N19" s="186" t="s">
        <v>363</v>
      </c>
      <c r="O19" s="30" t="str">
        <f>+'01-FR-03 POA INSTITUCIONAL'!J58</f>
        <v>Dirección de Planeación</v>
      </c>
      <c r="P19" s="822">
        <v>1</v>
      </c>
      <c r="Q19" s="192">
        <v>1</v>
      </c>
      <c r="R19" s="822">
        <v>0</v>
      </c>
      <c r="S19" s="192">
        <v>0</v>
      </c>
      <c r="T19" s="822">
        <v>0</v>
      </c>
      <c r="U19" s="192">
        <v>0</v>
      </c>
      <c r="V19" s="16">
        <f>+P19+R19+T19</f>
        <v>1</v>
      </c>
      <c r="W19" s="16">
        <f>+Q19+S19+U19</f>
        <v>1</v>
      </c>
      <c r="X19" s="822">
        <v>0</v>
      </c>
      <c r="Y19" s="192">
        <v>0</v>
      </c>
      <c r="Z19" s="822">
        <v>1</v>
      </c>
      <c r="AA19" s="192">
        <v>1</v>
      </c>
      <c r="AB19" s="822">
        <v>0</v>
      </c>
      <c r="AC19" s="192">
        <v>0</v>
      </c>
      <c r="AD19" s="16">
        <f>+X19+Z19+AB19</f>
        <v>1</v>
      </c>
      <c r="AE19" s="16">
        <f>+Y19+AA19+AC19</f>
        <v>1</v>
      </c>
      <c r="AF19" s="822">
        <v>0</v>
      </c>
      <c r="AG19" s="192">
        <v>0</v>
      </c>
      <c r="AH19" s="822">
        <v>0</v>
      </c>
      <c r="AI19" s="192">
        <v>0</v>
      </c>
      <c r="AJ19" s="825">
        <v>1</v>
      </c>
      <c r="AK19" s="193">
        <v>1</v>
      </c>
      <c r="AL19" s="16">
        <f>+AF19+AH19+AJ19</f>
        <v>1</v>
      </c>
      <c r="AM19" s="16">
        <f>+AG19+AI19+AK19</f>
        <v>1</v>
      </c>
      <c r="AN19" s="822">
        <v>0</v>
      </c>
      <c r="AO19" s="822">
        <v>0</v>
      </c>
      <c r="AP19" s="822">
        <v>0</v>
      </c>
      <c r="AQ19" s="822">
        <v>0</v>
      </c>
      <c r="AR19" s="822">
        <v>0</v>
      </c>
      <c r="AS19" s="822">
        <v>0</v>
      </c>
      <c r="AT19" s="16">
        <f>+AN19+AP19+AR19</f>
        <v>0</v>
      </c>
      <c r="AU19" s="16">
        <f>+AO19+AQ19+AS19</f>
        <v>0</v>
      </c>
      <c r="AV19" s="16">
        <f t="shared" si="2"/>
        <v>3</v>
      </c>
      <c r="AW19" s="22">
        <f>+W19</f>
        <v>1</v>
      </c>
      <c r="AX19" s="22">
        <f>+W19+AE19</f>
        <v>2</v>
      </c>
      <c r="AY19" s="22">
        <f>+W19+AE19+AM19</f>
        <v>3</v>
      </c>
      <c r="AZ19" s="22">
        <f>+W19+AE19+AM19+AU19</f>
        <v>3</v>
      </c>
      <c r="BA19" s="303">
        <f t="shared" si="3"/>
        <v>0.33333333333333331</v>
      </c>
      <c r="BB19" s="303">
        <f t="shared" si="4"/>
        <v>0.66666666666666663</v>
      </c>
      <c r="BC19" s="303">
        <f t="shared" si="5"/>
        <v>1</v>
      </c>
      <c r="BD19" s="303">
        <f t="shared" si="6"/>
        <v>1</v>
      </c>
      <c r="BE19" s="274">
        <f>((IF(AND(AW19&gt;0,$F19&gt;0),AW19/$F19,0)))</f>
        <v>8.3333333333333329E-2</v>
      </c>
      <c r="BF19" s="274">
        <f t="shared" si="7"/>
        <v>0.16666666666666666</v>
      </c>
      <c r="BG19" s="274">
        <f t="shared" si="7"/>
        <v>0.25</v>
      </c>
      <c r="BH19" s="274">
        <f t="shared" si="7"/>
        <v>0.25</v>
      </c>
    </row>
    <row r="20" spans="2:60" ht="22.8">
      <c r="B20" s="292"/>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4"/>
      <c r="AX20" s="1538" t="s">
        <v>19</v>
      </c>
      <c r="AY20" s="1539"/>
      <c r="AZ20" s="1539"/>
      <c r="BA20" s="1043">
        <f t="shared" ref="BA20:BD20" si="16">AVERAGE(BA16:BA19)</f>
        <v>0.30107142857142855</v>
      </c>
      <c r="BB20" s="1043">
        <f t="shared" si="16"/>
        <v>0.58378571428571424</v>
      </c>
      <c r="BC20" s="1043">
        <f t="shared" si="16"/>
        <v>0.85150000000000003</v>
      </c>
      <c r="BD20" s="1043">
        <f t="shared" si="16"/>
        <v>0.99990000000000001</v>
      </c>
      <c r="BE20" s="1514"/>
      <c r="BF20" s="1515"/>
      <c r="BG20" s="1515"/>
      <c r="BH20" s="1516"/>
    </row>
    <row r="21" spans="2:60">
      <c r="B21" s="1500"/>
      <c r="C21" s="1500"/>
      <c r="D21" s="1500"/>
      <c r="E21" s="1500"/>
      <c r="F21" s="1500"/>
      <c r="G21" s="175"/>
      <c r="H21" s="176"/>
      <c r="I21" s="176"/>
      <c r="J21" s="176"/>
      <c r="K21" s="176"/>
      <c r="L21" s="176"/>
      <c r="M21" s="176"/>
      <c r="N21" s="176"/>
    </row>
    <row r="22" spans="2:60">
      <c r="B22" s="176"/>
      <c r="C22" s="176"/>
      <c r="D22" s="1520"/>
      <c r="E22" s="1520"/>
      <c r="F22" s="1520"/>
      <c r="G22" s="1520"/>
      <c r="H22" s="1520"/>
      <c r="I22" s="1520"/>
      <c r="J22" s="1520"/>
      <c r="K22" s="1520"/>
      <c r="L22" s="1520"/>
      <c r="M22" s="1520"/>
      <c r="N22" s="1520"/>
    </row>
    <row r="23" spans="2:60" ht="30" customHeight="1">
      <c r="B23" s="54" t="s">
        <v>26</v>
      </c>
      <c r="C23" s="56">
        <v>44224</v>
      </c>
      <c r="D23" s="195"/>
      <c r="E23" s="1510" t="s">
        <v>50</v>
      </c>
      <c r="F23" s="1511" t="s">
        <v>696</v>
      </c>
      <c r="G23" s="1511"/>
      <c r="H23" s="1511"/>
      <c r="I23" s="1511"/>
      <c r="J23" s="196"/>
      <c r="K23" s="1518"/>
      <c r="L23" s="1518"/>
      <c r="M23" s="1518"/>
      <c r="N23" s="1519"/>
    </row>
    <row r="24" spans="2:60" ht="13.5" customHeight="1">
      <c r="B24" s="176"/>
      <c r="C24" s="176"/>
      <c r="D24" s="196"/>
      <c r="E24" s="1510"/>
      <c r="F24" s="1511"/>
      <c r="G24" s="1511"/>
      <c r="H24" s="1511"/>
      <c r="I24" s="1511"/>
      <c r="J24" s="197"/>
      <c r="K24" s="197"/>
      <c r="L24" s="197"/>
      <c r="M24" s="197"/>
      <c r="N24" s="197"/>
    </row>
    <row r="25" spans="2:60" ht="31.5" customHeight="1">
      <c r="B25" s="54" t="s">
        <v>49</v>
      </c>
      <c r="C25" s="56">
        <v>44581</v>
      </c>
      <c r="D25" s="176"/>
      <c r="E25" s="176"/>
      <c r="J25" s="197"/>
      <c r="K25" s="197"/>
      <c r="L25" s="197"/>
      <c r="M25" s="197"/>
      <c r="N25" s="197"/>
    </row>
    <row r="26" spans="2:60">
      <c r="B26" s="176"/>
      <c r="C26" s="176"/>
      <c r="D26" s="176"/>
      <c r="E26" s="176"/>
      <c r="J26" s="197"/>
      <c r="K26" s="197"/>
      <c r="L26" s="197"/>
      <c r="M26" s="197"/>
      <c r="N26" s="197"/>
    </row>
    <row r="27" spans="2:60" ht="15" customHeight="1">
      <c r="B27" s="541" t="s">
        <v>916</v>
      </c>
      <c r="C27" s="176"/>
      <c r="D27" s="176"/>
      <c r="E27" s="176"/>
      <c r="F27" s="175"/>
      <c r="G27" s="175"/>
      <c r="H27" s="1517"/>
      <c r="I27" s="1517"/>
      <c r="J27" s="1517"/>
      <c r="K27" s="1517"/>
      <c r="L27" s="1031"/>
      <c r="M27" s="1031"/>
      <c r="N27" s="1031"/>
    </row>
    <row r="28" spans="2:60" ht="15" customHeight="1">
      <c r="B28" s="176"/>
      <c r="C28" s="176"/>
      <c r="D28" s="176"/>
      <c r="E28" s="176"/>
      <c r="F28" s="175"/>
      <c r="G28" s="175"/>
      <c r="H28" s="176"/>
      <c r="I28" s="176"/>
      <c r="J28" s="198"/>
      <c r="K28" s="176"/>
      <c r="L28" s="176"/>
      <c r="M28" s="176"/>
      <c r="N28" s="176"/>
    </row>
    <row r="29" spans="2:60" ht="15" customHeight="1">
      <c r="B29" s="176"/>
      <c r="C29" s="176"/>
      <c r="D29" s="176"/>
      <c r="E29" s="176"/>
      <c r="F29" s="175"/>
      <c r="G29" s="175"/>
      <c r="H29" s="1517"/>
      <c r="I29" s="1517"/>
      <c r="J29" s="1517"/>
      <c r="K29" s="1517"/>
      <c r="L29" s="1031"/>
      <c r="M29" s="1031"/>
      <c r="N29" s="1031"/>
    </row>
    <row r="30" spans="2:60" ht="15" customHeight="1">
      <c r="B30" s="176"/>
      <c r="C30" s="176"/>
      <c r="D30" s="176"/>
      <c r="E30" s="176"/>
      <c r="F30" s="175"/>
      <c r="G30" s="175"/>
      <c r="H30" s="176"/>
      <c r="I30" s="176"/>
      <c r="J30" s="198"/>
      <c r="K30" s="176"/>
      <c r="L30" s="176"/>
      <c r="M30" s="176"/>
      <c r="N30" s="176"/>
    </row>
    <row r="31" spans="2:60" ht="15" customHeight="1">
      <c r="B31" s="176"/>
      <c r="C31" s="176"/>
      <c r="D31" s="176"/>
      <c r="E31" s="176"/>
      <c r="F31" s="175"/>
      <c r="G31" s="175"/>
      <c r="H31" s="1517"/>
      <c r="I31" s="1517"/>
      <c r="J31" s="1517"/>
      <c r="K31" s="1517"/>
      <c r="L31" s="1031"/>
      <c r="M31" s="1031"/>
      <c r="N31" s="1031"/>
    </row>
  </sheetData>
  <sheetProtection algorithmName="SHA-512" hashValue="91Lp7NZAz+/Tpf2J1lTYhVRWcL35r5D7EGpHAXB9JVWWsvL67455jkLpX97sjcpEQlfyPzuisnFu3vWJ9sxWwQ==" saltValue="abWMn/jVSO4gchQXn1dvqA==" spinCount="100000" sheet="1" objects="1" scenarios="1"/>
  <mergeCells count="70">
    <mergeCell ref="Z14:AA14"/>
    <mergeCell ref="BE13:BE15"/>
    <mergeCell ref="BF13:BF15"/>
    <mergeCell ref="BG13:BG15"/>
    <mergeCell ref="BH13:BH15"/>
    <mergeCell ref="AP14:AQ14"/>
    <mergeCell ref="AH14:AI14"/>
    <mergeCell ref="AJ14:AK14"/>
    <mergeCell ref="AL14:AM14"/>
    <mergeCell ref="AN14:AO14"/>
    <mergeCell ref="BA12:BD12"/>
    <mergeCell ref="BA13:BA15"/>
    <mergeCell ref="BB13:BB15"/>
    <mergeCell ref="BC13:BC15"/>
    <mergeCell ref="BD13:BD15"/>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H27:K27"/>
    <mergeCell ref="H29:K29"/>
    <mergeCell ref="H31:K31"/>
    <mergeCell ref="K23:N23"/>
    <mergeCell ref="M12:M15"/>
    <mergeCell ref="D22:N22"/>
    <mergeCell ref="F12:F15"/>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s>
  <conditionalFormatting sqref="BA16:BD19">
    <cfRule type="cellIs" dxfId="70" priority="1" operator="greaterThan">
      <formula>1</formula>
    </cfRule>
    <cfRule type="cellIs" dxfId="69" priority="14" operator="between">
      <formula>0.8</formula>
      <formula>1</formula>
    </cfRule>
    <cfRule type="cellIs" dxfId="68" priority="15" operator="between">
      <formula>0.61</formula>
      <formula>0.79</formula>
    </cfRule>
    <cfRule type="cellIs" dxfId="67"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92D050"/>
  </sheetPr>
  <dimension ref="B1:BH31"/>
  <sheetViews>
    <sheetView showGridLines="0" zoomScale="50" zoomScaleNormal="50"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47.44140625" style="105" customWidth="1"/>
    <col min="4" max="4" width="49.6640625" style="105" customWidth="1"/>
    <col min="5" max="6" width="27.5546875" style="105" customWidth="1"/>
    <col min="7" max="8" width="29.33203125" style="106" customWidth="1"/>
    <col min="9" max="9" width="30.6640625" style="105" customWidth="1"/>
    <col min="10" max="10" width="31.88671875"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0" ht="15.6" thickBot="1"/>
    <row r="2" spans="2:60" ht="15.6" customHeight="1">
      <c r="B2" s="1496"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5.6" customHeight="1">
      <c r="B3" s="1497"/>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5" customHeight="1">
      <c r="B4" s="1497"/>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ustomHeight="1">
      <c r="B5" s="1497"/>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498"/>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487">
        <v>44306</v>
      </c>
      <c r="BH6" s="1488"/>
    </row>
    <row r="7" spans="2: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1">
      <c r="B8" s="183" t="s">
        <v>45</v>
      </c>
      <c r="C8" s="1568" t="s">
        <v>80</v>
      </c>
      <c r="D8" s="1568"/>
      <c r="E8" s="184"/>
      <c r="F8" s="184"/>
      <c r="G8" s="184"/>
      <c r="H8" s="184"/>
      <c r="I8" s="184"/>
      <c r="J8" s="184"/>
      <c r="K8" s="184"/>
      <c r="L8" s="184"/>
      <c r="M8" s="184"/>
      <c r="N8" s="184"/>
      <c r="O8" s="184"/>
      <c r="AW8" s="1035"/>
      <c r="AX8" s="1035"/>
      <c r="AY8" s="1035"/>
      <c r="AZ8" s="1035"/>
      <c r="BA8" s="1035"/>
      <c r="BB8" s="1035"/>
      <c r="BC8" s="1035"/>
      <c r="BD8" s="1035"/>
    </row>
    <row r="9" spans="2:60" ht="56.25" customHeight="1">
      <c r="B9" s="183" t="s">
        <v>34</v>
      </c>
      <c r="C9" s="1573" t="s">
        <v>597</v>
      </c>
      <c r="D9" s="1574"/>
      <c r="E9" s="184"/>
      <c r="F9" s="184"/>
      <c r="G9" s="184"/>
      <c r="H9" s="184"/>
      <c r="I9" s="184"/>
      <c r="J9" s="184"/>
      <c r="K9" s="184"/>
      <c r="L9" s="184"/>
      <c r="M9" s="184"/>
      <c r="N9" s="184"/>
      <c r="O9" s="184"/>
      <c r="AW9" s="1035"/>
      <c r="AX9" s="1035"/>
      <c r="AY9" s="1035"/>
      <c r="AZ9" s="1035"/>
      <c r="BA9" s="1035"/>
      <c r="BB9" s="1035"/>
      <c r="BC9" s="1035"/>
      <c r="BD9" s="1035"/>
    </row>
    <row r="10" spans="2:60"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22.2" customHeight="1">
      <c r="B12" s="1430" t="s">
        <v>0</v>
      </c>
      <c r="C12" s="1430" t="s">
        <v>52</v>
      </c>
      <c r="D12" s="1430" t="s">
        <v>704</v>
      </c>
      <c r="E12" s="1430" t="s">
        <v>61</v>
      </c>
      <c r="F12" s="1430"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75" t="s">
        <v>676</v>
      </c>
      <c r="AX12" s="1576"/>
      <c r="AY12" s="1576"/>
      <c r="AZ12" s="1577"/>
      <c r="BA12" s="1578" t="s">
        <v>677</v>
      </c>
      <c r="BB12" s="1579"/>
      <c r="BC12" s="1579"/>
      <c r="BD12" s="1580"/>
      <c r="BE12" s="1569" t="s">
        <v>678</v>
      </c>
      <c r="BF12" s="1570"/>
      <c r="BG12" s="1570"/>
      <c r="BH12" s="1571"/>
    </row>
    <row r="13" spans="2:60" ht="15.6">
      <c r="B13" s="1430"/>
      <c r="C13" s="1430"/>
      <c r="D13" s="1430"/>
      <c r="E13" s="1430"/>
      <c r="F13" s="1430"/>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15.6">
      <c r="B14" s="1430"/>
      <c r="C14" s="1430"/>
      <c r="D14" s="1430"/>
      <c r="E14" s="1430"/>
      <c r="F14" s="1430"/>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13.2" customHeight="1">
      <c r="B15" s="1430"/>
      <c r="C15" s="1430"/>
      <c r="D15" s="1430"/>
      <c r="E15" s="1430"/>
      <c r="F15" s="1430"/>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0" ht="106.5" customHeight="1">
      <c r="B16" s="1540" t="str">
        <f>+'01-FR-03 POA INSTITUCIONAL'!B96</f>
        <v xml:space="preserve">5. Incorporar una cultura del conocimiento y la innovación a través de actividades que permitan el desarrollo de ideas, lecciones aprendidas e investigaciones para mejorar los resultados de la gestión institucional. </v>
      </c>
      <c r="C16" s="1584" t="str">
        <f>+'01-FR-03 POA INSTITUCIONAL'!C96</f>
        <v>5.1 Generar el 100% de productos de nuevo conocimiento o transformar los existentes, alineados con proyectos resultados de la investigación, desarrollo e innovación (I+D+I) en la Entidad.</v>
      </c>
      <c r="D16" s="27" t="str">
        <f>+'01-FR-03 POA INSTITUCIONAL'!D96</f>
        <v xml:space="preserve">5.1.1 Elaborar cuatro (4) proyectos de investigación, desarrollo e innovación I+D+I para la Entidad </v>
      </c>
      <c r="E16" s="38">
        <f>+'01-FR-03 POA INSTITUCIONAL'!E96</f>
        <v>0.5</v>
      </c>
      <c r="F16" s="206">
        <f>+'01-FR-03 POA INSTITUCIONAL'!F96</f>
        <v>4</v>
      </c>
      <c r="G16" s="47">
        <f>+'01-FR-03 POA INSTITUCIONAL'!L96</f>
        <v>1</v>
      </c>
      <c r="H16" s="1030">
        <f>+'01-FR-03 POA INSTITUCIONAL'!G96</f>
        <v>2</v>
      </c>
      <c r="I16" s="1030" t="str">
        <f>+'01-FR-03 POA INSTITUCIONAL'!H96</f>
        <v>Proyectos de Investigación, Desarrollo e Innovación (I+D+I) elaborados</v>
      </c>
      <c r="J16" s="185" t="s">
        <v>665</v>
      </c>
      <c r="K16" s="400" t="s">
        <v>598</v>
      </c>
      <c r="L16" s="187" t="s">
        <v>599</v>
      </c>
      <c r="M16" s="205" t="s">
        <v>600</v>
      </c>
      <c r="N16" s="205" t="s">
        <v>601</v>
      </c>
      <c r="O16" s="55" t="str">
        <f>+'01-FR-03 POA INSTITUCIONAL'!J96</f>
        <v xml:space="preserve">Dirección de Gestión del Conocimiento e Innovación </v>
      </c>
      <c r="P16" s="826">
        <v>0</v>
      </c>
      <c r="Q16" s="826">
        <v>0</v>
      </c>
      <c r="R16" s="826">
        <v>0</v>
      </c>
      <c r="S16" s="826">
        <v>0</v>
      </c>
      <c r="T16" s="826">
        <v>0</v>
      </c>
      <c r="U16" s="826">
        <v>0</v>
      </c>
      <c r="V16" s="64">
        <f>P16+R16+T16</f>
        <v>0</v>
      </c>
      <c r="W16" s="64">
        <f>Q16+S16+U16</f>
        <v>0</v>
      </c>
      <c r="X16" s="822">
        <v>0</v>
      </c>
      <c r="Y16" s="822">
        <v>0</v>
      </c>
      <c r="Z16" s="822">
        <v>0</v>
      </c>
      <c r="AA16" s="822">
        <v>0</v>
      </c>
      <c r="AB16" s="822">
        <v>0</v>
      </c>
      <c r="AC16" s="826">
        <v>0</v>
      </c>
      <c r="AD16" s="64">
        <f>X16+Z16+AB16</f>
        <v>0</v>
      </c>
      <c r="AE16" s="64">
        <f>Y16+AA16+AC16</f>
        <v>0</v>
      </c>
      <c r="AF16" s="822">
        <v>0</v>
      </c>
      <c r="AG16" s="822">
        <v>0</v>
      </c>
      <c r="AH16" s="822">
        <v>0</v>
      </c>
      <c r="AI16" s="822">
        <v>0</v>
      </c>
      <c r="AJ16" s="825">
        <v>0</v>
      </c>
      <c r="AK16" s="827">
        <v>0</v>
      </c>
      <c r="AL16" s="64">
        <f>AF16+AH16+AJ16</f>
        <v>0</v>
      </c>
      <c r="AM16" s="64">
        <f>AG16+AI16+AK16</f>
        <v>0</v>
      </c>
      <c r="AN16" s="822">
        <v>0</v>
      </c>
      <c r="AO16" s="822">
        <v>0</v>
      </c>
      <c r="AP16" s="822">
        <v>1</v>
      </c>
      <c r="AQ16" s="822">
        <v>1</v>
      </c>
      <c r="AR16" s="822">
        <v>0</v>
      </c>
      <c r="AS16" s="826">
        <v>0</v>
      </c>
      <c r="AT16" s="64">
        <f>AN16+AP16+AR16</f>
        <v>1</v>
      </c>
      <c r="AU16" s="64">
        <f>AO16+AQ16+AS16</f>
        <v>1</v>
      </c>
      <c r="AV16" s="206">
        <f>V16+AD16+AL16+AT16</f>
        <v>1</v>
      </c>
      <c r="AW16" s="57">
        <f>+W16</f>
        <v>0</v>
      </c>
      <c r="AX16" s="57">
        <f>+W16+AE16</f>
        <v>0</v>
      </c>
      <c r="AY16" s="57">
        <f>+W16+AE16+AM16</f>
        <v>0</v>
      </c>
      <c r="AZ16" s="57">
        <f>+W16+AE16+AM16+AU16</f>
        <v>1</v>
      </c>
      <c r="BA16" s="34">
        <f>IF(AND(AW16&gt;0,$AV16&gt;0),AW16/$AV16,0)</f>
        <v>0</v>
      </c>
      <c r="BB16" s="34">
        <f t="shared" ref="BB16:BD19" si="0">IF(AND(AX16&gt;0,$AV16&gt;0),AX16/$AV16,0)</f>
        <v>0</v>
      </c>
      <c r="BC16" s="34">
        <f t="shared" si="0"/>
        <v>0</v>
      </c>
      <c r="BD16" s="34">
        <f t="shared" si="0"/>
        <v>1</v>
      </c>
      <c r="BE16" s="274">
        <f>(IF(AND(AW16&gt;0,$F16&gt;0),AW16/$F16,0))</f>
        <v>0</v>
      </c>
      <c r="BF16" s="274">
        <f t="shared" ref="BF16:BH19" si="1">(IF(AND(AX16&gt;0,$F16&gt;0),AX16/$F16,0))</f>
        <v>0</v>
      </c>
      <c r="BG16" s="274">
        <f t="shared" si="1"/>
        <v>0</v>
      </c>
      <c r="BH16" s="274">
        <f t="shared" si="1"/>
        <v>0.25</v>
      </c>
    </row>
    <row r="17" spans="2:60" ht="106.5" customHeight="1">
      <c r="B17" s="1541"/>
      <c r="C17" s="1585"/>
      <c r="D17" s="27" t="str">
        <f>+'01-FR-03 POA INSTITUCIONAL'!D97</f>
        <v>5.1.2. Entregar dos (2) productos resultado de los proyectos de investigación, desarrollo e innovación (I+D+I) realizados en la Entidad para la comunidad</v>
      </c>
      <c r="E17" s="38">
        <f>+'01-FR-03 POA INSTITUCIONAL'!E97</f>
        <v>0.5</v>
      </c>
      <c r="F17" s="206">
        <f>+'01-FR-03 POA INSTITUCIONAL'!F97</f>
        <v>2</v>
      </c>
      <c r="G17" s="47">
        <f>+'01-FR-03 POA INSTITUCIONAL'!L97</f>
        <v>1</v>
      </c>
      <c r="H17" s="1030" t="str">
        <f>+'01-FR-03 POA INSTITUCIONAL'!G97</f>
        <v>S.I.</v>
      </c>
      <c r="I17" s="1030" t="str">
        <f>+'01-FR-03 POA INSTITUCIONAL'!H97</f>
        <v>Productos resultado de investigaciones, entregadas para la comunidad</v>
      </c>
      <c r="J17" s="185" t="s">
        <v>665</v>
      </c>
      <c r="K17" s="400" t="s">
        <v>603</v>
      </c>
      <c r="L17" s="187" t="s">
        <v>604</v>
      </c>
      <c r="M17" s="205" t="s">
        <v>600</v>
      </c>
      <c r="N17" s="205" t="s">
        <v>601</v>
      </c>
      <c r="O17" s="55" t="str">
        <f>+'[4]01-FR-03 POA INSTITUCIONAL'!J97</f>
        <v xml:space="preserve">Dirección de Gestión del Conocimiento e Innovación </v>
      </c>
      <c r="P17" s="826">
        <v>0</v>
      </c>
      <c r="Q17" s="826">
        <v>0</v>
      </c>
      <c r="R17" s="826">
        <v>0</v>
      </c>
      <c r="S17" s="826">
        <v>0</v>
      </c>
      <c r="T17" s="826">
        <v>0</v>
      </c>
      <c r="U17" s="826">
        <v>0</v>
      </c>
      <c r="V17" s="64">
        <f>P17+R17+T17</f>
        <v>0</v>
      </c>
      <c r="W17" s="64">
        <f>Q17+S17+U17</f>
        <v>0</v>
      </c>
      <c r="X17" s="822">
        <v>0</v>
      </c>
      <c r="Y17" s="822">
        <v>0</v>
      </c>
      <c r="Z17" s="822">
        <v>0</v>
      </c>
      <c r="AA17" s="822">
        <v>0</v>
      </c>
      <c r="AB17" s="822">
        <v>0</v>
      </c>
      <c r="AC17" s="826">
        <v>0</v>
      </c>
      <c r="AD17" s="64">
        <f>X17+Z17+AB17</f>
        <v>0</v>
      </c>
      <c r="AE17" s="64">
        <f>Y17+AA17+AC17</f>
        <v>0</v>
      </c>
      <c r="AF17" s="822">
        <v>0</v>
      </c>
      <c r="AG17" s="822">
        <v>0</v>
      </c>
      <c r="AH17" s="822">
        <v>0</v>
      </c>
      <c r="AI17" s="822">
        <v>0</v>
      </c>
      <c r="AJ17" s="825">
        <v>0</v>
      </c>
      <c r="AK17" s="827">
        <v>0</v>
      </c>
      <c r="AL17" s="64">
        <f>AF17+AH17+AJ17</f>
        <v>0</v>
      </c>
      <c r="AM17" s="64">
        <f>AG17+AI17+AK17</f>
        <v>0</v>
      </c>
      <c r="AN17" s="822">
        <v>0</v>
      </c>
      <c r="AO17" s="822">
        <v>0</v>
      </c>
      <c r="AP17" s="822">
        <v>1</v>
      </c>
      <c r="AQ17" s="822">
        <v>1</v>
      </c>
      <c r="AR17" s="822">
        <v>0</v>
      </c>
      <c r="AS17" s="826">
        <v>0</v>
      </c>
      <c r="AT17" s="64">
        <f>AN17+AP17+AR17</f>
        <v>1</v>
      </c>
      <c r="AU17" s="64">
        <f>AO17+AQ17+AS17</f>
        <v>1</v>
      </c>
      <c r="AV17" s="206">
        <f>V17+AD17+AL17+AT17</f>
        <v>1</v>
      </c>
      <c r="AW17" s="57">
        <f>+W17</f>
        <v>0</v>
      </c>
      <c r="AX17" s="57">
        <f>+W17+AE17</f>
        <v>0</v>
      </c>
      <c r="AY17" s="57">
        <f>+W17+AE17+AM17</f>
        <v>0</v>
      </c>
      <c r="AZ17" s="57">
        <f>+W17+AE17+AM17+AU17</f>
        <v>1</v>
      </c>
      <c r="BA17" s="34">
        <f>IF(AND(AW17&gt;0,$AV17&gt;0),AW17/$AV17,0)</f>
        <v>0</v>
      </c>
      <c r="BB17" s="34">
        <f t="shared" ref="BB17" si="2">IF(AND(AX17&gt;0,$AV17&gt;0),AX17/$AV17,0)</f>
        <v>0</v>
      </c>
      <c r="BC17" s="34">
        <f t="shared" ref="BC17" si="3">IF(AND(AY17&gt;0,$AV17&gt;0),AY17/$AV17,0)</f>
        <v>0</v>
      </c>
      <c r="BD17" s="34">
        <f t="shared" ref="BD17" si="4">IF(AND(AZ17&gt;0,$AV17&gt;0),AZ17/$AV17,0)</f>
        <v>1</v>
      </c>
      <c r="BE17" s="274">
        <f>(IF(AND(AW17&gt;0,$F17&gt;0),AW17/$F17,0))</f>
        <v>0</v>
      </c>
      <c r="BF17" s="274">
        <f t="shared" ref="BF17" si="5">(IF(AND(AX17&gt;0,$F17&gt;0),AX17/$F17,0))</f>
        <v>0</v>
      </c>
      <c r="BG17" s="274">
        <f t="shared" ref="BG17" si="6">(IF(AND(AY17&gt;0,$F17&gt;0),AY17/$F17,0))</f>
        <v>0</v>
      </c>
      <c r="BH17" s="274">
        <f t="shared" ref="BH17" si="7">(IF(AND(AZ17&gt;0,$F17&gt;0),AZ17/$F17,0))</f>
        <v>0.5</v>
      </c>
    </row>
    <row r="18" spans="2:60" ht="90">
      <c r="B18" s="1541"/>
      <c r="C18" s="27" t="str">
        <f>+'01-FR-03 POA INSTITUCIONAL'!C98</f>
        <v>5.2 Formular el 100% de herramientas y acciones que permitan categorizar, preservar y utilizar el conocimiento para la toma de decisiones y compartir fácilmente los datos y la información de la Entidad.</v>
      </c>
      <c r="D18" s="27" t="str">
        <f>+'01-FR-03 POA INSTITUCIONAL'!D98</f>
        <v xml:space="preserve">5.2.1 Construir ocho (8) informes de investigación e innovación que reflejen la analítica institucional </v>
      </c>
      <c r="E18" s="38">
        <f>+'01-FR-03 POA INSTITUCIONAL'!E98</f>
        <v>1</v>
      </c>
      <c r="F18" s="206">
        <f>+'01-FR-03 POA INSTITUCIONAL'!F98</f>
        <v>8</v>
      </c>
      <c r="G18" s="47">
        <f>+'01-FR-03 POA INSTITUCIONAL'!L98</f>
        <v>2</v>
      </c>
      <c r="H18" s="1030" t="str">
        <f>+'01-FR-03 POA INSTITUCIONAL'!G98</f>
        <v>S.I.</v>
      </c>
      <c r="I18" s="1030" t="str">
        <f>+'01-FR-03 POA INSTITUCIONAL'!H98</f>
        <v>Informes de investigación e innovación construidos</v>
      </c>
      <c r="J18" s="207" t="s">
        <v>602</v>
      </c>
      <c r="K18" s="400" t="s">
        <v>603</v>
      </c>
      <c r="L18" s="187" t="s">
        <v>604</v>
      </c>
      <c r="M18" s="205" t="s">
        <v>600</v>
      </c>
      <c r="N18" s="205" t="s">
        <v>601</v>
      </c>
      <c r="O18" s="55" t="str">
        <f>+'01-FR-03 POA INSTITUCIONAL'!J98</f>
        <v xml:space="preserve">Dirección de Gestión del Conocimiento e Innovación </v>
      </c>
      <c r="P18" s="826">
        <v>0</v>
      </c>
      <c r="Q18" s="826">
        <v>0</v>
      </c>
      <c r="R18" s="826">
        <v>0</v>
      </c>
      <c r="S18" s="826">
        <v>0</v>
      </c>
      <c r="T18" s="826">
        <v>0</v>
      </c>
      <c r="U18" s="826">
        <v>0</v>
      </c>
      <c r="V18" s="64">
        <f t="shared" ref="V18:W19" si="8">P18+R18+T18</f>
        <v>0</v>
      </c>
      <c r="W18" s="64">
        <f t="shared" si="8"/>
        <v>0</v>
      </c>
      <c r="X18" s="822">
        <v>0</v>
      </c>
      <c r="Y18" s="822">
        <v>0</v>
      </c>
      <c r="Z18" s="822">
        <v>0</v>
      </c>
      <c r="AA18" s="822">
        <v>0</v>
      </c>
      <c r="AB18" s="822">
        <v>1</v>
      </c>
      <c r="AC18" s="826">
        <v>1</v>
      </c>
      <c r="AD18" s="64">
        <f t="shared" ref="AD18:AE19" si="9">X18+Z18+AB18</f>
        <v>1</v>
      </c>
      <c r="AE18" s="64">
        <f t="shared" si="9"/>
        <v>1</v>
      </c>
      <c r="AF18" s="822">
        <v>0</v>
      </c>
      <c r="AG18" s="822">
        <v>0</v>
      </c>
      <c r="AH18" s="822">
        <v>0</v>
      </c>
      <c r="AI18" s="822">
        <v>0</v>
      </c>
      <c r="AJ18" s="825">
        <v>0</v>
      </c>
      <c r="AK18" s="827">
        <v>0</v>
      </c>
      <c r="AL18" s="64">
        <f t="shared" ref="AL18:AM19" si="10">AF18+AH18+AJ18</f>
        <v>0</v>
      </c>
      <c r="AM18" s="64">
        <f t="shared" si="10"/>
        <v>0</v>
      </c>
      <c r="AN18" s="822">
        <v>0</v>
      </c>
      <c r="AO18" s="822">
        <v>0</v>
      </c>
      <c r="AP18" s="822">
        <v>1</v>
      </c>
      <c r="AQ18" s="822">
        <v>1</v>
      </c>
      <c r="AR18" s="822">
        <v>0</v>
      </c>
      <c r="AS18" s="826">
        <v>0</v>
      </c>
      <c r="AT18" s="64">
        <f t="shared" ref="AT18:AU19" si="11">AN18+AP18+AR18</f>
        <v>1</v>
      </c>
      <c r="AU18" s="64">
        <f t="shared" si="11"/>
        <v>1</v>
      </c>
      <c r="AV18" s="206">
        <f t="shared" ref="AV18:AV19" si="12">V18+AD18+AL18+AT18</f>
        <v>2</v>
      </c>
      <c r="AW18" s="57">
        <f>+W18</f>
        <v>0</v>
      </c>
      <c r="AX18" s="57">
        <f>+W18+AE18</f>
        <v>1</v>
      </c>
      <c r="AY18" s="57">
        <f>+W18+AE18+AM18</f>
        <v>1</v>
      </c>
      <c r="AZ18" s="57">
        <f>+W18+AE18+AM18+AU18</f>
        <v>2</v>
      </c>
      <c r="BA18" s="34">
        <f>IF(AND(AW18&gt;0,AV18&gt;0),AW18/AV18,0)</f>
        <v>0</v>
      </c>
      <c r="BB18" s="34">
        <f t="shared" si="0"/>
        <v>0.5</v>
      </c>
      <c r="BC18" s="34">
        <f t="shared" si="0"/>
        <v>0.5</v>
      </c>
      <c r="BD18" s="34">
        <f t="shared" si="0"/>
        <v>1</v>
      </c>
      <c r="BE18" s="274">
        <f>(IF(AND(AW18&gt;0,$F18&gt;0),AW18/$F18,0))</f>
        <v>0</v>
      </c>
      <c r="BF18" s="274">
        <f t="shared" si="1"/>
        <v>0.125</v>
      </c>
      <c r="BG18" s="274">
        <f t="shared" si="1"/>
        <v>0.125</v>
      </c>
      <c r="BH18" s="274">
        <f t="shared" si="1"/>
        <v>0.25</v>
      </c>
    </row>
    <row r="19" spans="2:60" ht="105" customHeight="1">
      <c r="B19" s="1582"/>
      <c r="C19" s="27"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9" s="27" t="str">
        <f>+'01-FR-03 POA INSTITUCIONAL'!D99</f>
        <v>5.3.1 Desarrollar ochenta (80) actividades de apropiación social del conocimiento para la creación de la cultura de la investigación e innovación.</v>
      </c>
      <c r="E19" s="38">
        <f>+'01-FR-03 POA INSTITUCIONAL'!E99</f>
        <v>1</v>
      </c>
      <c r="F19" s="206">
        <f>+'01-FR-03 POA INSTITUCIONAL'!F99</f>
        <v>80</v>
      </c>
      <c r="G19" s="47">
        <f>+'01-FR-03 POA INSTITUCIONAL'!L99</f>
        <v>38</v>
      </c>
      <c r="H19" s="1030">
        <f>+'01-FR-03 POA INSTITUCIONAL'!G99</f>
        <v>3</v>
      </c>
      <c r="I19" s="1030" t="str">
        <f>+'01-FR-03 POA INSTITUCIONAL'!H99</f>
        <v>Actividades de apropiación social del conocimiento desarrolladas</v>
      </c>
      <c r="J19" s="185" t="s">
        <v>605</v>
      </c>
      <c r="K19" s="400" t="s">
        <v>606</v>
      </c>
      <c r="L19" s="187" t="s">
        <v>607</v>
      </c>
      <c r="M19" s="205" t="s">
        <v>600</v>
      </c>
      <c r="N19" s="205" t="s">
        <v>601</v>
      </c>
      <c r="O19" s="55" t="str">
        <f>+'01-FR-03 POA INSTITUCIONAL'!J99</f>
        <v xml:space="preserve">Dirección de Gestión del Conocimiento e Innovación </v>
      </c>
      <c r="P19" s="826">
        <v>0</v>
      </c>
      <c r="Q19" s="826">
        <v>0</v>
      </c>
      <c r="R19" s="826">
        <v>3</v>
      </c>
      <c r="S19" s="826">
        <v>3</v>
      </c>
      <c r="T19" s="826">
        <v>3</v>
      </c>
      <c r="U19" s="826">
        <v>6</v>
      </c>
      <c r="V19" s="64">
        <f t="shared" si="8"/>
        <v>6</v>
      </c>
      <c r="W19" s="64">
        <f t="shared" si="8"/>
        <v>9</v>
      </c>
      <c r="X19" s="822">
        <v>4</v>
      </c>
      <c r="Y19" s="822">
        <v>4</v>
      </c>
      <c r="Z19" s="822">
        <v>4</v>
      </c>
      <c r="AA19" s="822">
        <v>4</v>
      </c>
      <c r="AB19" s="822">
        <v>4</v>
      </c>
      <c r="AC19" s="826">
        <v>4</v>
      </c>
      <c r="AD19" s="64">
        <f t="shared" si="9"/>
        <v>12</v>
      </c>
      <c r="AE19" s="64">
        <f t="shared" si="9"/>
        <v>12</v>
      </c>
      <c r="AF19" s="822">
        <v>4</v>
      </c>
      <c r="AG19" s="822">
        <v>4</v>
      </c>
      <c r="AH19" s="822">
        <v>4</v>
      </c>
      <c r="AI19" s="822">
        <v>4</v>
      </c>
      <c r="AJ19" s="825">
        <v>4</v>
      </c>
      <c r="AK19" s="827">
        <v>2</v>
      </c>
      <c r="AL19" s="64">
        <f t="shared" si="10"/>
        <v>12</v>
      </c>
      <c r="AM19" s="64">
        <f t="shared" si="10"/>
        <v>10</v>
      </c>
      <c r="AN19" s="822">
        <v>4</v>
      </c>
      <c r="AO19" s="822">
        <v>4</v>
      </c>
      <c r="AP19" s="822">
        <v>4</v>
      </c>
      <c r="AQ19" s="822">
        <v>3</v>
      </c>
      <c r="AR19" s="822">
        <v>0</v>
      </c>
      <c r="AS19" s="826">
        <v>0</v>
      </c>
      <c r="AT19" s="64">
        <f t="shared" si="11"/>
        <v>8</v>
      </c>
      <c r="AU19" s="64">
        <f t="shared" si="11"/>
        <v>7</v>
      </c>
      <c r="AV19" s="206">
        <f t="shared" si="12"/>
        <v>38</v>
      </c>
      <c r="AW19" s="57">
        <f>+W19</f>
        <v>9</v>
      </c>
      <c r="AX19" s="57">
        <f>+W19+AE19</f>
        <v>21</v>
      </c>
      <c r="AY19" s="57">
        <f>+W19+AE19+AM19</f>
        <v>31</v>
      </c>
      <c r="AZ19" s="57">
        <f>+W19+AE19+AM19+AU19</f>
        <v>38</v>
      </c>
      <c r="BA19" s="34">
        <f>IF(AND(AW19&gt;0,AV19&gt;0),AW19/AV19,0)</f>
        <v>0.23684210526315788</v>
      </c>
      <c r="BB19" s="34">
        <f t="shared" si="0"/>
        <v>0.55263157894736847</v>
      </c>
      <c r="BC19" s="281">
        <f t="shared" si="0"/>
        <v>0.81578947368421051</v>
      </c>
      <c r="BD19" s="281">
        <f t="shared" si="0"/>
        <v>1</v>
      </c>
      <c r="BE19" s="274">
        <f>(IF(AND(AW19&gt;0,$F19&gt;0),AW19/$F19,0))</f>
        <v>0.1125</v>
      </c>
      <c r="BF19" s="274">
        <f t="shared" si="1"/>
        <v>0.26250000000000001</v>
      </c>
      <c r="BG19" s="274">
        <f t="shared" si="1"/>
        <v>0.38750000000000001</v>
      </c>
      <c r="BH19" s="274">
        <f t="shared" si="1"/>
        <v>0.47499999999999998</v>
      </c>
    </row>
    <row r="20" spans="2:60" ht="22.8">
      <c r="B20" s="1504"/>
      <c r="C20" s="1505"/>
      <c r="D20" s="1505"/>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1505"/>
      <c r="AL20" s="1505"/>
      <c r="AM20" s="1505"/>
      <c r="AN20" s="1505"/>
      <c r="AO20" s="1505"/>
      <c r="AP20" s="1505"/>
      <c r="AQ20" s="1505"/>
      <c r="AR20" s="1505"/>
      <c r="AS20" s="1505"/>
      <c r="AT20" s="1505"/>
      <c r="AU20" s="1505"/>
      <c r="AV20" s="1505"/>
      <c r="AW20" s="1583"/>
      <c r="AX20" s="1538" t="s">
        <v>19</v>
      </c>
      <c r="AY20" s="1581"/>
      <c r="AZ20" s="1581"/>
      <c r="BA20" s="1037">
        <f t="shared" ref="BA20:BD20" si="13">AVERAGE(BA16:BA19)</f>
        <v>5.921052631578947E-2</v>
      </c>
      <c r="BB20" s="1037">
        <f t="shared" si="13"/>
        <v>0.26315789473684215</v>
      </c>
      <c r="BC20" s="1037">
        <f t="shared" si="13"/>
        <v>0.32894736842105265</v>
      </c>
      <c r="BD20" s="1036">
        <f t="shared" si="13"/>
        <v>1</v>
      </c>
      <c r="BE20" s="1564"/>
      <c r="BF20" s="1565"/>
      <c r="BG20" s="1565"/>
      <c r="BH20" s="1566"/>
    </row>
    <row r="21" spans="2:60">
      <c r="B21" s="1500"/>
      <c r="C21" s="1500"/>
      <c r="D21" s="1500"/>
      <c r="E21" s="1500"/>
      <c r="F21" s="1500"/>
      <c r="G21" s="1500"/>
      <c r="H21" s="208"/>
      <c r="I21" s="209"/>
      <c r="J21" s="209"/>
      <c r="K21" s="209"/>
      <c r="L21" s="209"/>
      <c r="M21" s="209"/>
      <c r="N21" s="209"/>
      <c r="O21" s="209"/>
    </row>
    <row r="22" spans="2:60">
      <c r="B22" s="209"/>
      <c r="C22" s="209"/>
      <c r="D22" s="1520"/>
      <c r="E22" s="1520"/>
      <c r="F22" s="1520"/>
      <c r="G22" s="1520"/>
      <c r="H22" s="1520"/>
      <c r="I22" s="1520"/>
      <c r="J22" s="1520"/>
      <c r="K22" s="1520"/>
      <c r="L22" s="1520"/>
      <c r="M22" s="1520"/>
      <c r="N22" s="1520"/>
      <c r="O22" s="1520"/>
    </row>
    <row r="23" spans="2:60" ht="15.6" customHeight="1">
      <c r="B23" s="54" t="s">
        <v>26</v>
      </c>
      <c r="C23" s="210">
        <v>44224</v>
      </c>
      <c r="D23" s="211"/>
      <c r="E23" s="1510" t="s">
        <v>50</v>
      </c>
      <c r="F23" s="1588" t="s">
        <v>1193</v>
      </c>
      <c r="G23" s="1589"/>
      <c r="H23" s="1589"/>
      <c r="I23" s="1589"/>
      <c r="J23" s="1590"/>
      <c r="K23" s="212"/>
      <c r="L23" s="1567"/>
      <c r="M23" s="1567"/>
      <c r="N23" s="1567"/>
      <c r="O23" s="1587"/>
    </row>
    <row r="24" spans="2:60" ht="15.6">
      <c r="B24" s="209"/>
      <c r="C24" s="209"/>
      <c r="D24" s="212"/>
      <c r="E24" s="1510"/>
      <c r="F24" s="1591"/>
      <c r="G24" s="1592"/>
      <c r="H24" s="1592"/>
      <c r="I24" s="1592"/>
      <c r="J24" s="1593"/>
      <c r="K24" s="209"/>
      <c r="L24" s="209"/>
      <c r="M24" s="209"/>
      <c r="N24" s="209"/>
      <c r="O24" s="209"/>
    </row>
    <row r="25" spans="2:60" ht="15.6">
      <c r="B25" s="54" t="s">
        <v>49</v>
      </c>
      <c r="C25" s="56">
        <v>44581</v>
      </c>
      <c r="D25" s="209"/>
      <c r="E25" s="209"/>
      <c r="F25" s="209"/>
      <c r="K25" s="209"/>
      <c r="L25" s="209"/>
      <c r="M25" s="209"/>
      <c r="N25" s="209"/>
      <c r="O25" s="209"/>
    </row>
    <row r="26" spans="2:60">
      <c r="B26" s="209"/>
      <c r="C26" s="209"/>
      <c r="D26" s="209"/>
      <c r="E26" s="209"/>
      <c r="F26" s="209"/>
      <c r="K26" s="209"/>
      <c r="L26" s="209"/>
      <c r="M26" s="209"/>
      <c r="N26" s="209"/>
      <c r="O26" s="209"/>
    </row>
    <row r="27" spans="2:60">
      <c r="B27" s="1047" t="s">
        <v>916</v>
      </c>
      <c r="C27" s="209"/>
      <c r="D27" s="209"/>
      <c r="E27" s="209"/>
      <c r="F27" s="209"/>
      <c r="G27" s="208"/>
      <c r="H27" s="208"/>
      <c r="I27" s="1586"/>
      <c r="J27" s="1586"/>
      <c r="K27" s="1586"/>
      <c r="L27" s="1586"/>
      <c r="M27" s="1034"/>
      <c r="N27" s="1034"/>
      <c r="O27" s="1034"/>
    </row>
    <row r="28" spans="2:60">
      <c r="B28" s="209"/>
      <c r="C28" s="209"/>
      <c r="D28" s="209"/>
      <c r="E28" s="209"/>
      <c r="F28" s="209"/>
      <c r="G28" s="208"/>
      <c r="H28" s="208"/>
      <c r="I28" s="209"/>
      <c r="J28" s="209"/>
      <c r="K28" s="214"/>
      <c r="L28" s="209"/>
      <c r="M28" s="209"/>
      <c r="N28" s="209"/>
      <c r="O28" s="209"/>
    </row>
    <row r="29" spans="2:60">
      <c r="B29" s="209"/>
      <c r="C29" s="209"/>
      <c r="D29" s="209"/>
      <c r="E29" s="209"/>
      <c r="F29" s="209"/>
      <c r="G29" s="208"/>
      <c r="H29" s="208"/>
      <c r="I29" s="1586"/>
      <c r="J29" s="1586"/>
      <c r="K29" s="1586"/>
      <c r="L29" s="1586"/>
      <c r="M29" s="1034"/>
      <c r="N29" s="1034"/>
      <c r="O29" s="1034"/>
    </row>
    <row r="30" spans="2:60">
      <c r="B30" s="209"/>
      <c r="C30" s="209"/>
      <c r="D30" s="209"/>
      <c r="E30" s="209"/>
      <c r="F30" s="209"/>
      <c r="G30" s="208"/>
      <c r="H30" s="208"/>
      <c r="I30" s="209"/>
      <c r="J30" s="209"/>
      <c r="K30" s="214"/>
      <c r="L30" s="209"/>
      <c r="M30" s="209"/>
      <c r="N30" s="209"/>
      <c r="O30" s="209"/>
    </row>
    <row r="31" spans="2:60">
      <c r="B31" s="209"/>
      <c r="C31" s="209"/>
      <c r="D31" s="209"/>
      <c r="E31" s="209"/>
      <c r="F31" s="209"/>
      <c r="G31" s="208"/>
      <c r="H31" s="208"/>
      <c r="I31" s="1586"/>
      <c r="J31" s="1586"/>
      <c r="K31" s="1586"/>
      <c r="L31" s="1586"/>
      <c r="M31" s="1034"/>
      <c r="N31" s="1034"/>
      <c r="O31" s="1034"/>
    </row>
  </sheetData>
  <sheetProtection algorithmName="SHA-512" hashValue="jwCx/oScW/h4mhrWp2CVPneenuILPPQTOtGt8ax0msxFi+1hwrKNwCpqDlzyOsh+dsqK3ojDLr5MmuaOAOB1PQ==" saltValue="YTuW6f9LZLIjehtXNx5s2Q==" spinCount="100000" sheet="1" objects="1" scenarios="1"/>
  <mergeCells count="71">
    <mergeCell ref="C16:C17"/>
    <mergeCell ref="I31:L31"/>
    <mergeCell ref="B21:G21"/>
    <mergeCell ref="D22:O22"/>
    <mergeCell ref="E23:E24"/>
    <mergeCell ref="L23:O23"/>
    <mergeCell ref="I27:L27"/>
    <mergeCell ref="I29:L29"/>
    <mergeCell ref="F23:J24"/>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AW12:AZ12"/>
    <mergeCell ref="BA12:BD12"/>
    <mergeCell ref="B12:B15"/>
    <mergeCell ref="C12:C15"/>
    <mergeCell ref="AX20:AZ20"/>
    <mergeCell ref="AD14:AE14"/>
    <mergeCell ref="AF14:AG14"/>
    <mergeCell ref="AH14:AI14"/>
    <mergeCell ref="AJ14:AK14"/>
    <mergeCell ref="AL14:AM14"/>
    <mergeCell ref="AN14:AO14"/>
    <mergeCell ref="AP14:AQ14"/>
    <mergeCell ref="AR14:AS14"/>
    <mergeCell ref="AT14:AU14"/>
    <mergeCell ref="B16:B19"/>
    <mergeCell ref="B20:AW20"/>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BE20:BH20"/>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s>
  <conditionalFormatting sqref="BA16:BD16 BA18:BD19">
    <cfRule type="cellIs" dxfId="66" priority="5" operator="greaterThan">
      <formula>1</formula>
    </cfRule>
    <cfRule type="cellIs" dxfId="65" priority="6" operator="between">
      <formula>0.8</formula>
      <formula>1</formula>
    </cfRule>
    <cfRule type="cellIs" dxfId="64" priority="7" operator="between">
      <formula>0.61</formula>
      <formula>0.79</formula>
    </cfRule>
    <cfRule type="cellIs" dxfId="63" priority="8" operator="between">
      <formula>0</formula>
      <formula>0.6</formula>
    </cfRule>
  </conditionalFormatting>
  <conditionalFormatting sqref="BA17:BD17">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92D050"/>
  </sheetPr>
  <dimension ref="B1:BI34"/>
  <sheetViews>
    <sheetView showGridLines="0" topLeftCell="A4" zoomScale="55" zoomScaleNormal="55"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6" width="27.5546875" style="105" customWidth="1"/>
    <col min="7" max="8" width="29.33203125" style="106" customWidth="1"/>
    <col min="9" max="9" width="36.44140625" style="105" customWidth="1"/>
    <col min="10" max="10" width="31.88671875"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1" ht="15.6" thickBot="1"/>
    <row r="2" spans="2:61" ht="15.6" customHeight="1">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1" ht="15.6" customHeight="1">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1"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1" ht="15.6" customHeight="1">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1"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1">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1" ht="21">
      <c r="B8" s="183" t="s">
        <v>45</v>
      </c>
      <c r="C8" s="1594" t="s">
        <v>81</v>
      </c>
      <c r="D8" s="1594"/>
      <c r="E8" s="184"/>
      <c r="F8" s="184"/>
      <c r="G8" s="184"/>
      <c r="H8" s="184"/>
      <c r="I8" s="184"/>
      <c r="J8" s="184"/>
      <c r="K8" s="184"/>
      <c r="L8" s="184"/>
      <c r="M8" s="184"/>
      <c r="N8" s="184"/>
      <c r="O8" s="184"/>
      <c r="AW8" s="1035"/>
      <c r="AX8" s="1035"/>
      <c r="AY8" s="1035"/>
      <c r="AZ8" s="1035"/>
      <c r="BA8" s="1035"/>
      <c r="BB8" s="1035"/>
      <c r="BC8" s="1035"/>
      <c r="BD8" s="1035"/>
    </row>
    <row r="9" spans="2:61" ht="96.75" customHeight="1">
      <c r="B9" s="183" t="s">
        <v>34</v>
      </c>
      <c r="C9" s="1534" t="s">
        <v>356</v>
      </c>
      <c r="D9" s="1535"/>
      <c r="E9" s="184"/>
      <c r="F9" s="184"/>
      <c r="G9" s="184"/>
      <c r="H9" s="184"/>
      <c r="I9" s="184"/>
      <c r="J9" s="184"/>
      <c r="K9" s="184"/>
      <c r="L9" s="184"/>
      <c r="M9" s="184"/>
      <c r="N9" s="184"/>
      <c r="O9" s="184"/>
      <c r="AW9" s="1035"/>
      <c r="AX9" s="1035"/>
      <c r="AY9" s="1035"/>
      <c r="AZ9" s="1035"/>
      <c r="BA9" s="1035"/>
      <c r="BB9" s="1035"/>
      <c r="BC9" s="1035"/>
      <c r="BD9" s="1035"/>
    </row>
    <row r="10" spans="2:61"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1">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1" ht="28.95"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2:61"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1"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1" ht="18"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1" ht="76.5" customHeight="1">
      <c r="B16" s="154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0" t="str">
        <f>+'01-FR-03 POA INSTITUCIONAL'!C48</f>
        <v>4.1. Implementar el 100% de las acciones que impulsen el crecimiento del Modelo de Madurez de Transformación Digital de la Entidad, aplicando los principios , lineamientos y normas que lo enmarcan.</v>
      </c>
      <c r="D16" s="27" t="str">
        <f>+'01-FR-03 POA INSTITUCIONAL'!D48</f>
        <v>4.1.1 Implementar el 100 % de los proyectos de hoja de ruta del Plan Estratégico de Tecnología de la Información de tal forma que se optimicen los procesos de la Entidad</v>
      </c>
      <c r="E16" s="38">
        <f>+'01-FR-03 POA INSTITUCIONAL'!E48</f>
        <v>0.14000000000000001</v>
      </c>
      <c r="F16" s="273">
        <f>+'01-FR-03 POA INSTITUCIONAL'!F48</f>
        <v>1</v>
      </c>
      <c r="G16" s="132">
        <f>+'01-FR-03 POA INSTITUCIONAL'!L48</f>
        <v>0.4</v>
      </c>
      <c r="H16" s="1030" t="str">
        <f>+'01-FR-03 POA INSTITUCIONAL'!G48</f>
        <v>S.I.</v>
      </c>
      <c r="I16" s="215" t="str">
        <f>+'01-FR-03 POA INSTITUCIONAL'!H48</f>
        <v>Porcentaje de proyectos implementados de acuerdo al plan de tecnologías de la Información</v>
      </c>
      <c r="J16" s="400" t="s">
        <v>332</v>
      </c>
      <c r="K16" s="400" t="s">
        <v>333</v>
      </c>
      <c r="L16" s="187" t="s">
        <v>334</v>
      </c>
      <c r="M16" s="216" t="s">
        <v>335</v>
      </c>
      <c r="N16" s="400" t="s">
        <v>336</v>
      </c>
      <c r="O16" s="401" t="str">
        <f>+'01-FR-03 POA INSTITUCIONAL'!J48</f>
        <v>Dirección de Tecnologías de la  Información y las Comunicaciones</v>
      </c>
      <c r="P16" s="828">
        <v>0.02</v>
      </c>
      <c r="Q16" s="828">
        <v>0.02</v>
      </c>
      <c r="R16" s="828">
        <v>0.02</v>
      </c>
      <c r="S16" s="828">
        <v>0.02</v>
      </c>
      <c r="T16" s="828">
        <v>0.03</v>
      </c>
      <c r="U16" s="828">
        <v>0.03</v>
      </c>
      <c r="V16" s="283">
        <f t="shared" ref="V16:W22" si="0">P16+R16+T16</f>
        <v>7.0000000000000007E-2</v>
      </c>
      <c r="W16" s="283">
        <f t="shared" si="0"/>
        <v>7.0000000000000007E-2</v>
      </c>
      <c r="X16" s="828">
        <v>0.04</v>
      </c>
      <c r="Y16" s="828">
        <v>0.04</v>
      </c>
      <c r="Z16" s="828">
        <v>0.04</v>
      </c>
      <c r="AA16" s="828">
        <v>0.04</v>
      </c>
      <c r="AB16" s="828">
        <v>0.05</v>
      </c>
      <c r="AC16" s="828">
        <v>0.05</v>
      </c>
      <c r="AD16" s="283">
        <f t="shared" ref="AD16:AE22" si="1">X16+Z16+AB16</f>
        <v>0.13</v>
      </c>
      <c r="AE16" s="283">
        <f t="shared" si="1"/>
        <v>0.13</v>
      </c>
      <c r="AF16" s="828">
        <v>0.05</v>
      </c>
      <c r="AG16" s="828">
        <v>0.05</v>
      </c>
      <c r="AH16" s="828">
        <v>0.04</v>
      </c>
      <c r="AI16" s="828">
        <v>0.04</v>
      </c>
      <c r="AJ16" s="828">
        <v>0.04</v>
      </c>
      <c r="AK16" s="828">
        <v>0.04</v>
      </c>
      <c r="AL16" s="283">
        <f t="shared" ref="AL16:AM22" si="2">AF16+AH16+AJ16</f>
        <v>0.13</v>
      </c>
      <c r="AM16" s="283">
        <f t="shared" si="2"/>
        <v>0.13</v>
      </c>
      <c r="AN16" s="828">
        <v>0.03</v>
      </c>
      <c r="AO16" s="828">
        <v>0.03</v>
      </c>
      <c r="AP16" s="828">
        <v>0.02</v>
      </c>
      <c r="AQ16" s="828">
        <v>0.02</v>
      </c>
      <c r="AR16" s="828">
        <v>0.02</v>
      </c>
      <c r="AS16" s="828">
        <v>0.02</v>
      </c>
      <c r="AT16" s="283">
        <f>AN16+AP16+AR16</f>
        <v>7.0000000000000007E-2</v>
      </c>
      <c r="AU16" s="283">
        <f>AO16+AQ16+AS16</f>
        <v>7.0000000000000007E-2</v>
      </c>
      <c r="AV16" s="283">
        <f>V16+AD16+AL16+AT16</f>
        <v>0.4</v>
      </c>
      <c r="AW16" s="44">
        <f t="shared" ref="AW16:AW22" si="3">+W16</f>
        <v>7.0000000000000007E-2</v>
      </c>
      <c r="AX16" s="44">
        <f t="shared" ref="AX16:AX22" si="4">+W16+AE16</f>
        <v>0.2</v>
      </c>
      <c r="AY16" s="44">
        <f t="shared" ref="AY16:AY22" si="5">+W16+AE16+AM16</f>
        <v>0.33</v>
      </c>
      <c r="AZ16" s="44">
        <f t="shared" ref="AZ16:AZ22" si="6">+W16+AE16+AM16+AU16</f>
        <v>0.4</v>
      </c>
      <c r="BA16" s="332">
        <f>IF(AND(AW16&gt;0,$AV16&gt;0),AW16/$AV16,0)</f>
        <v>0.17500000000000002</v>
      </c>
      <c r="BB16" s="333">
        <f t="shared" ref="BB16:BD22" si="7">IF(AND(AX16&gt;0,$AV16&gt;0),AX16/$AV16,0)</f>
        <v>0.5</v>
      </c>
      <c r="BC16" s="281">
        <f t="shared" si="7"/>
        <v>0.82499999999999996</v>
      </c>
      <c r="BD16" s="281">
        <f t="shared" si="7"/>
        <v>1</v>
      </c>
      <c r="BE16" s="274">
        <f>(IF(AND(AW16&gt;0,$F16&gt;0),AW16/$F16,0))</f>
        <v>7.0000000000000007E-2</v>
      </c>
      <c r="BF16" s="274">
        <f t="shared" ref="BF16:BH22" si="8">(IF(AND(AX16&gt;0,$F16&gt;0),AX16/$F16,0))</f>
        <v>0.2</v>
      </c>
      <c r="BG16" s="274">
        <f t="shared" si="8"/>
        <v>0.33</v>
      </c>
      <c r="BH16" s="274">
        <f t="shared" si="8"/>
        <v>0.4</v>
      </c>
      <c r="BI16" s="275"/>
    </row>
    <row r="17" spans="2:60" ht="84.75" customHeight="1">
      <c r="B17" s="1541"/>
      <c r="C17" s="1541"/>
      <c r="D17" s="27" t="str">
        <f>+'01-FR-03 POA INSTITUCIONAL'!D49</f>
        <v>4.1.2 Ejecutar en un 100 % las actividades programadas en el plan de Seguridad de la Información, garantizando la disponibilidad, confiabilidad e integridad de los activos de información</v>
      </c>
      <c r="E17" s="38">
        <f>+'01-FR-03 POA INSTITUCIONAL'!E49</f>
        <v>0.14000000000000001</v>
      </c>
      <c r="F17" s="273">
        <f>+'01-FR-03 POA INSTITUCIONAL'!F49</f>
        <v>1</v>
      </c>
      <c r="G17" s="132">
        <f>+'01-FR-03 POA INSTITUCIONAL'!L49</f>
        <v>0.4</v>
      </c>
      <c r="H17" s="1030" t="str">
        <f>+'01-FR-03 POA INSTITUCIONAL'!G49</f>
        <v>S.I.</v>
      </c>
      <c r="I17" s="215" t="str">
        <f>+'01-FR-03 POA INSTITUCIONAL'!H49</f>
        <v>Porcentaje de actividades ejecutadas de acuerdo al plan de Seguridad de información</v>
      </c>
      <c r="J17" s="400" t="s">
        <v>337</v>
      </c>
      <c r="K17" s="400" t="s">
        <v>338</v>
      </c>
      <c r="L17" s="187" t="s">
        <v>339</v>
      </c>
      <c r="M17" s="216" t="s">
        <v>335</v>
      </c>
      <c r="N17" s="400" t="s">
        <v>340</v>
      </c>
      <c r="O17" s="401" t="str">
        <f>+'01-FR-03 POA INSTITUCIONAL'!J49</f>
        <v>Dirección de Tecnologías de la  Información y las Comunicaciones</v>
      </c>
      <c r="P17" s="828">
        <v>0.02</v>
      </c>
      <c r="Q17" s="828">
        <v>0.02</v>
      </c>
      <c r="R17" s="828">
        <v>0.02</v>
      </c>
      <c r="S17" s="828">
        <v>0.02</v>
      </c>
      <c r="T17" s="828">
        <v>0.03</v>
      </c>
      <c r="U17" s="828">
        <v>0.03</v>
      </c>
      <c r="V17" s="283">
        <f t="shared" si="0"/>
        <v>7.0000000000000007E-2</v>
      </c>
      <c r="W17" s="283">
        <f t="shared" si="0"/>
        <v>7.0000000000000007E-2</v>
      </c>
      <c r="X17" s="828">
        <v>0.04</v>
      </c>
      <c r="Y17" s="828">
        <v>0.04</v>
      </c>
      <c r="Z17" s="828">
        <v>0.04</v>
      </c>
      <c r="AA17" s="828">
        <v>0.04</v>
      </c>
      <c r="AB17" s="828">
        <v>0.05</v>
      </c>
      <c r="AC17" s="828">
        <v>0.05</v>
      </c>
      <c r="AD17" s="283">
        <f t="shared" si="1"/>
        <v>0.13</v>
      </c>
      <c r="AE17" s="283">
        <f t="shared" si="1"/>
        <v>0.13</v>
      </c>
      <c r="AF17" s="828">
        <v>0.05</v>
      </c>
      <c r="AG17" s="828">
        <v>0.05</v>
      </c>
      <c r="AH17" s="828">
        <v>0.04</v>
      </c>
      <c r="AI17" s="828">
        <v>0.04</v>
      </c>
      <c r="AJ17" s="828">
        <v>0.04</v>
      </c>
      <c r="AK17" s="828">
        <v>0.04</v>
      </c>
      <c r="AL17" s="283">
        <f t="shared" si="2"/>
        <v>0.13</v>
      </c>
      <c r="AM17" s="283">
        <f t="shared" si="2"/>
        <v>0.13</v>
      </c>
      <c r="AN17" s="828">
        <v>0.03</v>
      </c>
      <c r="AO17" s="828">
        <v>0.03</v>
      </c>
      <c r="AP17" s="828">
        <v>0.02</v>
      </c>
      <c r="AQ17" s="828">
        <v>0.02</v>
      </c>
      <c r="AR17" s="828">
        <v>0.02</v>
      </c>
      <c r="AS17" s="828">
        <v>0.02</v>
      </c>
      <c r="AT17" s="283">
        <f t="shared" ref="AT17:AU22" si="9">AN17+AP17+AR17</f>
        <v>7.0000000000000007E-2</v>
      </c>
      <c r="AU17" s="283">
        <f t="shared" si="9"/>
        <v>7.0000000000000007E-2</v>
      </c>
      <c r="AV17" s="283">
        <f t="shared" ref="AV17:AV22" si="10">V17+AD17+AL17+AT17</f>
        <v>0.4</v>
      </c>
      <c r="AW17" s="44">
        <f t="shared" si="3"/>
        <v>7.0000000000000007E-2</v>
      </c>
      <c r="AX17" s="44">
        <f t="shared" si="4"/>
        <v>0.2</v>
      </c>
      <c r="AY17" s="44">
        <f t="shared" si="5"/>
        <v>0.33</v>
      </c>
      <c r="AZ17" s="44">
        <f t="shared" si="6"/>
        <v>0.4</v>
      </c>
      <c r="BA17" s="281">
        <f t="shared" ref="BA17:BA22" si="11">IF(AND(AW17&gt;0,AV17&gt;0),AW17/AV17,0)</f>
        <v>0.17500000000000002</v>
      </c>
      <c r="BB17" s="333">
        <f t="shared" si="7"/>
        <v>0.5</v>
      </c>
      <c r="BC17" s="281">
        <f t="shared" si="7"/>
        <v>0.82499999999999996</v>
      </c>
      <c r="BD17" s="281">
        <f t="shared" si="7"/>
        <v>1</v>
      </c>
      <c r="BE17" s="274">
        <f t="shared" ref="BE17:BE22" si="12">(IF(AND(AW17&gt;0,$F17&gt;0),AW17/$F17,0))</f>
        <v>7.0000000000000007E-2</v>
      </c>
      <c r="BF17" s="274">
        <f t="shared" si="8"/>
        <v>0.2</v>
      </c>
      <c r="BG17" s="274">
        <f t="shared" si="8"/>
        <v>0.33</v>
      </c>
      <c r="BH17" s="274">
        <f t="shared" si="8"/>
        <v>0.4</v>
      </c>
    </row>
    <row r="18" spans="2:60" ht="107.25" customHeight="1">
      <c r="B18" s="1541"/>
      <c r="C18" s="1541"/>
      <c r="D18" s="27" t="str">
        <f>+'01-FR-03 POA INSTITUCIONAL'!D50</f>
        <v>4.1.3 Realizar el 100% de las actividades definidas en la estrategia de servicios ciudadanos digitales, que permitan acceder a los tramites y servicios de la Entidad a través de canales digitales rápidos, fiables y seguros</v>
      </c>
      <c r="E18" s="38">
        <f>+'01-FR-03 POA INSTITUCIONAL'!E50</f>
        <v>0.14000000000000001</v>
      </c>
      <c r="F18" s="273">
        <f>+'01-FR-03 POA INSTITUCIONAL'!F50</f>
        <v>1</v>
      </c>
      <c r="G18" s="132">
        <f>+'01-FR-03 POA INSTITUCIONAL'!L50</f>
        <v>0.4</v>
      </c>
      <c r="H18" s="1030" t="str">
        <f>+'01-FR-03 POA INSTITUCIONAL'!G50</f>
        <v>S.I.</v>
      </c>
      <c r="I18" s="215" t="str">
        <f>+'01-FR-03 POA INSTITUCIONAL'!H50</f>
        <v xml:space="preserve">Porcentaje de actividades ejecutadas  en la estrategia de servicios ciudadanos digitales </v>
      </c>
      <c r="J18" s="400" t="s">
        <v>337</v>
      </c>
      <c r="K18" s="400" t="s">
        <v>341</v>
      </c>
      <c r="L18" s="187" t="s">
        <v>342</v>
      </c>
      <c r="M18" s="216" t="s">
        <v>335</v>
      </c>
      <c r="N18" s="400" t="s">
        <v>340</v>
      </c>
      <c r="O18" s="401" t="str">
        <f>+'01-FR-03 POA INSTITUCIONAL'!J50</f>
        <v>Dirección de Tecnologías de la  Información y las Comunicaciones</v>
      </c>
      <c r="P18" s="828">
        <v>0.02</v>
      </c>
      <c r="Q18" s="828">
        <v>0.02</v>
      </c>
      <c r="R18" s="828">
        <v>0.02</v>
      </c>
      <c r="S18" s="828">
        <v>0.02</v>
      </c>
      <c r="T18" s="828">
        <v>0.03</v>
      </c>
      <c r="U18" s="828">
        <v>0.03</v>
      </c>
      <c r="V18" s="283">
        <f t="shared" si="0"/>
        <v>7.0000000000000007E-2</v>
      </c>
      <c r="W18" s="283">
        <f t="shared" si="0"/>
        <v>7.0000000000000007E-2</v>
      </c>
      <c r="X18" s="828">
        <v>0.04</v>
      </c>
      <c r="Y18" s="828">
        <v>0.04</v>
      </c>
      <c r="Z18" s="828">
        <v>0.04</v>
      </c>
      <c r="AA18" s="828">
        <v>0.04</v>
      </c>
      <c r="AB18" s="828">
        <v>0.05</v>
      </c>
      <c r="AC18" s="828">
        <v>0.05</v>
      </c>
      <c r="AD18" s="283">
        <f t="shared" si="1"/>
        <v>0.13</v>
      </c>
      <c r="AE18" s="283">
        <f t="shared" si="1"/>
        <v>0.13</v>
      </c>
      <c r="AF18" s="828">
        <v>0.05</v>
      </c>
      <c r="AG18" s="828">
        <v>0.05</v>
      </c>
      <c r="AH18" s="828">
        <v>0.04</v>
      </c>
      <c r="AI18" s="828">
        <v>0.04</v>
      </c>
      <c r="AJ18" s="828">
        <v>0.04</v>
      </c>
      <c r="AK18" s="828">
        <v>0.04</v>
      </c>
      <c r="AL18" s="283">
        <f t="shared" si="2"/>
        <v>0.13</v>
      </c>
      <c r="AM18" s="283">
        <f t="shared" si="2"/>
        <v>0.13</v>
      </c>
      <c r="AN18" s="828">
        <v>0.03</v>
      </c>
      <c r="AO18" s="828">
        <v>0.03</v>
      </c>
      <c r="AP18" s="828">
        <v>0.02</v>
      </c>
      <c r="AQ18" s="828">
        <v>0.02</v>
      </c>
      <c r="AR18" s="828">
        <v>0.02</v>
      </c>
      <c r="AS18" s="828">
        <v>0.02</v>
      </c>
      <c r="AT18" s="283">
        <f t="shared" si="9"/>
        <v>7.0000000000000007E-2</v>
      </c>
      <c r="AU18" s="283">
        <f t="shared" si="9"/>
        <v>7.0000000000000007E-2</v>
      </c>
      <c r="AV18" s="283">
        <f t="shared" si="10"/>
        <v>0.4</v>
      </c>
      <c r="AW18" s="44">
        <f t="shared" si="3"/>
        <v>7.0000000000000007E-2</v>
      </c>
      <c r="AX18" s="44">
        <f t="shared" si="4"/>
        <v>0.2</v>
      </c>
      <c r="AY18" s="44">
        <f t="shared" si="5"/>
        <v>0.33</v>
      </c>
      <c r="AZ18" s="44">
        <f t="shared" si="6"/>
        <v>0.4</v>
      </c>
      <c r="BA18" s="281">
        <f t="shared" si="11"/>
        <v>0.17500000000000002</v>
      </c>
      <c r="BB18" s="333">
        <f t="shared" si="7"/>
        <v>0.5</v>
      </c>
      <c r="BC18" s="281">
        <f t="shared" si="7"/>
        <v>0.82499999999999996</v>
      </c>
      <c r="BD18" s="281">
        <f t="shared" si="7"/>
        <v>1</v>
      </c>
      <c r="BE18" s="274">
        <f t="shared" si="12"/>
        <v>7.0000000000000007E-2</v>
      </c>
      <c r="BF18" s="274">
        <f t="shared" si="8"/>
        <v>0.2</v>
      </c>
      <c r="BG18" s="274">
        <f t="shared" si="8"/>
        <v>0.33</v>
      </c>
      <c r="BH18" s="274">
        <f t="shared" si="8"/>
        <v>0.4</v>
      </c>
    </row>
    <row r="19" spans="2:60" ht="80.25" customHeight="1">
      <c r="B19" s="1541"/>
      <c r="C19" s="1541"/>
      <c r="D19" s="27" t="str">
        <f>+'01-FR-03 POA INSTITUCIONAL'!D51</f>
        <v>4.1.4 Implementar en un 100% los lineamientos que adopte la Entidad para mejorar la gestión de datos que facilite la toma de decisiones</v>
      </c>
      <c r="E19" s="38">
        <f>+'01-FR-03 POA INSTITUCIONAL'!E51</f>
        <v>0.14000000000000001</v>
      </c>
      <c r="F19" s="273">
        <f>+'01-FR-03 POA INSTITUCIONAL'!F51</f>
        <v>1</v>
      </c>
      <c r="G19" s="132">
        <f>+'01-FR-03 POA INSTITUCIONAL'!L51</f>
        <v>0.4</v>
      </c>
      <c r="H19" s="1030" t="str">
        <f>+'01-FR-03 POA INSTITUCIONAL'!G51</f>
        <v>S.I.</v>
      </c>
      <c r="I19" s="215" t="str">
        <f>+'01-FR-03 POA INSTITUCIONAL'!H51</f>
        <v>Porcentaje de lineamientos adoptados  en la estrategia de gestión de datos</v>
      </c>
      <c r="J19" s="400" t="s">
        <v>343</v>
      </c>
      <c r="K19" s="400" t="s">
        <v>341</v>
      </c>
      <c r="L19" s="187" t="s">
        <v>344</v>
      </c>
      <c r="M19" s="216" t="s">
        <v>335</v>
      </c>
      <c r="N19" s="400" t="s">
        <v>340</v>
      </c>
      <c r="O19" s="401" t="str">
        <f>+'01-FR-03 POA INSTITUCIONAL'!J51</f>
        <v>Dirección de Tecnologías de la  Información y las Comunicaciones</v>
      </c>
      <c r="P19" s="828">
        <v>0.02</v>
      </c>
      <c r="Q19" s="828">
        <v>0</v>
      </c>
      <c r="R19" s="828">
        <v>0.02</v>
      </c>
      <c r="S19" s="828">
        <v>0.04</v>
      </c>
      <c r="T19" s="828">
        <v>0.03</v>
      </c>
      <c r="U19" s="828">
        <v>0.03</v>
      </c>
      <c r="V19" s="283">
        <f t="shared" si="0"/>
        <v>7.0000000000000007E-2</v>
      </c>
      <c r="W19" s="283">
        <f t="shared" si="0"/>
        <v>7.0000000000000007E-2</v>
      </c>
      <c r="X19" s="828">
        <v>0.04</v>
      </c>
      <c r="Y19" s="828">
        <v>0.04</v>
      </c>
      <c r="Z19" s="828">
        <v>0.04</v>
      </c>
      <c r="AA19" s="828">
        <v>0.04</v>
      </c>
      <c r="AB19" s="828">
        <v>0.05</v>
      </c>
      <c r="AC19" s="828">
        <v>0.05</v>
      </c>
      <c r="AD19" s="283">
        <f t="shared" si="1"/>
        <v>0.13</v>
      </c>
      <c r="AE19" s="283">
        <f t="shared" si="1"/>
        <v>0.13</v>
      </c>
      <c r="AF19" s="828">
        <v>0.05</v>
      </c>
      <c r="AG19" s="828">
        <v>0.05</v>
      </c>
      <c r="AH19" s="828">
        <v>0.04</v>
      </c>
      <c r="AI19" s="828">
        <v>0.04</v>
      </c>
      <c r="AJ19" s="828">
        <v>0.04</v>
      </c>
      <c r="AK19" s="828">
        <v>0.04</v>
      </c>
      <c r="AL19" s="283">
        <f t="shared" si="2"/>
        <v>0.13</v>
      </c>
      <c r="AM19" s="283">
        <f t="shared" si="2"/>
        <v>0.13</v>
      </c>
      <c r="AN19" s="828">
        <v>0.03</v>
      </c>
      <c r="AO19" s="828">
        <v>0.03</v>
      </c>
      <c r="AP19" s="828">
        <v>0.02</v>
      </c>
      <c r="AQ19" s="828">
        <v>0.02</v>
      </c>
      <c r="AR19" s="828">
        <v>0.02</v>
      </c>
      <c r="AS19" s="828">
        <v>0.02</v>
      </c>
      <c r="AT19" s="283">
        <f t="shared" si="9"/>
        <v>7.0000000000000007E-2</v>
      </c>
      <c r="AU19" s="283">
        <f t="shared" si="9"/>
        <v>7.0000000000000007E-2</v>
      </c>
      <c r="AV19" s="283">
        <f t="shared" si="10"/>
        <v>0.4</v>
      </c>
      <c r="AW19" s="44">
        <f t="shared" si="3"/>
        <v>7.0000000000000007E-2</v>
      </c>
      <c r="AX19" s="44">
        <f t="shared" si="4"/>
        <v>0.2</v>
      </c>
      <c r="AY19" s="44">
        <f t="shared" si="5"/>
        <v>0.33</v>
      </c>
      <c r="AZ19" s="44">
        <f t="shared" si="6"/>
        <v>0.4</v>
      </c>
      <c r="BA19" s="281">
        <f t="shared" si="11"/>
        <v>0.17500000000000002</v>
      </c>
      <c r="BB19" s="333">
        <f t="shared" si="7"/>
        <v>0.5</v>
      </c>
      <c r="BC19" s="281">
        <f t="shared" si="7"/>
        <v>0.82499999999999996</v>
      </c>
      <c r="BD19" s="281">
        <f t="shared" si="7"/>
        <v>1</v>
      </c>
      <c r="BE19" s="274">
        <f t="shared" si="12"/>
        <v>7.0000000000000007E-2</v>
      </c>
      <c r="BF19" s="274">
        <f t="shared" si="8"/>
        <v>0.2</v>
      </c>
      <c r="BG19" s="274">
        <f t="shared" si="8"/>
        <v>0.33</v>
      </c>
      <c r="BH19" s="274">
        <f t="shared" si="8"/>
        <v>0.4</v>
      </c>
    </row>
    <row r="20" spans="2:60" ht="88.5" customHeight="1">
      <c r="B20" s="1541"/>
      <c r="C20" s="1541"/>
      <c r="D20" s="27" t="str">
        <f>+'01-FR-03 POA INSTITUCIONAL'!D52</f>
        <v>4.1.5 Desarrollar el 100% de los requerimientos prioritarios a Sistemas de Información y de apoyo que garanticen el óptimo desempeño de la gestión de los procesos en la Entidad</v>
      </c>
      <c r="E20" s="38">
        <f>+'01-FR-03 POA INSTITUCIONAL'!E52</f>
        <v>0.14000000000000001</v>
      </c>
      <c r="F20" s="273">
        <f>+'01-FR-03 POA INSTITUCIONAL'!F52</f>
        <v>1</v>
      </c>
      <c r="G20" s="132">
        <f>+'01-FR-03 POA INSTITUCIONAL'!L52</f>
        <v>0.4</v>
      </c>
      <c r="H20" s="1030" t="str">
        <f>+'01-FR-03 POA INSTITUCIONAL'!G52</f>
        <v>S.I.</v>
      </c>
      <c r="I20" s="215" t="str">
        <f>+'01-FR-03 POA INSTITUCIONAL'!H52</f>
        <v>Cantidad de requerimientos prioritarios desarrollados para los sistemas información</v>
      </c>
      <c r="J20" s="400" t="s">
        <v>357</v>
      </c>
      <c r="K20" s="400" t="s">
        <v>345</v>
      </c>
      <c r="L20" s="187" t="s">
        <v>346</v>
      </c>
      <c r="M20" s="216" t="s">
        <v>335</v>
      </c>
      <c r="N20" s="400" t="s">
        <v>340</v>
      </c>
      <c r="O20" s="401" t="str">
        <f>+'01-FR-03 POA INSTITUCIONAL'!J52</f>
        <v>Dirección de Tecnologías de la  Información y las Comunicaciones</v>
      </c>
      <c r="P20" s="828">
        <v>0.02</v>
      </c>
      <c r="Q20" s="828">
        <v>0.02</v>
      </c>
      <c r="R20" s="828">
        <v>0.02</v>
      </c>
      <c r="S20" s="828">
        <v>0.02</v>
      </c>
      <c r="T20" s="828">
        <v>0.03</v>
      </c>
      <c r="U20" s="828">
        <v>0.03</v>
      </c>
      <c r="V20" s="283">
        <f t="shared" si="0"/>
        <v>7.0000000000000007E-2</v>
      </c>
      <c r="W20" s="283">
        <f t="shared" si="0"/>
        <v>7.0000000000000007E-2</v>
      </c>
      <c r="X20" s="828">
        <v>0.04</v>
      </c>
      <c r="Y20" s="828">
        <v>0.04</v>
      </c>
      <c r="Z20" s="828">
        <v>0.04</v>
      </c>
      <c r="AA20" s="828">
        <v>0.04</v>
      </c>
      <c r="AB20" s="828">
        <v>0.05</v>
      </c>
      <c r="AC20" s="828">
        <v>0.05</v>
      </c>
      <c r="AD20" s="283">
        <f t="shared" si="1"/>
        <v>0.13</v>
      </c>
      <c r="AE20" s="283">
        <f t="shared" si="1"/>
        <v>0.13</v>
      </c>
      <c r="AF20" s="828">
        <v>0.05</v>
      </c>
      <c r="AG20" s="828">
        <v>0.05</v>
      </c>
      <c r="AH20" s="828">
        <v>0.04</v>
      </c>
      <c r="AI20" s="828">
        <v>0.04</v>
      </c>
      <c r="AJ20" s="828">
        <v>0.04</v>
      </c>
      <c r="AK20" s="828">
        <v>0.04</v>
      </c>
      <c r="AL20" s="283">
        <f t="shared" si="2"/>
        <v>0.13</v>
      </c>
      <c r="AM20" s="283">
        <f t="shared" si="2"/>
        <v>0.13</v>
      </c>
      <c r="AN20" s="828">
        <v>0.03</v>
      </c>
      <c r="AO20" s="828">
        <v>0.03</v>
      </c>
      <c r="AP20" s="828">
        <v>0.02</v>
      </c>
      <c r="AQ20" s="828">
        <v>0.02</v>
      </c>
      <c r="AR20" s="828">
        <v>0.02</v>
      </c>
      <c r="AS20" s="828">
        <v>0.02</v>
      </c>
      <c r="AT20" s="283">
        <f t="shared" si="9"/>
        <v>7.0000000000000007E-2</v>
      </c>
      <c r="AU20" s="283">
        <f t="shared" si="9"/>
        <v>7.0000000000000007E-2</v>
      </c>
      <c r="AV20" s="283">
        <f t="shared" si="10"/>
        <v>0.4</v>
      </c>
      <c r="AW20" s="44">
        <f t="shared" si="3"/>
        <v>7.0000000000000007E-2</v>
      </c>
      <c r="AX20" s="44">
        <f t="shared" si="4"/>
        <v>0.2</v>
      </c>
      <c r="AY20" s="44">
        <f t="shared" si="5"/>
        <v>0.33</v>
      </c>
      <c r="AZ20" s="44">
        <f t="shared" si="6"/>
        <v>0.4</v>
      </c>
      <c r="BA20" s="281">
        <f t="shared" si="11"/>
        <v>0.17500000000000002</v>
      </c>
      <c r="BB20" s="333">
        <f t="shared" si="7"/>
        <v>0.5</v>
      </c>
      <c r="BC20" s="281">
        <f t="shared" si="7"/>
        <v>0.82499999999999996</v>
      </c>
      <c r="BD20" s="281">
        <f t="shared" si="7"/>
        <v>1</v>
      </c>
      <c r="BE20" s="274">
        <f t="shared" si="12"/>
        <v>7.0000000000000007E-2</v>
      </c>
      <c r="BF20" s="274">
        <f t="shared" si="8"/>
        <v>0.2</v>
      </c>
      <c r="BG20" s="274">
        <f t="shared" si="8"/>
        <v>0.33</v>
      </c>
      <c r="BH20" s="274">
        <f t="shared" si="8"/>
        <v>0.4</v>
      </c>
    </row>
    <row r="21" spans="2:60" ht="91.5" customHeight="1">
      <c r="B21" s="1541"/>
      <c r="C21" s="1541"/>
      <c r="D21" s="27" t="str">
        <f>+'01-FR-03 POA INSTITUCIONAL'!D53</f>
        <v>4.1.6 Implementar en un 100% las actividades programadas en el plan de uso y apropiación de las TIC, para una óptima gestión institucional</v>
      </c>
      <c r="E21" s="38">
        <f>+'01-FR-03 POA INSTITUCIONAL'!E53</f>
        <v>0.15</v>
      </c>
      <c r="F21" s="273">
        <f>+'01-FR-03 POA INSTITUCIONAL'!F53</f>
        <v>1</v>
      </c>
      <c r="G21" s="132">
        <f>+'01-FR-03 POA INSTITUCIONAL'!L53</f>
        <v>0.4</v>
      </c>
      <c r="H21" s="1030" t="str">
        <f>+'01-FR-03 POA INSTITUCIONAL'!G53</f>
        <v>S.I.</v>
      </c>
      <c r="I21" s="215" t="str">
        <f>+'01-FR-03 POA INSTITUCIONAL'!H53</f>
        <v>Porcentaje de actividades ejecutadas del plan de uso y apropiación</v>
      </c>
      <c r="J21" s="400" t="s">
        <v>347</v>
      </c>
      <c r="K21" s="400" t="s">
        <v>348</v>
      </c>
      <c r="L21" s="187" t="s">
        <v>349</v>
      </c>
      <c r="M21" s="216" t="s">
        <v>335</v>
      </c>
      <c r="N21" s="400" t="s">
        <v>350</v>
      </c>
      <c r="O21" s="401" t="str">
        <f>+'01-FR-03 POA INSTITUCIONAL'!J53</f>
        <v>Dirección de Tecnologías de la  Información y las Comunicaciones</v>
      </c>
      <c r="P21" s="828">
        <v>0.02</v>
      </c>
      <c r="Q21" s="828">
        <v>0</v>
      </c>
      <c r="R21" s="828">
        <v>0.02</v>
      </c>
      <c r="S21" s="828">
        <v>0.04</v>
      </c>
      <c r="T21" s="828">
        <v>0.03</v>
      </c>
      <c r="U21" s="828">
        <v>0.03</v>
      </c>
      <c r="V21" s="283">
        <f t="shared" si="0"/>
        <v>7.0000000000000007E-2</v>
      </c>
      <c r="W21" s="283">
        <f t="shared" si="0"/>
        <v>7.0000000000000007E-2</v>
      </c>
      <c r="X21" s="828">
        <v>0.04</v>
      </c>
      <c r="Y21" s="828">
        <v>0.04</v>
      </c>
      <c r="Z21" s="828">
        <v>0.04</v>
      </c>
      <c r="AA21" s="828">
        <v>0.04</v>
      </c>
      <c r="AB21" s="828">
        <v>0.05</v>
      </c>
      <c r="AC21" s="828">
        <v>0.05</v>
      </c>
      <c r="AD21" s="283">
        <f t="shared" si="1"/>
        <v>0.13</v>
      </c>
      <c r="AE21" s="283">
        <f t="shared" si="1"/>
        <v>0.13</v>
      </c>
      <c r="AF21" s="828">
        <v>0.05</v>
      </c>
      <c r="AG21" s="828">
        <v>0.05</v>
      </c>
      <c r="AH21" s="828">
        <v>0.04</v>
      </c>
      <c r="AI21" s="828">
        <v>0.04</v>
      </c>
      <c r="AJ21" s="828">
        <v>0.04</v>
      </c>
      <c r="AK21" s="828">
        <v>0.04</v>
      </c>
      <c r="AL21" s="283">
        <f t="shared" si="2"/>
        <v>0.13</v>
      </c>
      <c r="AM21" s="283">
        <f t="shared" si="2"/>
        <v>0.13</v>
      </c>
      <c r="AN21" s="828">
        <v>0.03</v>
      </c>
      <c r="AO21" s="828">
        <v>0.03</v>
      </c>
      <c r="AP21" s="828">
        <v>0.02</v>
      </c>
      <c r="AQ21" s="828">
        <v>0.02</v>
      </c>
      <c r="AR21" s="828">
        <v>0.02</v>
      </c>
      <c r="AS21" s="828">
        <v>0.02</v>
      </c>
      <c r="AT21" s="283">
        <f t="shared" si="9"/>
        <v>7.0000000000000007E-2</v>
      </c>
      <c r="AU21" s="283">
        <f t="shared" si="9"/>
        <v>7.0000000000000007E-2</v>
      </c>
      <c r="AV21" s="283">
        <f t="shared" si="10"/>
        <v>0.4</v>
      </c>
      <c r="AW21" s="44">
        <f t="shared" si="3"/>
        <v>7.0000000000000007E-2</v>
      </c>
      <c r="AX21" s="44">
        <f t="shared" si="4"/>
        <v>0.2</v>
      </c>
      <c r="AY21" s="44">
        <f t="shared" si="5"/>
        <v>0.33</v>
      </c>
      <c r="AZ21" s="44">
        <f t="shared" si="6"/>
        <v>0.4</v>
      </c>
      <c r="BA21" s="281">
        <f t="shared" si="11"/>
        <v>0.17500000000000002</v>
      </c>
      <c r="BB21" s="333">
        <f t="shared" si="7"/>
        <v>0.5</v>
      </c>
      <c r="BC21" s="281">
        <f t="shared" si="7"/>
        <v>0.82499999999999996</v>
      </c>
      <c r="BD21" s="281">
        <f t="shared" si="7"/>
        <v>1</v>
      </c>
      <c r="BE21" s="274">
        <f t="shared" si="12"/>
        <v>7.0000000000000007E-2</v>
      </c>
      <c r="BF21" s="274">
        <f t="shared" si="8"/>
        <v>0.2</v>
      </c>
      <c r="BG21" s="274">
        <f t="shared" si="8"/>
        <v>0.33</v>
      </c>
      <c r="BH21" s="274">
        <f t="shared" si="8"/>
        <v>0.4</v>
      </c>
    </row>
    <row r="22" spans="2:60" ht="81.75" customHeight="1">
      <c r="B22" s="1582"/>
      <c r="C22" s="1582"/>
      <c r="D22" s="27" t="str">
        <f>+'01-FR-03 POA INSTITUCIONAL'!D54</f>
        <v>4.1.7 Optimizar la infraestructura tecnológica cumpliendo el 100% de las actividades de la hoja de ruta proyectada para garantizar la prestación continua de los servicios en la Entidad</v>
      </c>
      <c r="E22" s="38">
        <f>+'01-FR-03 POA INSTITUCIONAL'!E54</f>
        <v>0.15</v>
      </c>
      <c r="F22" s="273">
        <f>+'01-FR-03 POA INSTITUCIONAL'!F54</f>
        <v>1</v>
      </c>
      <c r="G22" s="132">
        <f>+'01-FR-03 POA INSTITUCIONAL'!L54</f>
        <v>0.4</v>
      </c>
      <c r="H22" s="1030" t="str">
        <f>+'01-FR-03 POA INSTITUCIONAL'!G54</f>
        <v>S.I</v>
      </c>
      <c r="I22" s="215" t="str">
        <f>+'01-FR-03 POA INSTITUCIONAL'!H54</f>
        <v>Porcentaje de actividades ejecutadas de la hoja de ruta de optimización tecnológica</v>
      </c>
      <c r="J22" s="400" t="s">
        <v>352</v>
      </c>
      <c r="K22" s="400" t="s">
        <v>353</v>
      </c>
      <c r="L22" s="187" t="s">
        <v>354</v>
      </c>
      <c r="M22" s="216" t="s">
        <v>335</v>
      </c>
      <c r="N22" s="400" t="s">
        <v>340</v>
      </c>
      <c r="O22" s="401" t="str">
        <f>+'01-FR-03 POA INSTITUCIONAL'!J54</f>
        <v>Dirección de Tecnologías de la  Información y las Comunicaciones</v>
      </c>
      <c r="P22" s="828">
        <v>0.02</v>
      </c>
      <c r="Q22" s="828">
        <v>0.02</v>
      </c>
      <c r="R22" s="828">
        <v>0.02</v>
      </c>
      <c r="S22" s="828">
        <v>0.02</v>
      </c>
      <c r="T22" s="828">
        <v>0.03</v>
      </c>
      <c r="U22" s="828">
        <v>0.03</v>
      </c>
      <c r="V22" s="283">
        <f t="shared" si="0"/>
        <v>7.0000000000000007E-2</v>
      </c>
      <c r="W22" s="283">
        <f t="shared" si="0"/>
        <v>7.0000000000000007E-2</v>
      </c>
      <c r="X22" s="828">
        <v>0.04</v>
      </c>
      <c r="Y22" s="828">
        <v>0.04</v>
      </c>
      <c r="Z22" s="828">
        <v>0.04</v>
      </c>
      <c r="AA22" s="828">
        <v>0.04</v>
      </c>
      <c r="AB22" s="828">
        <v>0.05</v>
      </c>
      <c r="AC22" s="828">
        <v>0.05</v>
      </c>
      <c r="AD22" s="283">
        <f t="shared" si="1"/>
        <v>0.13</v>
      </c>
      <c r="AE22" s="283">
        <f t="shared" si="1"/>
        <v>0.13</v>
      </c>
      <c r="AF22" s="828">
        <v>0.05</v>
      </c>
      <c r="AG22" s="828">
        <v>0.05</v>
      </c>
      <c r="AH22" s="828">
        <v>0.04</v>
      </c>
      <c r="AI22" s="828">
        <v>0.04</v>
      </c>
      <c r="AJ22" s="828">
        <v>0.04</v>
      </c>
      <c r="AK22" s="828">
        <v>0.04</v>
      </c>
      <c r="AL22" s="283">
        <f t="shared" si="2"/>
        <v>0.13</v>
      </c>
      <c r="AM22" s="283">
        <f t="shared" si="2"/>
        <v>0.13</v>
      </c>
      <c r="AN22" s="828">
        <v>0.03</v>
      </c>
      <c r="AO22" s="828">
        <v>0.03</v>
      </c>
      <c r="AP22" s="828">
        <v>0.02</v>
      </c>
      <c r="AQ22" s="828">
        <v>0.02</v>
      </c>
      <c r="AR22" s="828">
        <v>0.02</v>
      </c>
      <c r="AS22" s="828">
        <v>0.02</v>
      </c>
      <c r="AT22" s="283">
        <f t="shared" si="9"/>
        <v>7.0000000000000007E-2</v>
      </c>
      <c r="AU22" s="283">
        <f t="shared" si="9"/>
        <v>7.0000000000000007E-2</v>
      </c>
      <c r="AV22" s="283">
        <f t="shared" si="10"/>
        <v>0.4</v>
      </c>
      <c r="AW22" s="44">
        <f t="shared" si="3"/>
        <v>7.0000000000000007E-2</v>
      </c>
      <c r="AX22" s="44">
        <f t="shared" si="4"/>
        <v>0.2</v>
      </c>
      <c r="AY22" s="44">
        <f t="shared" si="5"/>
        <v>0.33</v>
      </c>
      <c r="AZ22" s="44">
        <f t="shared" si="6"/>
        <v>0.4</v>
      </c>
      <c r="BA22" s="281">
        <f t="shared" si="11"/>
        <v>0.17500000000000002</v>
      </c>
      <c r="BB22" s="333">
        <f t="shared" si="7"/>
        <v>0.5</v>
      </c>
      <c r="BC22" s="281">
        <f t="shared" si="7"/>
        <v>0.82499999999999996</v>
      </c>
      <c r="BD22" s="281">
        <f t="shared" si="7"/>
        <v>1</v>
      </c>
      <c r="BE22" s="274">
        <f t="shared" si="12"/>
        <v>7.0000000000000007E-2</v>
      </c>
      <c r="BF22" s="274">
        <f t="shared" si="8"/>
        <v>0.2</v>
      </c>
      <c r="BG22" s="274">
        <f t="shared" si="8"/>
        <v>0.33</v>
      </c>
      <c r="BH22" s="274">
        <f t="shared" si="8"/>
        <v>0.4</v>
      </c>
    </row>
    <row r="23" spans="2:60" ht="22.8">
      <c r="B23" s="1504"/>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J23" s="1505"/>
      <c r="AK23" s="1505"/>
      <c r="AL23" s="1505"/>
      <c r="AM23" s="1505"/>
      <c r="AN23" s="1505"/>
      <c r="AO23" s="1505"/>
      <c r="AP23" s="1505"/>
      <c r="AQ23" s="1505"/>
      <c r="AR23" s="1505"/>
      <c r="AS23" s="1505"/>
      <c r="AT23" s="1505"/>
      <c r="AU23" s="1505"/>
      <c r="AV23" s="1505"/>
      <c r="AW23" s="1583"/>
      <c r="AX23" s="1538" t="s">
        <v>19</v>
      </c>
      <c r="AY23" s="1581"/>
      <c r="AZ23" s="1581"/>
      <c r="BA23" s="1037">
        <f t="shared" ref="BA23:BD23" si="13">AVERAGE(BA16:BA22)</f>
        <v>0.17500000000000002</v>
      </c>
      <c r="BB23" s="1037">
        <f t="shared" si="13"/>
        <v>0.5</v>
      </c>
      <c r="BC23" s="1037">
        <f t="shared" si="13"/>
        <v>0.82500000000000007</v>
      </c>
      <c r="BD23" s="1037">
        <f t="shared" si="13"/>
        <v>1</v>
      </c>
      <c r="BE23" s="1514"/>
      <c r="BF23" s="1515"/>
      <c r="BG23" s="1515"/>
      <c r="BH23" s="1516"/>
    </row>
    <row r="24" spans="2:60">
      <c r="B24" s="1500"/>
      <c r="C24" s="1500"/>
      <c r="D24" s="1500"/>
      <c r="E24" s="1500"/>
      <c r="F24" s="1500"/>
      <c r="G24" s="1500"/>
      <c r="H24" s="208"/>
      <c r="I24" s="209"/>
      <c r="J24" s="209"/>
      <c r="K24" s="209"/>
      <c r="L24" s="209"/>
      <c r="M24" s="209"/>
      <c r="N24" s="209"/>
      <c r="O24" s="209"/>
    </row>
    <row r="25" spans="2:60">
      <c r="B25" s="209"/>
      <c r="C25" s="209"/>
      <c r="D25" s="1520"/>
      <c r="E25" s="1520"/>
      <c r="F25" s="1520"/>
      <c r="G25" s="1520"/>
      <c r="H25" s="1520"/>
      <c r="I25" s="1520"/>
      <c r="J25" s="1520"/>
      <c r="K25" s="1520"/>
      <c r="L25" s="1520"/>
      <c r="M25" s="1520"/>
      <c r="N25" s="1520"/>
      <c r="O25" s="1520"/>
    </row>
    <row r="26" spans="2:60" ht="15.6">
      <c r="B26" s="54" t="s">
        <v>26</v>
      </c>
      <c r="C26" s="210">
        <v>44224</v>
      </c>
      <c r="D26" s="211"/>
      <c r="E26" s="1510" t="s">
        <v>50</v>
      </c>
      <c r="F26" s="1032"/>
      <c r="G26" s="1511" t="s">
        <v>358</v>
      </c>
      <c r="H26" s="1511"/>
      <c r="I26" s="1511"/>
      <c r="J26" s="1511"/>
      <c r="K26" s="212"/>
      <c r="L26" s="1567"/>
      <c r="M26" s="1567"/>
      <c r="N26" s="1567"/>
      <c r="O26" s="1587"/>
    </row>
    <row r="27" spans="2:60" ht="15.6">
      <c r="B27" s="209"/>
      <c r="C27" s="209"/>
      <c r="D27" s="212"/>
      <c r="E27" s="1510"/>
      <c r="F27" s="1032"/>
      <c r="G27" s="1511"/>
      <c r="H27" s="1511"/>
      <c r="I27" s="1511"/>
      <c r="J27" s="1511"/>
      <c r="K27" s="209"/>
      <c r="L27" s="209"/>
      <c r="M27" s="209"/>
      <c r="N27" s="209"/>
      <c r="O27" s="209"/>
    </row>
    <row r="28" spans="2:60" ht="15.6">
      <c r="B28" s="54" t="s">
        <v>49</v>
      </c>
      <c r="C28" s="56">
        <v>44581</v>
      </c>
      <c r="D28" s="209"/>
      <c r="E28" s="209"/>
      <c r="F28" s="209"/>
      <c r="K28" s="209"/>
      <c r="L28" s="209"/>
      <c r="M28" s="209"/>
      <c r="N28" s="209"/>
      <c r="O28" s="209"/>
    </row>
    <row r="29" spans="2:60">
      <c r="B29" s="209"/>
      <c r="C29" s="209"/>
      <c r="D29" s="209"/>
      <c r="E29" s="209"/>
      <c r="F29" s="209"/>
      <c r="K29" s="209"/>
      <c r="L29" s="209"/>
      <c r="M29" s="209"/>
      <c r="N29" s="209"/>
      <c r="O29" s="209"/>
    </row>
    <row r="30" spans="2:60">
      <c r="B30" s="541" t="s">
        <v>916</v>
      </c>
      <c r="C30" s="209"/>
      <c r="D30" s="209"/>
      <c r="E30" s="209"/>
      <c r="F30" s="209"/>
      <c r="G30" s="208"/>
      <c r="H30" s="208"/>
      <c r="I30" s="1586"/>
      <c r="J30" s="1586"/>
      <c r="K30" s="1586"/>
      <c r="L30" s="1586"/>
      <c r="M30" s="1034"/>
      <c r="N30" s="1034"/>
      <c r="O30" s="1034"/>
    </row>
    <row r="31" spans="2:60">
      <c r="B31" s="209"/>
      <c r="C31" s="209"/>
      <c r="D31" s="209"/>
      <c r="E31" s="209"/>
      <c r="F31" s="209"/>
      <c r="G31" s="208"/>
      <c r="H31" s="208"/>
      <c r="I31" s="209"/>
      <c r="J31" s="209"/>
      <c r="K31" s="214"/>
      <c r="L31" s="209"/>
      <c r="M31" s="209"/>
      <c r="N31" s="209"/>
      <c r="O31" s="209"/>
    </row>
    <row r="32" spans="2:60">
      <c r="B32" s="209"/>
      <c r="C32" s="209"/>
      <c r="D32" s="209"/>
      <c r="E32" s="209"/>
      <c r="F32" s="209"/>
      <c r="G32" s="208"/>
      <c r="H32" s="208"/>
      <c r="I32" s="1586"/>
      <c r="J32" s="1586"/>
      <c r="K32" s="1586"/>
      <c r="L32" s="1586"/>
      <c r="M32" s="1034"/>
      <c r="N32" s="1034"/>
      <c r="O32" s="1034"/>
    </row>
    <row r="33" spans="2:15">
      <c r="B33" s="209"/>
      <c r="C33" s="209"/>
      <c r="D33" s="209"/>
      <c r="E33" s="209"/>
      <c r="F33" s="209"/>
      <c r="G33" s="208"/>
      <c r="H33" s="208"/>
      <c r="I33" s="209"/>
      <c r="J33" s="209"/>
      <c r="K33" s="214"/>
      <c r="L33" s="209"/>
      <c r="M33" s="209"/>
      <c r="N33" s="209"/>
      <c r="O33" s="209"/>
    </row>
    <row r="34" spans="2:15">
      <c r="B34" s="209"/>
      <c r="C34" s="209"/>
      <c r="D34" s="209"/>
      <c r="E34" s="209"/>
      <c r="F34" s="209"/>
      <c r="G34" s="208"/>
      <c r="H34" s="208"/>
      <c r="I34" s="1586"/>
      <c r="J34" s="1586"/>
      <c r="K34" s="1586"/>
      <c r="L34" s="1586"/>
      <c r="M34" s="1034"/>
      <c r="N34" s="1034"/>
      <c r="O34" s="1034"/>
    </row>
  </sheetData>
  <sheetProtection algorithmName="SHA-512" hashValue="X06odGvRB2gKs4PBibh2eo4+vJ2gO7smDQESaDYJ/w8FdNsAPvw+ZudQ51bki6uhqB8t2lu4YCVHoiTc4EQVrw==" saltValue="Olc9LQkq9ZB1Mryty7voVg==" spinCount="100000" sheet="1" objects="1" scenarios="1"/>
  <mergeCells count="71">
    <mergeCell ref="I32:L32"/>
    <mergeCell ref="I34:L34"/>
    <mergeCell ref="B24:G24"/>
    <mergeCell ref="AX23:AZ23"/>
    <mergeCell ref="D25:O25"/>
    <mergeCell ref="E26:E27"/>
    <mergeCell ref="G26:J27"/>
    <mergeCell ref="L26:O26"/>
    <mergeCell ref="I30:L30"/>
    <mergeCell ref="B23:AW23"/>
    <mergeCell ref="B16:B22"/>
    <mergeCell ref="C16:C22"/>
    <mergeCell ref="AD14:AE14"/>
    <mergeCell ref="G12:G15"/>
    <mergeCell ref="F12:F15"/>
    <mergeCell ref="N12:N15"/>
    <mergeCell ref="O12:O15"/>
    <mergeCell ref="H12:H15"/>
    <mergeCell ref="K12:K15"/>
    <mergeCell ref="L12:L15"/>
    <mergeCell ref="M12:M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92D050"/>
  </sheetPr>
  <dimension ref="B1:BH29"/>
  <sheetViews>
    <sheetView showGridLines="0" zoomScale="70" zoomScaleNormal="70"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37.6640625" style="105" customWidth="1"/>
    <col min="4" max="4" width="49.6640625" style="105" customWidth="1"/>
    <col min="5" max="6" width="27.44140625" style="105" customWidth="1"/>
    <col min="7" max="8" width="29.33203125" style="106" customWidth="1"/>
    <col min="9" max="9" width="21.44140625" style="105" customWidth="1"/>
    <col min="10" max="10" width="31.88671875" style="105" customWidth="1"/>
    <col min="11" max="11" width="55.88671875" style="105" customWidth="1"/>
    <col min="12" max="12" width="48.44140625" style="105" customWidth="1"/>
    <col min="13" max="14" width="28.44140625" style="105" customWidth="1"/>
    <col min="15" max="15" width="50" style="105" customWidth="1"/>
    <col min="16" max="47" width="15.88671875" style="107" customWidth="1"/>
    <col min="48" max="48" width="24.4414062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44140625" style="107" customWidth="1"/>
    <col min="59" max="59" width="26.33203125" style="107" customWidth="1"/>
    <col min="60" max="60" width="27.33203125" style="107" customWidth="1"/>
    <col min="61" max="16384" width="17.33203125" style="107"/>
  </cols>
  <sheetData>
    <row r="1" spans="2:60" ht="15.6" thickBot="1"/>
    <row r="2" spans="2:60" ht="15.6" customHeight="1">
      <c r="B2" s="1496"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5.6" customHeight="1">
      <c r="B3" s="1497"/>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5" customHeight="1">
      <c r="B4" s="1497"/>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ustomHeight="1">
      <c r="B5" s="1497"/>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498"/>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487">
        <v>44306</v>
      </c>
      <c r="BH6" s="1488"/>
    </row>
    <row r="7" spans="2: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4.6">
      <c r="B8" s="183" t="s">
        <v>45</v>
      </c>
      <c r="C8" s="1533" t="s">
        <v>86</v>
      </c>
      <c r="D8" s="1533"/>
      <c r="E8" s="184"/>
      <c r="F8" s="184"/>
      <c r="G8" s="184"/>
      <c r="H8" s="184"/>
      <c r="I8" s="184"/>
      <c r="J8" s="184"/>
      <c r="K8" s="184"/>
      <c r="L8" s="184"/>
      <c r="M8" s="184"/>
      <c r="N8" s="184"/>
      <c r="O8" s="184"/>
      <c r="AW8" s="1035"/>
      <c r="AX8" s="1035"/>
      <c r="AY8" s="1035"/>
      <c r="AZ8" s="1035"/>
      <c r="BA8" s="1035"/>
      <c r="BB8" s="1035"/>
      <c r="BC8" s="1035"/>
      <c r="BD8" s="1035"/>
    </row>
    <row r="9" spans="2:60" ht="50.25" customHeight="1">
      <c r="B9" s="183" t="s">
        <v>34</v>
      </c>
      <c r="C9" s="1534" t="s">
        <v>253</v>
      </c>
      <c r="D9" s="1535"/>
      <c r="E9" s="184"/>
      <c r="F9" s="184"/>
      <c r="G9" s="184"/>
      <c r="H9" s="184"/>
      <c r="I9" s="184"/>
      <c r="J9" s="184"/>
      <c r="K9" s="184"/>
      <c r="L9" s="184"/>
      <c r="M9" s="184"/>
      <c r="N9" s="184"/>
      <c r="O9" s="184"/>
      <c r="AW9" s="1035"/>
      <c r="AX9" s="1035"/>
      <c r="AY9" s="1035"/>
      <c r="AZ9" s="1035"/>
      <c r="BA9" s="1035"/>
      <c r="BB9" s="1035"/>
      <c r="BC9" s="1035"/>
      <c r="BD9" s="1035"/>
    </row>
    <row r="10" spans="2:60"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15.6" customHeight="1">
      <c r="B12" s="1430" t="s">
        <v>0</v>
      </c>
      <c r="C12" s="1430" t="s">
        <v>52</v>
      </c>
      <c r="D12" s="1430" t="s">
        <v>704</v>
      </c>
      <c r="E12" s="1430" t="s">
        <v>61</v>
      </c>
      <c r="F12" s="1430"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75" t="s">
        <v>676</v>
      </c>
      <c r="AX12" s="1576"/>
      <c r="AY12" s="1576"/>
      <c r="AZ12" s="1577"/>
      <c r="BA12" s="1578" t="s">
        <v>677</v>
      </c>
      <c r="BB12" s="1579"/>
      <c r="BC12" s="1579"/>
      <c r="BD12" s="1580"/>
      <c r="BE12" s="1569" t="s">
        <v>678</v>
      </c>
      <c r="BF12" s="1570"/>
      <c r="BG12" s="1570"/>
      <c r="BH12" s="1571"/>
    </row>
    <row r="13" spans="2:60" ht="15.6">
      <c r="B13" s="1430"/>
      <c r="C13" s="1430"/>
      <c r="D13" s="1430"/>
      <c r="E13" s="1430"/>
      <c r="F13" s="1430"/>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15.6">
      <c r="B14" s="1430"/>
      <c r="C14" s="1430"/>
      <c r="D14" s="1430"/>
      <c r="E14" s="1430"/>
      <c r="F14" s="1430"/>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13.2" customHeight="1">
      <c r="B15" s="1430"/>
      <c r="C15" s="1430"/>
      <c r="D15" s="1430"/>
      <c r="E15" s="1430"/>
      <c r="F15" s="1430"/>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0" ht="81.599999999999994" customHeight="1">
      <c r="B16" s="147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77" t="str">
        <f>+'01-FR-03 POA INSTITUCIONAL'!C93</f>
        <v>4.6. Desarrollar el 100% de las estrategias de comunicación organizacional y de medios que contribuyan al logro de los objetivos institucionales y al posicionamiento de la Entidad.</v>
      </c>
      <c r="D16" s="27" t="str">
        <f>+'01-FR-03 POA INSTITUCIONAL'!D93</f>
        <v>4.6.1  Desarrollar el 100% de los productos para comunicación y divulgación externa que promuevan y difundan la gestión institucional</v>
      </c>
      <c r="E16" s="38">
        <f>+'01-FR-03 POA INSTITUCIONAL'!E93</f>
        <v>0.5</v>
      </c>
      <c r="F16" s="38">
        <f>+'01-FR-03 POA INSTITUCIONAL'!F93</f>
        <v>1</v>
      </c>
      <c r="G16" s="38">
        <f>+'01-FR-03 POA INSTITUCIONAL'!L93</f>
        <v>1</v>
      </c>
      <c r="H16" s="38">
        <f>+'01-FR-03 POA INSTITUCIONAL'!G93</f>
        <v>1</v>
      </c>
      <c r="I16" s="1030" t="str">
        <f>+'01-FR-03 POA INSTITUCIONAL'!H93</f>
        <v>Productos de comunicación externa desarrollados</v>
      </c>
      <c r="J16" s="185" t="s">
        <v>582</v>
      </c>
      <c r="K16" s="400" t="s">
        <v>588</v>
      </c>
      <c r="L16" s="187" t="s">
        <v>583</v>
      </c>
      <c r="M16" s="187" t="s">
        <v>584</v>
      </c>
      <c r="N16" s="187" t="s">
        <v>585</v>
      </c>
      <c r="O16" s="55" t="str">
        <f>+'01-FR-03 POA INSTITUCIONAL'!J93</f>
        <v>Oficina Asesora de Comunicaciones</v>
      </c>
      <c r="P16" s="1048">
        <v>1</v>
      </c>
      <c r="Q16" s="117">
        <v>1</v>
      </c>
      <c r="R16" s="1048">
        <v>1</v>
      </c>
      <c r="S16" s="117">
        <v>1</v>
      </c>
      <c r="T16" s="1048">
        <v>1</v>
      </c>
      <c r="U16" s="117">
        <v>1</v>
      </c>
      <c r="V16" s="62">
        <f>AVERAGE(P16,R16,T16)</f>
        <v>1</v>
      </c>
      <c r="W16" s="62">
        <f>IFERROR(AVERAGE(Q16,S16,U16),0)</f>
        <v>1</v>
      </c>
      <c r="X16" s="1048">
        <v>1</v>
      </c>
      <c r="Y16" s="117">
        <v>1</v>
      </c>
      <c r="Z16" s="1048">
        <v>1</v>
      </c>
      <c r="AA16" s="117">
        <v>1</v>
      </c>
      <c r="AB16" s="1048">
        <v>1</v>
      </c>
      <c r="AC16" s="117">
        <v>1</v>
      </c>
      <c r="AD16" s="62">
        <f>AVERAGE(X16,Z16,AB16)</f>
        <v>1</v>
      </c>
      <c r="AE16" s="62">
        <f>IFERROR(AVERAGE(Y16,AA16,AC16),0)</f>
        <v>1</v>
      </c>
      <c r="AF16" s="1048">
        <v>1</v>
      </c>
      <c r="AG16" s="1048">
        <v>1</v>
      </c>
      <c r="AH16" s="1048">
        <v>1</v>
      </c>
      <c r="AI16" s="117">
        <v>1</v>
      </c>
      <c r="AJ16" s="1048">
        <v>1</v>
      </c>
      <c r="AK16" s="117">
        <v>1</v>
      </c>
      <c r="AL16" s="62">
        <f>AVERAGE(AF16,AH16,AJ16)</f>
        <v>1</v>
      </c>
      <c r="AM16" s="62">
        <f>IFERROR(AVERAGE(AG16,AI16,AK16),0)</f>
        <v>1</v>
      </c>
      <c r="AN16" s="1048">
        <v>1</v>
      </c>
      <c r="AO16" s="117">
        <v>1</v>
      </c>
      <c r="AP16" s="1048">
        <v>1</v>
      </c>
      <c r="AQ16" s="960">
        <v>1</v>
      </c>
      <c r="AR16" s="1048">
        <v>1</v>
      </c>
      <c r="AS16" s="117">
        <v>1</v>
      </c>
      <c r="AT16" s="62">
        <f>AVERAGE(AN16,AP16,AR16)</f>
        <v>1</v>
      </c>
      <c r="AU16" s="62">
        <f>IFERROR(AVERAGE(AO16,AQ16,AS16),0)</f>
        <v>1</v>
      </c>
      <c r="AV16" s="62">
        <f>AVERAGE(P16,R16,T16,X16,Z16,AB16,AF16,AH16,AJ16,AN16,AP16,AR16)</f>
        <v>1</v>
      </c>
      <c r="AW16" s="44">
        <f>IFERROR(IF(OR($AV$16="",$AV$16=0),0,ROUNDDOWN(AVERAGE($Q16,$S16,$U16),3)),0)</f>
        <v>1</v>
      </c>
      <c r="AX16" s="44">
        <f>IFERROR(IF(OR($AV$17="",$AV$17=0),0,ROUNDDOWN(AVERAGE($Q16,$S16,$U16,$Y16,$AA16,$AC16),3)),0)</f>
        <v>1</v>
      </c>
      <c r="AY16" s="44">
        <f>IFERROR(IF(OR($AV$16="",$AV$16=0),0,ROUNDDOWN(AVERAGE($Q16,$S16,$U16,$Y16,$AA16,$AC16,$AG16,$AI16,$AK16),3)),0)</f>
        <v>1</v>
      </c>
      <c r="AZ16" s="44">
        <f t="shared" ref="AZ16" si="0">IFERROR(IF(OR($AV$16="",$AV$16=0),0,ROUNDDOWN(AVERAGE($Q16,$S16,$U16,$Y16,$AA16,$AC16,$AG16,$AI16,$AK16,$AO16,$AQ16,$AS16),3)),0)</f>
        <v>1</v>
      </c>
      <c r="BA16" s="300">
        <f>(IF(AND(AW16&gt;0,$AV16&gt;0),AW16/$AV16,0))*0.25</f>
        <v>0.25</v>
      </c>
      <c r="BB16" s="300">
        <f>(IF(AND(AX16&gt;0,$AV16&gt;0),AX16/$AV16,0))*0.5</f>
        <v>0.5</v>
      </c>
      <c r="BC16" s="300">
        <f>(IF(AND(AY16&gt;0,$AV16&gt;0),AY16/$AV16,0))*0.75</f>
        <v>0.75</v>
      </c>
      <c r="BD16" s="300">
        <f t="shared" ref="BD16" si="1">(IF(AND(AZ16&gt;0,$AV16&gt;0),AZ16/$AV16,0))</f>
        <v>1</v>
      </c>
      <c r="BE16" s="305">
        <f>((IF(AND(AW16&gt;0,$F16&gt;0),AW16/$F16,0))/4)*0.25</f>
        <v>6.25E-2</v>
      </c>
      <c r="BF16" s="305">
        <f>((IF(AND(AX16&gt;0,$F16&gt;0),AX16/$F16,0))/4)*0.5</f>
        <v>0.125</v>
      </c>
      <c r="BG16" s="304">
        <f>((IF(AND(AY16&gt;0,$F16&gt;0),AY16/$F16,0))/4)*0.75</f>
        <v>0.1875</v>
      </c>
      <c r="BH16" s="305">
        <f>((IF(AND(AZ16&gt;0,$F16&gt;0),AZ16/$F16,0))/4)</f>
        <v>0.25</v>
      </c>
    </row>
    <row r="17" spans="2:60" ht="78.599999999999994" customHeight="1">
      <c r="B17" s="1479"/>
      <c r="C17" s="1479"/>
      <c r="D17" s="27" t="str">
        <f>+'01-FR-03 POA INSTITUCIONAL'!D94</f>
        <v>4.6.2 Desarrollar el 100% de los productos para comunicación y divulgación interna que contribuyan a la consecución de objetivos institucionales</v>
      </c>
      <c r="E17" s="38">
        <f>+'01-FR-03 POA INSTITUCIONAL'!E94</f>
        <v>0.5</v>
      </c>
      <c r="F17" s="38">
        <f>+'01-FR-03 POA INSTITUCIONAL'!F94</f>
        <v>1</v>
      </c>
      <c r="G17" s="38">
        <f>+'01-FR-03 POA INSTITUCIONAL'!L94</f>
        <v>1</v>
      </c>
      <c r="H17" s="38">
        <f>+'01-FR-03 POA INSTITUCIONAL'!G94</f>
        <v>1</v>
      </c>
      <c r="I17" s="1030" t="str">
        <f>+'01-FR-03 POA INSTITUCIONAL'!H94</f>
        <v>Productos  de comunicación interna
desarrollados</v>
      </c>
      <c r="J17" s="185" t="s">
        <v>586</v>
      </c>
      <c r="K17" s="400" t="s">
        <v>589</v>
      </c>
      <c r="L17" s="187" t="s">
        <v>587</v>
      </c>
      <c r="M17" s="187" t="s">
        <v>584</v>
      </c>
      <c r="N17" s="187" t="s">
        <v>585</v>
      </c>
      <c r="O17" s="55" t="str">
        <f>+'01-FR-03 POA INSTITUCIONAL'!J94</f>
        <v>Oficina Asesora de Comunicaciones</v>
      </c>
      <c r="P17" s="1048">
        <v>1</v>
      </c>
      <c r="Q17" s="117">
        <v>1</v>
      </c>
      <c r="R17" s="1048">
        <v>1</v>
      </c>
      <c r="S17" s="117">
        <v>1</v>
      </c>
      <c r="T17" s="1048">
        <v>1</v>
      </c>
      <c r="U17" s="117">
        <v>1</v>
      </c>
      <c r="V17" s="62">
        <f t="shared" ref="V17" si="2">AVERAGE(P17,R17,T17)</f>
        <v>1</v>
      </c>
      <c r="W17" s="62">
        <f t="shared" ref="W17" si="3">IFERROR(AVERAGE(Q17,S17,U17),0)</f>
        <v>1</v>
      </c>
      <c r="X17" s="1048">
        <v>1</v>
      </c>
      <c r="Y17" s="117">
        <v>1</v>
      </c>
      <c r="Z17" s="1048">
        <v>1</v>
      </c>
      <c r="AA17" s="117">
        <v>1</v>
      </c>
      <c r="AB17" s="1048">
        <v>1</v>
      </c>
      <c r="AC17" s="117">
        <v>1</v>
      </c>
      <c r="AD17" s="62">
        <f t="shared" ref="AD17" si="4">AVERAGE(X17,Z17,AB17)</f>
        <v>1</v>
      </c>
      <c r="AE17" s="62">
        <f t="shared" ref="AE17" si="5">IFERROR(AVERAGE(Y17,AA17,AC17),0)</f>
        <v>1</v>
      </c>
      <c r="AF17" s="1048">
        <v>1</v>
      </c>
      <c r="AG17" s="1048">
        <v>1</v>
      </c>
      <c r="AH17" s="1048">
        <v>1</v>
      </c>
      <c r="AI17" s="117">
        <v>1</v>
      </c>
      <c r="AJ17" s="1048">
        <v>1</v>
      </c>
      <c r="AK17" s="117">
        <v>1</v>
      </c>
      <c r="AL17" s="62">
        <f t="shared" ref="AL17" si="6">AVERAGE(AF17,AH17,AJ17)</f>
        <v>1</v>
      </c>
      <c r="AM17" s="62">
        <f t="shared" ref="AM17" si="7">IFERROR(AVERAGE(AG17,AI17,AK17),0)</f>
        <v>1</v>
      </c>
      <c r="AN17" s="1048">
        <v>1</v>
      </c>
      <c r="AO17" s="117">
        <v>1</v>
      </c>
      <c r="AP17" s="1048">
        <v>1</v>
      </c>
      <c r="AQ17" s="960">
        <v>1</v>
      </c>
      <c r="AR17" s="1048">
        <v>1</v>
      </c>
      <c r="AS17" s="117">
        <v>1</v>
      </c>
      <c r="AT17" s="62">
        <f t="shared" ref="AT17" si="8">AVERAGE(AN17,AP17,AR17)</f>
        <v>1</v>
      </c>
      <c r="AU17" s="62">
        <f t="shared" ref="AU17" si="9">IFERROR(AVERAGE(AO17,AQ17,AS17),0)</f>
        <v>1</v>
      </c>
      <c r="AV17" s="62">
        <f t="shared" ref="AV17" si="10">AVERAGE(P17,R17,T17,X17,Z17,AB17,AF17,AH17,AJ17,AN17,AP17,AR17)</f>
        <v>1</v>
      </c>
      <c r="AW17" s="44">
        <f>IFERROR(IF(OR($AV$17="",$AV$17=0),0,ROUNDDOWN(AVERAGE($Q17,$S17,$U17),3)),0)</f>
        <v>1</v>
      </c>
      <c r="AX17" s="44">
        <f>IFERROR(IF(OR($AV$17="",$AV$17=0),0,ROUNDDOWN(AVERAGE($Q17,$S17,$U17,$Y17,$AA17,$AC17),3)),0)</f>
        <v>1</v>
      </c>
      <c r="AY17" s="44">
        <f>IFERROR(IF(OR($AV$17="",$AV$17=0),0,ROUNDDOWN(AVERAGE($Q17,$S17,$U17,$Y17,$AA17,$AC17,$AG17,$AI17,$AK17),3)),0)</f>
        <v>1</v>
      </c>
      <c r="AZ17" s="44">
        <f>IFERROR(IF(OR($AV$17="",$AV$17=0),0,ROUNDDOWN(AVERAGE($Q17,$S17,$U17,$Y17,$AA17,$AC17,$AG17,$AI17,$AK17,$AO17,$AQ17,$AS17),3)),0)</f>
        <v>1</v>
      </c>
      <c r="BA17" s="300">
        <f>(IF(AND(AW17&gt;0,$AV17&gt;0),AW17/$AV17,0))*0.25</f>
        <v>0.25</v>
      </c>
      <c r="BB17" s="300">
        <f>(IF(AND(AX17&gt;0,$AV17&gt;0),AX17/$AV17,0))*0.5</f>
        <v>0.5</v>
      </c>
      <c r="BC17" s="300">
        <f>(IF(AND(AY17&gt;0,$AV17&gt;0),AY17/$AV17,0))*0.75</f>
        <v>0.75</v>
      </c>
      <c r="BD17" s="300">
        <f t="shared" ref="BD17" si="11">(IF(AND(AZ17&gt;0,$AV17&gt;0),AZ17/$AV17,0))</f>
        <v>1</v>
      </c>
      <c r="BE17" s="305">
        <f>((IF(AND(AW17&gt;0,$F17&gt;0),AW17/$F17,0))*0.25)*0.25</f>
        <v>6.25E-2</v>
      </c>
      <c r="BF17" s="305">
        <f>((IF(AND(AX17&gt;0,$F17&gt;0),AX17/$F17,0))/4)*0.5</f>
        <v>0.125</v>
      </c>
      <c r="BG17" s="304">
        <f>((IF(AND(AY17&gt;0,$F17&gt;0),AY17/$F17,0))/4)*0.75</f>
        <v>0.1875</v>
      </c>
      <c r="BH17" s="305">
        <f>((IF(AND(AZ17&gt;0,$F17&gt;0),AZ17/$F17,0))/4)</f>
        <v>0.25</v>
      </c>
    </row>
    <row r="18" spans="2:60" ht="22.8">
      <c r="B18" s="1504"/>
      <c r="C18" s="1505"/>
      <c r="D18" s="1505"/>
      <c r="E18" s="1505"/>
      <c r="F18" s="1505"/>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1505"/>
      <c r="AJ18" s="1505"/>
      <c r="AK18" s="1505"/>
      <c r="AL18" s="1505"/>
      <c r="AM18" s="1505"/>
      <c r="AN18" s="1505"/>
      <c r="AO18" s="1505"/>
      <c r="AP18" s="1505"/>
      <c r="AQ18" s="1505"/>
      <c r="AR18" s="1505"/>
      <c r="AS18" s="1505"/>
      <c r="AT18" s="1505"/>
      <c r="AU18" s="1505"/>
      <c r="AV18" s="1505"/>
      <c r="AW18" s="1583"/>
      <c r="AX18" s="1538" t="s">
        <v>19</v>
      </c>
      <c r="AY18" s="1581"/>
      <c r="AZ18" s="1581"/>
      <c r="BA18" s="1037">
        <f t="shared" ref="BA18:BD18" si="12">AVERAGE(BA16:BA17)</f>
        <v>0.25</v>
      </c>
      <c r="BB18" s="1037">
        <f t="shared" si="12"/>
        <v>0.5</v>
      </c>
      <c r="BC18" s="1037">
        <f t="shared" si="12"/>
        <v>0.75</v>
      </c>
      <c r="BD18" s="1037">
        <f t="shared" si="12"/>
        <v>1</v>
      </c>
      <c r="BE18" s="1595"/>
      <c r="BF18" s="1596"/>
      <c r="BG18" s="1596"/>
      <c r="BH18" s="1597"/>
    </row>
    <row r="19" spans="2:60">
      <c r="B19" s="1500"/>
      <c r="C19" s="1500"/>
      <c r="D19" s="1500"/>
      <c r="E19" s="1500"/>
      <c r="F19" s="1500"/>
      <c r="G19" s="1500"/>
      <c r="H19" s="208"/>
      <c r="I19" s="209"/>
      <c r="J19" s="209"/>
      <c r="K19" s="209"/>
      <c r="L19" s="209"/>
      <c r="M19" s="209"/>
      <c r="N19" s="209"/>
      <c r="O19" s="209"/>
    </row>
    <row r="20" spans="2:60">
      <c r="B20" s="209"/>
      <c r="C20" s="209"/>
      <c r="D20" s="1520"/>
      <c r="E20" s="1520"/>
      <c r="F20" s="1520"/>
      <c r="G20" s="1520"/>
      <c r="H20" s="1520"/>
      <c r="I20" s="1520"/>
      <c r="J20" s="1520"/>
      <c r="K20" s="1520"/>
      <c r="L20" s="1520"/>
      <c r="M20" s="1520"/>
      <c r="N20" s="1520"/>
      <c r="O20" s="1520"/>
    </row>
    <row r="21" spans="2:60" ht="15.6" customHeight="1">
      <c r="B21" s="54" t="s">
        <v>26</v>
      </c>
      <c r="C21" s="210">
        <v>44224</v>
      </c>
      <c r="D21" s="211"/>
      <c r="E21" s="1510" t="s">
        <v>50</v>
      </c>
      <c r="F21" s="1598" t="s">
        <v>1192</v>
      </c>
      <c r="G21" s="1599"/>
      <c r="H21" s="1599"/>
      <c r="I21" s="1599"/>
      <c r="J21" s="1600"/>
      <c r="K21" s="212"/>
      <c r="L21" s="1567"/>
      <c r="M21" s="1567"/>
      <c r="N21" s="1567"/>
      <c r="O21" s="1587"/>
      <c r="T21" s="275"/>
    </row>
    <row r="22" spans="2:60" ht="15.6">
      <c r="B22" s="209"/>
      <c r="C22" s="209"/>
      <c r="D22" s="212"/>
      <c r="E22" s="1510"/>
      <c r="F22" s="1601"/>
      <c r="G22" s="1602"/>
      <c r="H22" s="1602"/>
      <c r="I22" s="1602"/>
      <c r="J22" s="1603"/>
      <c r="K22" s="209"/>
      <c r="L22" s="209"/>
      <c r="M22" s="209"/>
      <c r="N22" s="209"/>
      <c r="O22" s="209"/>
    </row>
    <row r="23" spans="2:60" ht="15.6">
      <c r="B23" s="54" t="s">
        <v>49</v>
      </c>
      <c r="C23" s="56">
        <v>44581</v>
      </c>
      <c r="D23" s="209"/>
      <c r="E23" s="209"/>
      <c r="F23" s="209"/>
      <c r="K23" s="209"/>
      <c r="L23" s="209"/>
      <c r="M23" s="209"/>
      <c r="N23" s="209"/>
      <c r="O23" s="209"/>
    </row>
    <row r="24" spans="2:60">
      <c r="B24" s="209"/>
      <c r="C24" s="209"/>
      <c r="D24" s="209"/>
      <c r="E24" s="209"/>
      <c r="F24" s="209"/>
      <c r="K24" s="209"/>
      <c r="L24" s="209"/>
      <c r="M24" s="209"/>
      <c r="N24" s="209"/>
      <c r="O24" s="209"/>
    </row>
    <row r="25" spans="2:60">
      <c r="B25" s="1047" t="s">
        <v>674</v>
      </c>
      <c r="C25" s="209"/>
      <c r="D25" s="209"/>
      <c r="E25" s="209"/>
      <c r="F25" s="209"/>
      <c r="G25" s="208"/>
      <c r="H25" s="208"/>
      <c r="I25" s="1586"/>
      <c r="J25" s="1586"/>
      <c r="K25" s="1586"/>
      <c r="L25" s="1586"/>
      <c r="M25" s="1034"/>
      <c r="N25" s="1034"/>
      <c r="O25" s="1034"/>
    </row>
    <row r="26" spans="2:60">
      <c r="B26" s="209"/>
      <c r="C26" s="209"/>
      <c r="D26" s="209"/>
      <c r="E26" s="209"/>
      <c r="F26" s="209"/>
      <c r="G26" s="208"/>
      <c r="H26" s="208"/>
      <c r="I26" s="209"/>
      <c r="J26" s="209"/>
      <c r="K26" s="214"/>
      <c r="L26" s="209"/>
      <c r="M26" s="209"/>
      <c r="N26" s="209"/>
      <c r="O26" s="209"/>
    </row>
    <row r="27" spans="2:60">
      <c r="B27" s="209"/>
      <c r="C27" s="209"/>
      <c r="D27" s="209"/>
      <c r="E27" s="209"/>
      <c r="F27" s="209"/>
      <c r="G27" s="208"/>
      <c r="H27" s="208"/>
      <c r="I27" s="1586"/>
      <c r="J27" s="1586"/>
      <c r="K27" s="1586"/>
      <c r="L27" s="1586"/>
      <c r="M27" s="1034"/>
      <c r="N27" s="1034"/>
      <c r="O27" s="1034"/>
    </row>
    <row r="28" spans="2:60">
      <c r="B28" s="209"/>
      <c r="C28" s="209"/>
      <c r="D28" s="209"/>
      <c r="E28" s="209"/>
      <c r="F28" s="209"/>
      <c r="G28" s="208"/>
      <c r="H28" s="208"/>
      <c r="I28" s="209"/>
      <c r="J28" s="209"/>
      <c r="K28" s="214"/>
      <c r="L28" s="209"/>
      <c r="M28" s="209"/>
      <c r="N28" s="209"/>
      <c r="O28" s="209"/>
    </row>
    <row r="29" spans="2:60">
      <c r="B29" s="209"/>
      <c r="C29" s="209"/>
      <c r="D29" s="209"/>
      <c r="E29" s="209"/>
      <c r="F29" s="209"/>
      <c r="G29" s="208"/>
      <c r="H29" s="208"/>
      <c r="I29" s="1586"/>
      <c r="J29" s="1586"/>
      <c r="K29" s="1586"/>
      <c r="L29" s="1586"/>
      <c r="M29" s="1034"/>
      <c r="N29" s="1034"/>
      <c r="O29" s="1034"/>
    </row>
  </sheetData>
  <sheetProtection algorithmName="SHA-512" hashValue="bVfhcX0wkaQk27rXkzcLmJGVhJ3rZyQ3Rk44RFnNxgYfWl37Fis/ogkfg6f0qJyREnyk5/VuY9nTxcjkVM0weA==" saltValue="ohtA6d/b1+AIzH6G9y+bag==" spinCount="100000" sheet="1" objects="1" scenarios="1"/>
  <mergeCells count="71">
    <mergeCell ref="BE18:BH18"/>
    <mergeCell ref="I25:L25"/>
    <mergeCell ref="I27:L27"/>
    <mergeCell ref="I29:L29"/>
    <mergeCell ref="B19:G19"/>
    <mergeCell ref="B18:AW18"/>
    <mergeCell ref="AX18:AZ18"/>
    <mergeCell ref="D20:O20"/>
    <mergeCell ref="E21:E22"/>
    <mergeCell ref="L21:O21"/>
    <mergeCell ref="F21:J22"/>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G13:BG15"/>
    <mergeCell ref="BE12:BH12"/>
    <mergeCell ref="BH13:BH15"/>
    <mergeCell ref="AW13:AW15"/>
    <mergeCell ref="AX13:AX15"/>
    <mergeCell ref="AY13:AY15"/>
    <mergeCell ref="AZ13:AZ15"/>
    <mergeCell ref="BA13:BA15"/>
    <mergeCell ref="BB13:BB15"/>
    <mergeCell ref="BC13:BC15"/>
    <mergeCell ref="BD13:BD15"/>
    <mergeCell ref="BE13:BE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K12:K15"/>
    <mergeCell ref="C2:BF6"/>
    <mergeCell ref="AJ14:AK14"/>
    <mergeCell ref="AL14:AM14"/>
    <mergeCell ref="P13:W13"/>
    <mergeCell ref="AV12:AV15"/>
    <mergeCell ref="AW12:AZ12"/>
    <mergeCell ref="BA12:BD12"/>
    <mergeCell ref="BF13:BF15"/>
    <mergeCell ref="F12:F15"/>
    <mergeCell ref="B2:B6"/>
    <mergeCell ref="B12:B15"/>
    <mergeCell ref="C12:C15"/>
    <mergeCell ref="D12:D15"/>
    <mergeCell ref="E12:E15"/>
    <mergeCell ref="C10:D10"/>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92D050"/>
  </sheetPr>
  <dimension ref="B1:BH47"/>
  <sheetViews>
    <sheetView showGridLines="0" zoomScale="55" zoomScaleNormal="55"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39.6640625" style="105" customWidth="1"/>
    <col min="4" max="4" width="66.109375" style="105" customWidth="1"/>
    <col min="5" max="6" width="27.88671875" style="105" customWidth="1"/>
    <col min="7" max="7" width="23.5546875" style="106" customWidth="1"/>
    <col min="8" max="8" width="13.33203125" style="106" customWidth="1"/>
    <col min="9" max="9" width="46.88671875" style="105" customWidth="1"/>
    <col min="10" max="10" width="63" style="105" customWidth="1"/>
    <col min="11" max="11" width="69.33203125" style="105" customWidth="1"/>
    <col min="12" max="12" width="48.44140625" style="105" customWidth="1"/>
    <col min="13" max="13" width="28.5546875" style="105" customWidth="1"/>
    <col min="14" max="14" width="30.6640625" style="105" customWidth="1"/>
    <col min="15" max="15" width="60.44140625" style="105" customWidth="1"/>
    <col min="16" max="47" width="15.88671875" style="107" customWidth="1"/>
    <col min="48" max="48" width="24.5546875" style="107" customWidth="1"/>
    <col min="49" max="52" width="17.88671875" style="107" customWidth="1"/>
    <col min="53" max="56" width="18.88671875" style="107" customWidth="1"/>
    <col min="57" max="60" width="18.44140625" style="107" customWidth="1"/>
    <col min="61" max="16384" width="17.33203125" style="107"/>
  </cols>
  <sheetData>
    <row r="1" spans="2:60" ht="15" customHeight="1" thickBot="1"/>
    <row r="2" spans="2:60" ht="16.5" customHeight="1">
      <c r="B2" s="1496"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6.5" customHeight="1">
      <c r="B3" s="1497"/>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6.5" customHeight="1">
      <c r="B4" s="1497"/>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6.5" customHeight="1">
      <c r="B5" s="1497"/>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6.5" customHeight="1" thickBot="1">
      <c r="B6" s="1498"/>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487">
        <v>44306</v>
      </c>
      <c r="BH6" s="1488"/>
    </row>
    <row r="7" spans="2:60" ht="19.5" customHeight="1">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8.5" customHeight="1">
      <c r="B8" s="183" t="s">
        <v>45</v>
      </c>
      <c r="C8" s="1533" t="s">
        <v>88</v>
      </c>
      <c r="D8" s="1533"/>
      <c r="E8" s="184"/>
      <c r="F8" s="184"/>
      <c r="G8" s="184"/>
      <c r="H8" s="184"/>
      <c r="I8" s="184"/>
      <c r="J8" s="184"/>
      <c r="K8" s="184"/>
      <c r="L8" s="184"/>
      <c r="M8" s="184"/>
      <c r="N8" s="184"/>
      <c r="O8" s="184"/>
      <c r="AW8" s="1035"/>
      <c r="AX8" s="1035"/>
      <c r="AY8" s="1035"/>
      <c r="AZ8" s="1035"/>
      <c r="BA8" s="1035"/>
      <c r="BB8" s="1035"/>
      <c r="BC8" s="1035"/>
      <c r="BD8" s="1035"/>
    </row>
    <row r="9" spans="2:60" ht="98.25" customHeight="1">
      <c r="B9" s="183" t="s">
        <v>34</v>
      </c>
      <c r="C9" s="1573" t="s">
        <v>198</v>
      </c>
      <c r="D9" s="1574"/>
      <c r="E9" s="184"/>
      <c r="F9" s="184"/>
      <c r="G9" s="184"/>
      <c r="H9" s="184"/>
      <c r="I9" s="184"/>
      <c r="J9" s="184"/>
      <c r="K9" s="184"/>
      <c r="L9" s="184"/>
      <c r="M9" s="184"/>
      <c r="N9" s="184"/>
      <c r="O9" s="184"/>
      <c r="AW9" s="1035"/>
      <c r="AX9" s="1035"/>
      <c r="AY9" s="1035"/>
      <c r="AZ9" s="1035"/>
      <c r="BA9" s="1035"/>
      <c r="BB9" s="1035"/>
      <c r="BC9" s="1035"/>
      <c r="BD9" s="1035"/>
    </row>
    <row r="10" spans="2:60" ht="30" customHeight="1">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ht="14.25" customHeight="1">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33" customHeight="1">
      <c r="B12" s="1430" t="s">
        <v>0</v>
      </c>
      <c r="C12" s="1430" t="s">
        <v>52</v>
      </c>
      <c r="D12" s="1430" t="s">
        <v>704</v>
      </c>
      <c r="E12" s="1430" t="s">
        <v>61</v>
      </c>
      <c r="F12" s="1430"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75" t="s">
        <v>676</v>
      </c>
      <c r="AX12" s="1576"/>
      <c r="AY12" s="1576"/>
      <c r="AZ12" s="1577"/>
      <c r="BA12" s="1578" t="s">
        <v>677</v>
      </c>
      <c r="BB12" s="1579"/>
      <c r="BC12" s="1579"/>
      <c r="BD12" s="1580"/>
      <c r="BE12" s="1569" t="s">
        <v>678</v>
      </c>
      <c r="BF12" s="1570"/>
      <c r="BG12" s="1570"/>
      <c r="BH12" s="1571"/>
    </row>
    <row r="13" spans="2:60" ht="21.75" customHeight="1">
      <c r="B13" s="1430"/>
      <c r="C13" s="1430"/>
      <c r="D13" s="1430"/>
      <c r="E13" s="1430"/>
      <c r="F13" s="1430"/>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21.75" customHeight="1">
      <c r="B14" s="1430"/>
      <c r="C14" s="1430"/>
      <c r="D14" s="1430"/>
      <c r="E14" s="1430"/>
      <c r="F14" s="1430"/>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21.75" customHeight="1">
      <c r="B15" s="1430"/>
      <c r="C15" s="1430"/>
      <c r="D15" s="1430"/>
      <c r="E15" s="1430"/>
      <c r="F15" s="1430"/>
      <c r="G15" s="1430"/>
      <c r="H15" s="1430"/>
      <c r="I15" s="1430"/>
      <c r="J15" s="1430"/>
      <c r="K15" s="1430"/>
      <c r="L15" s="1430"/>
      <c r="M15" s="1430"/>
      <c r="N15" s="1430"/>
      <c r="O15" s="1430"/>
      <c r="P15" s="217" t="s">
        <v>17</v>
      </c>
      <c r="Q15" s="218" t="s">
        <v>18</v>
      </c>
      <c r="R15" s="217" t="s">
        <v>17</v>
      </c>
      <c r="S15" s="218" t="s">
        <v>18</v>
      </c>
      <c r="T15" s="217" t="s">
        <v>17</v>
      </c>
      <c r="U15" s="218" t="s">
        <v>18</v>
      </c>
      <c r="V15" s="219" t="s">
        <v>17</v>
      </c>
      <c r="W15" s="220" t="s">
        <v>18</v>
      </c>
      <c r="X15" s="217" t="s">
        <v>17</v>
      </c>
      <c r="Y15" s="218" t="s">
        <v>18</v>
      </c>
      <c r="Z15" s="217" t="s">
        <v>17</v>
      </c>
      <c r="AA15" s="218" t="s">
        <v>18</v>
      </c>
      <c r="AB15" s="217" t="s">
        <v>17</v>
      </c>
      <c r="AC15" s="218" t="s">
        <v>18</v>
      </c>
      <c r="AD15" s="219" t="s">
        <v>17</v>
      </c>
      <c r="AE15" s="220" t="s">
        <v>18</v>
      </c>
      <c r="AF15" s="217" t="s">
        <v>17</v>
      </c>
      <c r="AG15" s="218" t="s">
        <v>18</v>
      </c>
      <c r="AH15" s="217" t="s">
        <v>17</v>
      </c>
      <c r="AI15" s="218" t="s">
        <v>18</v>
      </c>
      <c r="AJ15" s="217" t="s">
        <v>17</v>
      </c>
      <c r="AK15" s="218" t="s">
        <v>18</v>
      </c>
      <c r="AL15" s="219" t="s">
        <v>17</v>
      </c>
      <c r="AM15" s="220" t="s">
        <v>18</v>
      </c>
      <c r="AN15" s="217" t="s">
        <v>17</v>
      </c>
      <c r="AO15" s="218" t="s">
        <v>18</v>
      </c>
      <c r="AP15" s="217" t="s">
        <v>17</v>
      </c>
      <c r="AQ15" s="218" t="s">
        <v>18</v>
      </c>
      <c r="AR15" s="217" t="s">
        <v>17</v>
      </c>
      <c r="AS15" s="218" t="s">
        <v>18</v>
      </c>
      <c r="AT15" s="219" t="s">
        <v>17</v>
      </c>
      <c r="AU15" s="220" t="s">
        <v>18</v>
      </c>
      <c r="AV15" s="1548"/>
      <c r="AW15" s="1554"/>
      <c r="AX15" s="1554"/>
      <c r="AY15" s="1554"/>
      <c r="AZ15" s="1554"/>
      <c r="BA15" s="1560"/>
      <c r="BB15" s="1560"/>
      <c r="BC15" s="1560"/>
      <c r="BD15" s="1560"/>
      <c r="BE15" s="1563"/>
      <c r="BF15" s="1563"/>
      <c r="BG15" s="1563"/>
      <c r="BH15" s="1563"/>
    </row>
    <row r="16" spans="2:60" ht="92.25" customHeight="1">
      <c r="B16" s="1605" t="str" cm="1">
        <f t="array" ref="B16">'[5]POA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1477" t="str">
        <f>+'01-FR-03 POA INSTITUCIONAL'!C13</f>
        <v>1.1. Realizar 884.203 acciones que promuevan la defensa, garantía y restablecimiento de los derechos de las personas en el Distrito Capital.</v>
      </c>
      <c r="D16" s="270" t="str">
        <f>+'01-FR-03 POA INSTITUCIONAL'!D13</f>
        <v>1.1.1 Realizar 356.610 intervenciones dentro del ejercicio del Ministerio Público para prevenir la vulneración de derechos y/o lograr el  restablecimiento de los mismos.</v>
      </c>
      <c r="E16" s="38">
        <f>+'01-FR-03 POA INSTITUCIONAL'!E13</f>
        <v>0.38</v>
      </c>
      <c r="F16" s="111">
        <f>+'01-FR-03 POA INSTITUCIONAL'!F13</f>
        <v>356610</v>
      </c>
      <c r="G16" s="111">
        <f>+'01-FR-03 POA INSTITUCIONAL'!L13</f>
        <v>106660</v>
      </c>
      <c r="H16" s="1030" t="str">
        <f>+'01-FR-03 POA INSTITUCIONAL'!G13</f>
        <v>S.I.</v>
      </c>
      <c r="I16" s="1030" t="str">
        <f>+'01-FR-03 POA INSTITUCIONAL'!H13</f>
        <v>Intervenciones realizadas en defensa de los derechos</v>
      </c>
      <c r="J16" s="1030" t="s">
        <v>223</v>
      </c>
      <c r="K16" s="244" t="s">
        <v>199</v>
      </c>
      <c r="L16" s="205" t="s">
        <v>1098</v>
      </c>
      <c r="M16" s="186" t="s">
        <v>200</v>
      </c>
      <c r="N16" s="186" t="s">
        <v>201</v>
      </c>
      <c r="O16" s="30" t="str">
        <f>+'01-FR-03 POA INSTITUCIONAL'!J13</f>
        <v>P.D. para Asuntos Penales I, Penales II, Derechos Humanos y Policivos y Civiles
P.D. para los Sectores Planeación y Movilidad y la P.D. para los Sectores Educación y Cultura, Recreación y Deporte</v>
      </c>
      <c r="P16" s="759">
        <f>15+6610</f>
        <v>6625</v>
      </c>
      <c r="Q16" s="759">
        <v>8588</v>
      </c>
      <c r="R16" s="759">
        <f>50+9290</f>
        <v>9340</v>
      </c>
      <c r="S16" s="759">
        <v>8736</v>
      </c>
      <c r="T16" s="759">
        <f>50+9290</f>
        <v>9340</v>
      </c>
      <c r="U16" s="759">
        <v>11821</v>
      </c>
      <c r="V16" s="39">
        <f>P16+R16+T16</f>
        <v>25305</v>
      </c>
      <c r="W16" s="39">
        <f>Q16+S16+U16</f>
        <v>29145</v>
      </c>
      <c r="X16" s="759">
        <f>50+9290</f>
        <v>9340</v>
      </c>
      <c r="Y16" s="759">
        <v>8812</v>
      </c>
      <c r="Z16" s="759">
        <f>50+9290</f>
        <v>9340</v>
      </c>
      <c r="AA16" s="759">
        <v>10975</v>
      </c>
      <c r="AB16" s="759">
        <f>50+9290</f>
        <v>9340</v>
      </c>
      <c r="AC16" s="759">
        <v>13576</v>
      </c>
      <c r="AD16" s="39">
        <f>X16+Z16+AB16</f>
        <v>28020</v>
      </c>
      <c r="AE16" s="39">
        <f>Y16+AA16+AC16</f>
        <v>33363</v>
      </c>
      <c r="AF16" s="759">
        <f>50+9290</f>
        <v>9340</v>
      </c>
      <c r="AG16" s="759">
        <v>11629</v>
      </c>
      <c r="AH16" s="759">
        <f>50+9290</f>
        <v>9340</v>
      </c>
      <c r="AI16" s="759">
        <v>12194</v>
      </c>
      <c r="AJ16" s="759">
        <f>50+9290</f>
        <v>9340</v>
      </c>
      <c r="AK16" s="830">
        <v>12270</v>
      </c>
      <c r="AL16" s="39">
        <f>AF16+AH16+AJ16</f>
        <v>28020</v>
      </c>
      <c r="AM16" s="39">
        <f>AG16+AI16+AK16</f>
        <v>36093</v>
      </c>
      <c r="AN16" s="759">
        <f>50+9290</f>
        <v>9340</v>
      </c>
      <c r="AO16" s="759">
        <v>10886</v>
      </c>
      <c r="AP16" s="759">
        <f>50+9290</f>
        <v>9340</v>
      </c>
      <c r="AQ16" s="759">
        <v>11759</v>
      </c>
      <c r="AR16" s="830">
        <f>25+6610</f>
        <v>6635</v>
      </c>
      <c r="AS16" s="759">
        <v>8818</v>
      </c>
      <c r="AT16" s="39">
        <f>AN16+AP16+AR16</f>
        <v>25315</v>
      </c>
      <c r="AU16" s="39">
        <f>AO16+AQ16+AS16</f>
        <v>31463</v>
      </c>
      <c r="AV16" s="221">
        <f>V16+AD16+AL16+AT16</f>
        <v>106660</v>
      </c>
      <c r="AW16" s="57">
        <f>+W16</f>
        <v>29145</v>
      </c>
      <c r="AX16" s="57">
        <f>+W16+AE16</f>
        <v>62508</v>
      </c>
      <c r="AY16" s="57">
        <f>+W16+AE16+AM16</f>
        <v>98601</v>
      </c>
      <c r="AZ16" s="57">
        <f>+W16+AE16+AM16+AU16</f>
        <v>130064</v>
      </c>
      <c r="BA16" s="281">
        <f>IF(AND(AW16&gt;0,$AV16&gt;0),AW16/$AV16,0)</f>
        <v>0.273251453215826</v>
      </c>
      <c r="BB16" s="281">
        <f t="shared" ref="BB16:BD16" si="0">IF(AND(AX16&gt;0,$AV16&gt;0),AX16/$AV16,0)</f>
        <v>0.58604912807050435</v>
      </c>
      <c r="BC16" s="281">
        <f t="shared" si="0"/>
        <v>0.92444215263453966</v>
      </c>
      <c r="BD16" s="281">
        <f t="shared" si="0"/>
        <v>1.2194262141383836</v>
      </c>
      <c r="BE16" s="304">
        <f>(IF(AND(AW16&gt;0,$F16&gt;0),AW16/$F16,0))</f>
        <v>8.1727938083620763E-2</v>
      </c>
      <c r="BF16" s="304">
        <f t="shared" ref="BF16:BH20" si="1">(IF(AND(AX16&gt;0,$F16&gt;0),AX16/$F16,0))</f>
        <v>0.17528392361403214</v>
      </c>
      <c r="BG16" s="304">
        <f t="shared" si="1"/>
        <v>0.27649533103390256</v>
      </c>
      <c r="BH16" s="869">
        <f t="shared" si="1"/>
        <v>0.36472336726395782</v>
      </c>
    </row>
    <row r="17" spans="2:60" ht="111.75" customHeight="1">
      <c r="B17" s="1606"/>
      <c r="C17" s="1478"/>
      <c r="D17" s="270" t="str">
        <f>+'01-FR-03 POA INSTITUCIONAL'!D14</f>
        <v>1.1.2 Orientar 292.755 personas en garantía de derechos.</v>
      </c>
      <c r="E17" s="38">
        <f>+'01-FR-03 POA INSTITUCIONAL'!E14</f>
        <v>0.3</v>
      </c>
      <c r="F17" s="111">
        <f>+'01-FR-03 POA INSTITUCIONAL'!F14</f>
        <v>292755</v>
      </c>
      <c r="G17" s="111">
        <f>+'01-FR-03 POA INSTITUCIONAL'!L14</f>
        <v>97105</v>
      </c>
      <c r="H17" s="1030" t="str">
        <f>+'01-FR-03 POA INSTITUCIONAL'!G14</f>
        <v>S.I.</v>
      </c>
      <c r="I17" s="1030" t="str">
        <f>+'01-FR-03 POA INSTITUCIONAL'!H14</f>
        <v>Personas orientadas en garantía de derechos</v>
      </c>
      <c r="J17" s="1030" t="s">
        <v>224</v>
      </c>
      <c r="K17" s="244" t="s">
        <v>202</v>
      </c>
      <c r="L17" s="205" t="s">
        <v>1099</v>
      </c>
      <c r="M17" s="186" t="s">
        <v>200</v>
      </c>
      <c r="N17" s="186" t="s">
        <v>201</v>
      </c>
      <c r="O17" s="30"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759">
        <f>800+450+4200</f>
        <v>5450</v>
      </c>
      <c r="Q17" s="759">
        <v>6641</v>
      </c>
      <c r="R17" s="759">
        <f>1000+450+6166</f>
        <v>7616</v>
      </c>
      <c r="S17" s="759">
        <v>9767</v>
      </c>
      <c r="T17" s="759">
        <f>1100+450+7005</f>
        <v>8555</v>
      </c>
      <c r="U17" s="759">
        <v>10099</v>
      </c>
      <c r="V17" s="39">
        <f t="shared" ref="V17:W35" si="2">P17+R17+T17</f>
        <v>21621</v>
      </c>
      <c r="W17" s="39">
        <f t="shared" si="2"/>
        <v>26507</v>
      </c>
      <c r="X17" s="759">
        <f>1100+450+6772</f>
        <v>8322</v>
      </c>
      <c r="Y17" s="759">
        <v>7470</v>
      </c>
      <c r="Z17" s="759">
        <f>1000+450+7373</f>
        <v>8823</v>
      </c>
      <c r="AA17" s="759">
        <v>9865</v>
      </c>
      <c r="AB17" s="759">
        <f>1000+450+7402</f>
        <v>8852</v>
      </c>
      <c r="AC17" s="830">
        <v>10363</v>
      </c>
      <c r="AD17" s="39">
        <f t="shared" ref="AD17:AE35" si="3">X17+Z17+AB17</f>
        <v>25997</v>
      </c>
      <c r="AE17" s="39">
        <f t="shared" si="3"/>
        <v>27698</v>
      </c>
      <c r="AF17" s="759">
        <f>1000+450+7432</f>
        <v>8882</v>
      </c>
      <c r="AG17" s="759">
        <v>9512</v>
      </c>
      <c r="AH17" s="759">
        <f>1000+450+7432</f>
        <v>8882</v>
      </c>
      <c r="AI17" s="759">
        <v>10259</v>
      </c>
      <c r="AJ17" s="759">
        <f>1000+450+7431</f>
        <v>8881</v>
      </c>
      <c r="AK17" s="830">
        <v>10584</v>
      </c>
      <c r="AL17" s="39">
        <f t="shared" ref="AL17:AM35" si="4">AF17+AH17+AJ17</f>
        <v>26645</v>
      </c>
      <c r="AM17" s="39">
        <f t="shared" si="4"/>
        <v>30355</v>
      </c>
      <c r="AN17" s="830">
        <f>1000+450+7211</f>
        <v>8661</v>
      </c>
      <c r="AO17" s="759">
        <v>9778</v>
      </c>
      <c r="AP17" s="830">
        <f>1000+450+7096</f>
        <v>8546</v>
      </c>
      <c r="AQ17" s="759">
        <v>10845</v>
      </c>
      <c r="AR17" s="830">
        <f>1000+50+4585</f>
        <v>5635</v>
      </c>
      <c r="AS17" s="759">
        <v>8453</v>
      </c>
      <c r="AT17" s="39">
        <f t="shared" ref="AT17:AU35" si="5">AN17+AP17+AR17</f>
        <v>22842</v>
      </c>
      <c r="AU17" s="39">
        <f t="shared" si="5"/>
        <v>29076</v>
      </c>
      <c r="AV17" s="221">
        <f t="shared" ref="AV17:AV35" si="6">V17+AD17+AL17+AT17</f>
        <v>97105</v>
      </c>
      <c r="AW17" s="57">
        <f t="shared" ref="AW17:AW35" si="7">+W17</f>
        <v>26507</v>
      </c>
      <c r="AX17" s="57">
        <f t="shared" ref="AX17:AX35" si="8">+W17+AE17</f>
        <v>54205</v>
      </c>
      <c r="AY17" s="57">
        <f t="shared" ref="AY17:AY35" si="9">+W17+AE17+AM17</f>
        <v>84560</v>
      </c>
      <c r="AZ17" s="57">
        <f t="shared" ref="AZ17:AZ35" si="10">+W17+AE17+AM17+AU17</f>
        <v>113636</v>
      </c>
      <c r="BA17" s="281">
        <f t="shared" ref="BA17:BA18" si="11">IF(AND(AW17&gt;0,$AV17&gt;0),AW17/$AV17,0)</f>
        <v>0.27297255548118016</v>
      </c>
      <c r="BB17" s="281">
        <f t="shared" ref="BB17:BB19" si="12">IF(AND(AX17&gt;0,$AV17&gt;0),AX17/$AV17,0)</f>
        <v>0.55821018485144946</v>
      </c>
      <c r="BC17" s="281">
        <f t="shared" ref="BC17:BC19" si="13">IF(AND(AY17&gt;0,$AV17&gt;0),AY17/$AV17,0)</f>
        <v>0.870809947994439</v>
      </c>
      <c r="BD17" s="281">
        <f t="shared" ref="BD17:BD19" si="14">IF(AND(AZ17&gt;0,$AV17&gt;0),AZ17/$AV17,0)</f>
        <v>1.170238401730086</v>
      </c>
      <c r="BE17" s="304">
        <f t="shared" ref="BE17:BE20" si="15">(IF(AND(AW17&gt;0,$F17&gt;0),AW17/$F17,0))</f>
        <v>9.0543287048897539E-2</v>
      </c>
      <c r="BF17" s="304">
        <f t="shared" si="1"/>
        <v>0.18515482229167735</v>
      </c>
      <c r="BG17" s="304">
        <f t="shared" si="1"/>
        <v>0.28884220594012056</v>
      </c>
      <c r="BH17" s="869">
        <f t="shared" si="1"/>
        <v>0.3881607487489539</v>
      </c>
    </row>
    <row r="18" spans="2:60" ht="138.75" customHeight="1">
      <c r="B18" s="1606"/>
      <c r="C18" s="1478"/>
      <c r="D18" s="270" t="str">
        <f>+'01-FR-03 POA INSTITUCIONAL'!D15</f>
        <v>1.1.3 Asistir 117.610 personas en garantía de derechos.</v>
      </c>
      <c r="E18" s="38">
        <f>+'01-FR-03 POA INSTITUCIONAL'!E15</f>
        <v>0.15</v>
      </c>
      <c r="F18" s="111">
        <f>+'01-FR-03 POA INSTITUCIONAL'!F15</f>
        <v>117610</v>
      </c>
      <c r="G18" s="111">
        <f>+'01-FR-03 POA INSTITUCIONAL'!L15</f>
        <v>26115</v>
      </c>
      <c r="H18" s="1030" t="str">
        <f>+'01-FR-03 POA INSTITUCIONAL'!G15</f>
        <v>S.I.</v>
      </c>
      <c r="I18" s="1030" t="str">
        <f>+'01-FR-03 POA INSTITUCIONAL'!H15</f>
        <v>Personas asistidas en garantía de derechos</v>
      </c>
      <c r="J18" s="1030" t="s">
        <v>225</v>
      </c>
      <c r="K18" s="244" t="s">
        <v>203</v>
      </c>
      <c r="L18" s="205" t="s">
        <v>1100</v>
      </c>
      <c r="M18" s="186" t="s">
        <v>200</v>
      </c>
      <c r="N18" s="186" t="s">
        <v>201</v>
      </c>
      <c r="O18" s="30"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759">
        <f>150+0+1050</f>
        <v>1200</v>
      </c>
      <c r="Q18" s="759">
        <v>2792</v>
      </c>
      <c r="R18" s="759">
        <f>350+800+1580</f>
        <v>2730</v>
      </c>
      <c r="S18" s="759">
        <v>3287</v>
      </c>
      <c r="T18" s="759">
        <f>350+800+1590</f>
        <v>2740</v>
      </c>
      <c r="U18" s="759">
        <v>3439</v>
      </c>
      <c r="V18" s="39">
        <f t="shared" si="2"/>
        <v>6670</v>
      </c>
      <c r="W18" s="39">
        <f t="shared" si="2"/>
        <v>9518</v>
      </c>
      <c r="X18" s="759">
        <f>350+800+1440</f>
        <v>2590</v>
      </c>
      <c r="Y18" s="759">
        <v>2925</v>
      </c>
      <c r="Z18" s="759">
        <f>350+800+1640</f>
        <v>2790</v>
      </c>
      <c r="AA18" s="759">
        <v>3810</v>
      </c>
      <c r="AB18" s="759">
        <f>350+800+1635</f>
        <v>2785</v>
      </c>
      <c r="AC18" s="759">
        <v>3563</v>
      </c>
      <c r="AD18" s="39">
        <f t="shared" si="3"/>
        <v>8165</v>
      </c>
      <c r="AE18" s="39">
        <f t="shared" si="3"/>
        <v>10298</v>
      </c>
      <c r="AF18" s="759">
        <f>350+800+1635</f>
        <v>2785</v>
      </c>
      <c r="AG18" s="759">
        <v>2914</v>
      </c>
      <c r="AH18" s="759">
        <f>350+800+840</f>
        <v>1990</v>
      </c>
      <c r="AI18" s="759">
        <v>3658</v>
      </c>
      <c r="AJ18" s="759">
        <f>350+800+840</f>
        <v>1990</v>
      </c>
      <c r="AK18" s="759">
        <v>3530</v>
      </c>
      <c r="AL18" s="39">
        <f t="shared" si="4"/>
        <v>6765</v>
      </c>
      <c r="AM18" s="39">
        <f t="shared" si="4"/>
        <v>10102</v>
      </c>
      <c r="AN18" s="759">
        <f>350+800+785</f>
        <v>1935</v>
      </c>
      <c r="AO18" s="759">
        <v>3406</v>
      </c>
      <c r="AP18" s="759">
        <f>350+800+790</f>
        <v>1940</v>
      </c>
      <c r="AQ18" s="759">
        <v>4002</v>
      </c>
      <c r="AR18" s="830">
        <f>150+0+490</f>
        <v>640</v>
      </c>
      <c r="AS18" s="759">
        <v>3246</v>
      </c>
      <c r="AT18" s="39">
        <f t="shared" si="5"/>
        <v>4515</v>
      </c>
      <c r="AU18" s="39">
        <f t="shared" si="5"/>
        <v>10654</v>
      </c>
      <c r="AV18" s="221">
        <f t="shared" si="6"/>
        <v>26115</v>
      </c>
      <c r="AW18" s="57">
        <f t="shared" si="7"/>
        <v>9518</v>
      </c>
      <c r="AX18" s="57">
        <f t="shared" si="8"/>
        <v>19816</v>
      </c>
      <c r="AY18" s="57">
        <f t="shared" si="9"/>
        <v>29918</v>
      </c>
      <c r="AZ18" s="57">
        <f t="shared" si="10"/>
        <v>40572</v>
      </c>
      <c r="BA18" s="281">
        <f t="shared" si="11"/>
        <v>0.36446486693471186</v>
      </c>
      <c r="BB18" s="281">
        <f t="shared" si="12"/>
        <v>0.75879762588550637</v>
      </c>
      <c r="BC18" s="281">
        <f t="shared" si="13"/>
        <v>1.1456251196630289</v>
      </c>
      <c r="BD18" s="281">
        <f t="shared" si="14"/>
        <v>1.5535898908673176</v>
      </c>
      <c r="BE18" s="304">
        <f t="shared" si="15"/>
        <v>8.0928492475129662E-2</v>
      </c>
      <c r="BF18" s="304">
        <f t="shared" si="1"/>
        <v>0.16848907405832839</v>
      </c>
      <c r="BG18" s="304">
        <f t="shared" si="1"/>
        <v>0.25438313068616614</v>
      </c>
      <c r="BH18" s="869">
        <f t="shared" si="1"/>
        <v>0.3449706657597143</v>
      </c>
    </row>
    <row r="19" spans="2:60" ht="84" customHeight="1">
      <c r="B19" s="1606"/>
      <c r="C19" s="1478"/>
      <c r="D19" s="270" t="str">
        <f>+'01-FR-03 POA INSTITUCIONAL'!D16</f>
        <v>1.1.4 Asistir a 28.586 personas en mecanismos alternativos de solución de conflictos.</v>
      </c>
      <c r="E19" s="38">
        <f>+'01-FR-03 POA INSTITUCIONAL'!E16</f>
        <v>0.04</v>
      </c>
      <c r="F19" s="111">
        <f>+'01-FR-03 POA INSTITUCIONAL'!F16</f>
        <v>28586</v>
      </c>
      <c r="G19" s="111">
        <f>+'01-FR-03 POA INSTITUCIONAL'!L16</f>
        <v>6900</v>
      </c>
      <c r="H19" s="1030" t="str">
        <f>+'01-FR-03 POA INSTITUCIONAL'!G16</f>
        <v>S.I.</v>
      </c>
      <c r="I19" s="1030" t="str">
        <f>+'01-FR-03 POA INSTITUCIONAL'!H16</f>
        <v>Personas asistidas en Mecanismos Alternativos de Solución de Conflictos</v>
      </c>
      <c r="J19" s="1030" t="s">
        <v>226</v>
      </c>
      <c r="K19" s="244" t="s">
        <v>204</v>
      </c>
      <c r="L19" s="1046" t="s">
        <v>1101</v>
      </c>
      <c r="M19" s="186" t="s">
        <v>200</v>
      </c>
      <c r="N19" s="186" t="s">
        <v>201</v>
      </c>
      <c r="O19" s="30" t="str">
        <f>+'01-FR-03 POA INSTITUCIONAL'!J16</f>
        <v>Dirección de Conciliación y M.A.S.C.</v>
      </c>
      <c r="P19" s="759">
        <v>300</v>
      </c>
      <c r="Q19" s="759">
        <v>916</v>
      </c>
      <c r="R19" s="759">
        <v>300</v>
      </c>
      <c r="S19" s="759">
        <v>1152</v>
      </c>
      <c r="T19" s="759">
        <v>300</v>
      </c>
      <c r="U19" s="759">
        <v>1221</v>
      </c>
      <c r="V19" s="39">
        <f t="shared" si="2"/>
        <v>900</v>
      </c>
      <c r="W19" s="39">
        <f t="shared" si="2"/>
        <v>3289</v>
      </c>
      <c r="X19" s="759">
        <v>500</v>
      </c>
      <c r="Y19" s="759">
        <v>948</v>
      </c>
      <c r="Z19" s="759">
        <v>500</v>
      </c>
      <c r="AA19" s="759">
        <v>1153</v>
      </c>
      <c r="AB19" s="759">
        <v>500</v>
      </c>
      <c r="AC19" s="759">
        <v>1098</v>
      </c>
      <c r="AD19" s="39">
        <f t="shared" si="3"/>
        <v>1500</v>
      </c>
      <c r="AE19" s="39">
        <f t="shared" si="3"/>
        <v>3199</v>
      </c>
      <c r="AF19" s="759">
        <v>700</v>
      </c>
      <c r="AG19" s="759">
        <v>1070</v>
      </c>
      <c r="AH19" s="759">
        <v>700</v>
      </c>
      <c r="AI19" s="759">
        <v>1332</v>
      </c>
      <c r="AJ19" s="759">
        <v>700</v>
      </c>
      <c r="AK19" s="759">
        <v>1307</v>
      </c>
      <c r="AL19" s="39">
        <f t="shared" si="4"/>
        <v>2100</v>
      </c>
      <c r="AM19" s="39">
        <f t="shared" si="4"/>
        <v>3709</v>
      </c>
      <c r="AN19" s="759">
        <v>800</v>
      </c>
      <c r="AO19" s="759">
        <v>1543</v>
      </c>
      <c r="AP19" s="759">
        <v>800</v>
      </c>
      <c r="AQ19" s="759">
        <v>1417</v>
      </c>
      <c r="AR19" s="759">
        <v>800</v>
      </c>
      <c r="AS19" s="759">
        <v>1384</v>
      </c>
      <c r="AT19" s="39">
        <f t="shared" si="5"/>
        <v>2400</v>
      </c>
      <c r="AU19" s="39">
        <f t="shared" si="5"/>
        <v>4344</v>
      </c>
      <c r="AV19" s="221">
        <f t="shared" si="6"/>
        <v>6900</v>
      </c>
      <c r="AW19" s="57">
        <f t="shared" si="7"/>
        <v>3289</v>
      </c>
      <c r="AX19" s="57">
        <f t="shared" si="8"/>
        <v>6488</v>
      </c>
      <c r="AY19" s="57">
        <f t="shared" si="9"/>
        <v>10197</v>
      </c>
      <c r="AZ19" s="57">
        <f t="shared" si="10"/>
        <v>14541</v>
      </c>
      <c r="BA19" s="281">
        <f>IF(AND(AW19&gt;0,$AV19&gt;0),AW19/$AV19,0)</f>
        <v>0.47666666666666668</v>
      </c>
      <c r="BB19" s="281">
        <f t="shared" si="12"/>
        <v>0.94028985507246376</v>
      </c>
      <c r="BC19" s="281">
        <f t="shared" si="13"/>
        <v>1.4778260869565218</v>
      </c>
      <c r="BD19" s="281">
        <f t="shared" si="14"/>
        <v>2.1073913043478263</v>
      </c>
      <c r="BE19" s="304">
        <f t="shared" si="15"/>
        <v>0.11505632127614916</v>
      </c>
      <c r="BF19" s="304">
        <f t="shared" si="1"/>
        <v>0.22696424823340097</v>
      </c>
      <c r="BG19" s="304">
        <f t="shared" si="1"/>
        <v>0.35671307633107113</v>
      </c>
      <c r="BH19" s="869">
        <f t="shared" si="1"/>
        <v>0.5086755754565172</v>
      </c>
    </row>
    <row r="20" spans="2:60" ht="144.75" customHeight="1">
      <c r="B20" s="1606"/>
      <c r="C20" s="1478"/>
      <c r="D20" s="270" t="str">
        <f>+'01-FR-03 POA INSTITUCIONAL'!D17</f>
        <v>1.1.5 Atender y gestionar 55.722 peticiones y/o requerimientos presentados por la comunidad en garantía de derechos.</v>
      </c>
      <c r="E20" s="38">
        <f>+'01-FR-03 POA INSTITUCIONAL'!E17</f>
        <v>0.06</v>
      </c>
      <c r="F20" s="111">
        <f>+'01-FR-03 POA INSTITUCIONAL'!F17</f>
        <v>55722</v>
      </c>
      <c r="G20" s="111">
        <f>+'01-FR-03 POA INSTITUCIONAL'!L17</f>
        <v>16115</v>
      </c>
      <c r="H20" s="1030" t="str">
        <f>+'01-FR-03 POA INSTITUCIONAL'!G17</f>
        <v>S.I.</v>
      </c>
      <c r="I20" s="1030" t="str">
        <f>+'01-FR-03 POA INSTITUCIONAL'!H17</f>
        <v>Peticiones o requerimientos ciudadanos atendidos en garantía de derechos</v>
      </c>
      <c r="J20" s="1030" t="s">
        <v>235</v>
      </c>
      <c r="K20" s="244" t="s">
        <v>203</v>
      </c>
      <c r="L20" s="205" t="s">
        <v>1102</v>
      </c>
      <c r="M20" s="186" t="s">
        <v>200</v>
      </c>
      <c r="N20" s="186" t="s">
        <v>201</v>
      </c>
      <c r="O20" s="30" t="str">
        <f>+'01-FR-03 POA INSTITUCIONAL'!J17</f>
        <v>* P.D. para la Coordinación del MP y DDHH, P.D. para Asuntos Penales I, Penales II, Policivos y Civiles, Derechos Humanos, Familia y Orientación y Asistencia.
* P.D. para la Coordinación de la Gestión de Personerías Locales y sus Personerías Locales adscritas
* P.D. para la Coordinación de la Prevención y Control a la Función Pública y sus dependencias adscritas</v>
      </c>
      <c r="P20" s="759">
        <f>400+150+268</f>
        <v>818</v>
      </c>
      <c r="Q20" s="759">
        <v>1275</v>
      </c>
      <c r="R20" s="759">
        <f>600+150+525</f>
        <v>1275</v>
      </c>
      <c r="S20" s="759">
        <v>1642</v>
      </c>
      <c r="T20" s="759">
        <f>600+150+565</f>
        <v>1315</v>
      </c>
      <c r="U20" s="759">
        <v>2185</v>
      </c>
      <c r="V20" s="39">
        <f t="shared" si="2"/>
        <v>3408</v>
      </c>
      <c r="W20" s="39">
        <f t="shared" si="2"/>
        <v>5102</v>
      </c>
      <c r="X20" s="759">
        <f>700+150+565</f>
        <v>1415</v>
      </c>
      <c r="Y20" s="759">
        <v>1767</v>
      </c>
      <c r="Z20" s="759">
        <f>700+150+575</f>
        <v>1425</v>
      </c>
      <c r="AA20" s="759">
        <v>2240</v>
      </c>
      <c r="AB20" s="759">
        <f>700+150+575</f>
        <v>1425</v>
      </c>
      <c r="AC20" s="759">
        <v>1957</v>
      </c>
      <c r="AD20" s="39">
        <f t="shared" si="3"/>
        <v>4265</v>
      </c>
      <c r="AE20" s="39">
        <f t="shared" si="3"/>
        <v>5964</v>
      </c>
      <c r="AF20" s="759">
        <f>700+150+575</f>
        <v>1425</v>
      </c>
      <c r="AG20" s="759">
        <v>2183</v>
      </c>
      <c r="AH20" s="759">
        <f>700+150+575</f>
        <v>1425</v>
      </c>
      <c r="AI20" s="759">
        <v>2309</v>
      </c>
      <c r="AJ20" s="759">
        <f>700+150+575</f>
        <v>1425</v>
      </c>
      <c r="AK20" s="759">
        <v>2068</v>
      </c>
      <c r="AL20" s="39">
        <f t="shared" si="4"/>
        <v>4275</v>
      </c>
      <c r="AM20" s="39">
        <f t="shared" si="4"/>
        <v>6560</v>
      </c>
      <c r="AN20" s="759">
        <f>800+150+570</f>
        <v>1520</v>
      </c>
      <c r="AO20" s="759">
        <v>1930</v>
      </c>
      <c r="AP20" s="759">
        <f>800+150+570</f>
        <v>1520</v>
      </c>
      <c r="AQ20" s="759">
        <v>2358</v>
      </c>
      <c r="AR20" s="759">
        <f>600+150+377</f>
        <v>1127</v>
      </c>
      <c r="AS20" s="759">
        <v>2563</v>
      </c>
      <c r="AT20" s="39">
        <f t="shared" si="5"/>
        <v>4167</v>
      </c>
      <c r="AU20" s="39">
        <f t="shared" si="5"/>
        <v>6851</v>
      </c>
      <c r="AV20" s="221">
        <f t="shared" si="6"/>
        <v>16115</v>
      </c>
      <c r="AW20" s="57">
        <f t="shared" si="7"/>
        <v>5102</v>
      </c>
      <c r="AX20" s="57">
        <f t="shared" si="8"/>
        <v>11066</v>
      </c>
      <c r="AY20" s="57">
        <f t="shared" si="9"/>
        <v>17626</v>
      </c>
      <c r="AZ20" s="57">
        <f t="shared" si="10"/>
        <v>24477</v>
      </c>
      <c r="BA20" s="281">
        <f t="shared" ref="BA20:BA21" si="16">IF(AND(AW20&gt;0,$AV20&gt;0),AW20/$AV20,0)</f>
        <v>0.31659944151411729</v>
      </c>
      <c r="BB20" s="281">
        <f t="shared" ref="BB20:BB21" si="17">IF(AND(AX20&gt;0,$AV20&gt;0),AX20/$AV20,0)</f>
        <v>0.6866894197952218</v>
      </c>
      <c r="BC20" s="281">
        <f t="shared" ref="BC20:BC21" si="18">IF(AND(AY20&gt;0,$AV20&gt;0),AY20/$AV20,0)</f>
        <v>1.0937635743096494</v>
      </c>
      <c r="BD20" s="281">
        <f t="shared" ref="BD20:BD21" si="19">IF(AND(AZ20&gt;0,$AV20&gt;0),AZ20/$AV20,0)</f>
        <v>1.5188954390319578</v>
      </c>
      <c r="BE20" s="304">
        <f t="shared" si="15"/>
        <v>9.1561681203115461E-2</v>
      </c>
      <c r="BF20" s="304">
        <f t="shared" si="1"/>
        <v>0.19859301532608306</v>
      </c>
      <c r="BG20" s="304">
        <f t="shared" si="1"/>
        <v>0.31632030436811315</v>
      </c>
      <c r="BH20" s="869">
        <f t="shared" si="1"/>
        <v>0.43926994723807472</v>
      </c>
    </row>
    <row r="21" spans="2:60" ht="189.75" customHeight="1">
      <c r="B21" s="1606"/>
      <c r="C21" s="1478"/>
      <c r="D21" s="270" t="str">
        <f>+'01-FR-03 POA INSTITUCIONAL'!D18</f>
        <v>1.1.6 Generar 80 espacios de mejora, de transferencia de conocimientos y buenas prácticas que permitan brindar una atención idónea a las personas que acuden a la Personería de Bogotá, D. C</v>
      </c>
      <c r="E21" s="38">
        <f>+'01-FR-03 POA INSTITUCIONAL'!E18</f>
        <v>0.01</v>
      </c>
      <c r="F21" s="111">
        <f>+'01-FR-03 POA INSTITUCIONAL'!F18</f>
        <v>80</v>
      </c>
      <c r="G21" s="111">
        <f>+'01-FR-03 POA INSTITUCIONAL'!L18</f>
        <v>20</v>
      </c>
      <c r="H21" s="1030" t="str">
        <f>+'01-FR-03 POA INSTITUCIONAL'!G18</f>
        <v>S.I.</v>
      </c>
      <c r="I21" s="1030" t="str">
        <f>+'01-FR-03 POA INSTITUCIONAL'!H18</f>
        <v>Espacios de mejora y transferencia de conocimiento realizados</v>
      </c>
      <c r="J21" s="1030" t="s">
        <v>227</v>
      </c>
      <c r="K21" s="244" t="s">
        <v>205</v>
      </c>
      <c r="L21" s="205" t="s">
        <v>206</v>
      </c>
      <c r="M21" s="186" t="s">
        <v>200</v>
      </c>
      <c r="N21" s="186" t="s">
        <v>201</v>
      </c>
      <c r="O21" s="30" t="str">
        <f>+'01-FR-03 POA INSTITUCIONAL'!J18</f>
        <v>P.D. para la Coordinación del MP y DDHH y sus dependencias adscritas.</v>
      </c>
      <c r="P21" s="759">
        <v>0</v>
      </c>
      <c r="Q21" s="759">
        <v>0</v>
      </c>
      <c r="R21" s="759">
        <v>0</v>
      </c>
      <c r="S21" s="759">
        <v>0</v>
      </c>
      <c r="T21" s="759">
        <v>2</v>
      </c>
      <c r="U21" s="759">
        <v>0</v>
      </c>
      <c r="V21" s="39">
        <f t="shared" si="2"/>
        <v>2</v>
      </c>
      <c r="W21" s="39">
        <f t="shared" si="2"/>
        <v>0</v>
      </c>
      <c r="X21" s="759">
        <v>5</v>
      </c>
      <c r="Y21" s="759">
        <v>3</v>
      </c>
      <c r="Z21" s="759">
        <v>3</v>
      </c>
      <c r="AA21" s="759">
        <v>3</v>
      </c>
      <c r="AB21" s="759">
        <v>3</v>
      </c>
      <c r="AC21" s="759">
        <v>5</v>
      </c>
      <c r="AD21" s="39">
        <f t="shared" si="3"/>
        <v>11</v>
      </c>
      <c r="AE21" s="39">
        <f t="shared" si="3"/>
        <v>11</v>
      </c>
      <c r="AF21" s="759">
        <v>3</v>
      </c>
      <c r="AG21" s="759">
        <v>2</v>
      </c>
      <c r="AH21" s="759">
        <v>2</v>
      </c>
      <c r="AI21" s="759">
        <v>1</v>
      </c>
      <c r="AJ21" s="830">
        <v>1</v>
      </c>
      <c r="AK21" s="830">
        <v>1</v>
      </c>
      <c r="AL21" s="39">
        <f t="shared" si="4"/>
        <v>6</v>
      </c>
      <c r="AM21" s="39">
        <f t="shared" si="4"/>
        <v>4</v>
      </c>
      <c r="AN21" s="759">
        <v>1</v>
      </c>
      <c r="AO21" s="759">
        <v>5</v>
      </c>
      <c r="AP21" s="759">
        <v>0</v>
      </c>
      <c r="AQ21" s="759">
        <v>0</v>
      </c>
      <c r="AR21" s="759">
        <v>0</v>
      </c>
      <c r="AS21" s="759">
        <v>0</v>
      </c>
      <c r="AT21" s="39">
        <f t="shared" si="5"/>
        <v>1</v>
      </c>
      <c r="AU21" s="39">
        <f t="shared" si="5"/>
        <v>5</v>
      </c>
      <c r="AV21" s="221">
        <f t="shared" si="6"/>
        <v>20</v>
      </c>
      <c r="AW21" s="57">
        <f t="shared" si="7"/>
        <v>0</v>
      </c>
      <c r="AX21" s="57">
        <f t="shared" si="8"/>
        <v>11</v>
      </c>
      <c r="AY21" s="57">
        <f t="shared" si="9"/>
        <v>15</v>
      </c>
      <c r="AZ21" s="57">
        <f t="shared" si="10"/>
        <v>20</v>
      </c>
      <c r="BA21" s="281">
        <f t="shared" si="16"/>
        <v>0</v>
      </c>
      <c r="BB21" s="281">
        <f t="shared" si="17"/>
        <v>0.55000000000000004</v>
      </c>
      <c r="BC21" s="281">
        <f t="shared" si="18"/>
        <v>0.75</v>
      </c>
      <c r="BD21" s="281">
        <f t="shared" si="19"/>
        <v>1</v>
      </c>
      <c r="BE21" s="304">
        <f t="shared" ref="BE21" si="20">(IF(AND(AW21&gt;0,$F21&gt;0),AW21/$F21,0))</f>
        <v>0</v>
      </c>
      <c r="BF21" s="304">
        <f t="shared" ref="BF21" si="21">(IF(AND(AX21&gt;0,$F21&gt;0),AX21/$F21,0))</f>
        <v>0.13750000000000001</v>
      </c>
      <c r="BG21" s="304">
        <f t="shared" ref="BG21" si="22">(IF(AND(AY21&gt;0,$F21&gt;0),AY21/$F21,0))</f>
        <v>0.1875</v>
      </c>
      <c r="BH21" s="869">
        <f t="shared" ref="BH21" si="23">(IF(AND(AZ21&gt;0,$F21&gt;0),AZ21/$F21,0))</f>
        <v>0.25</v>
      </c>
    </row>
    <row r="22" spans="2:60" ht="160.5" customHeight="1">
      <c r="B22" s="1606"/>
      <c r="C22" s="1478"/>
      <c r="D22" s="270" t="str">
        <f>+'01-FR-03 POA INSTITUCIONAL'!D19</f>
        <v>1.1.7 Entregar en un termino menor a los cinco (5) días hábiles, mas del 95% de las solicitudes de elaboración de tutelas, desacatos e impugnaciones que realicen las personas en el Distrito Capital.</v>
      </c>
      <c r="E22" s="38">
        <f>+'01-FR-03 POA INSTITUCIONAL'!E19</f>
        <v>0.01</v>
      </c>
      <c r="F22" s="111" t="str">
        <f>+'01-FR-03 POA INSTITUCIONAL'!F19</f>
        <v>&gt;=95%</v>
      </c>
      <c r="G22" s="111" t="str">
        <f>+'01-FR-03 POA INSTITUCIONAL'!L19</f>
        <v>&gt;=95%</v>
      </c>
      <c r="H22" s="1030" t="str">
        <f>+'01-FR-03 POA INSTITUCIONAL'!G19</f>
        <v>S.I.</v>
      </c>
      <c r="I22" s="1030" t="str">
        <f>+'01-FR-03 POA INSTITUCIONAL'!H19</f>
        <v>Porcentaje de Acciones de Tutela, Desacatos e Impugnaciones Entregadas en un Termino Menor a Cinco (5) Días Hábiles</v>
      </c>
      <c r="J22" s="1030" t="s">
        <v>228</v>
      </c>
      <c r="K22" s="244" t="s">
        <v>207</v>
      </c>
      <c r="L22" s="784" t="s">
        <v>208</v>
      </c>
      <c r="M22" s="186" t="s">
        <v>200</v>
      </c>
      <c r="N22" s="186" t="s">
        <v>201</v>
      </c>
      <c r="O22" s="30" t="str">
        <f>+'01-FR-03 POA INSTITUCIONAL'!J19</f>
        <v>P.D. para Asuntos Jurisdiccionales, Víctimas y Penal II.
P.D. para la Coordinación de la Gestión de Personerías Locales y sus Personerías Locales adscritas</v>
      </c>
      <c r="P22" s="829">
        <v>0.95</v>
      </c>
      <c r="Q22" s="829">
        <v>1</v>
      </c>
      <c r="R22" s="829">
        <v>0.95</v>
      </c>
      <c r="S22" s="829">
        <v>1</v>
      </c>
      <c r="T22" s="829">
        <v>0.95</v>
      </c>
      <c r="U22" s="829">
        <v>1</v>
      </c>
      <c r="V22" s="289">
        <f>AVERAGE(P22,R22,T22)</f>
        <v>0.94999999999999984</v>
      </c>
      <c r="W22" s="289">
        <f>IFERROR(AVERAGE(Q22,S22,U22),0)</f>
        <v>1</v>
      </c>
      <c r="X22" s="829">
        <v>0.95</v>
      </c>
      <c r="Y22" s="906">
        <v>1</v>
      </c>
      <c r="Z22" s="829">
        <v>0.95</v>
      </c>
      <c r="AA22" s="906">
        <v>1</v>
      </c>
      <c r="AB22" s="829">
        <v>0.95</v>
      </c>
      <c r="AC22" s="906">
        <v>1</v>
      </c>
      <c r="AD22" s="289">
        <f>AVERAGE(X22,Z22,AB22)</f>
        <v>0.94999999999999984</v>
      </c>
      <c r="AE22" s="289">
        <f>IFERROR(AVERAGE(Y22,AA22,AC22),0)</f>
        <v>1</v>
      </c>
      <c r="AF22" s="829">
        <v>0.95</v>
      </c>
      <c r="AG22" s="906">
        <v>1</v>
      </c>
      <c r="AH22" s="829">
        <v>0.95</v>
      </c>
      <c r="AI22" s="906">
        <v>0.998</v>
      </c>
      <c r="AJ22" s="829">
        <v>0.95</v>
      </c>
      <c r="AK22" s="906">
        <v>1</v>
      </c>
      <c r="AL22" s="289">
        <f>AVERAGE(AF22,AH22,AJ22)</f>
        <v>0.94999999999999984</v>
      </c>
      <c r="AM22" s="289">
        <f>IFERROR(AVERAGE(AG22,AI22,AK22),0)</f>
        <v>0.99933333333333341</v>
      </c>
      <c r="AN22" s="829">
        <v>0.95</v>
      </c>
      <c r="AO22" s="906">
        <v>0.998</v>
      </c>
      <c r="AP22" s="829">
        <v>0.95</v>
      </c>
      <c r="AQ22" s="906">
        <v>1</v>
      </c>
      <c r="AR22" s="829">
        <v>0.95</v>
      </c>
      <c r="AS22" s="906">
        <v>0.996</v>
      </c>
      <c r="AT22" s="289">
        <f>AVERAGE(AN22,AP22,AR22)</f>
        <v>0.94999999999999984</v>
      </c>
      <c r="AU22" s="289">
        <f>IFERROR(AVERAGE(AO22,AQ22,AS22),0)</f>
        <v>0.99799999999999989</v>
      </c>
      <c r="AV22" s="289">
        <f>AVERAGE(P22,R22,T22,X22,Z22,AB22,AF22,AH22,AJ22,AN22,AP22,AR22)</f>
        <v>0.94999999999999984</v>
      </c>
      <c r="AW22" s="271">
        <f>IFERROR(IF(OR($AV$22="",$AV$22=0),0,ROUNDDOWN(AVERAGE($Q22,$S22,$U22),3)),0)</f>
        <v>1</v>
      </c>
      <c r="AX22" s="271">
        <f>IFERROR(IF(OR($AV$22="",$AV$22=0),0,ROUNDDOWN(AVERAGE($Q22,$S22,$U22,$Y22,$AA22,$AC22),3)),0)</f>
        <v>1</v>
      </c>
      <c r="AY22" s="271">
        <f>IFERROR(IF(OR($AV$22="",$AV$22=0),0,ROUNDDOWN(AVERAGE($Q22,$S22,$U22,$Y22,$AA22,$AC22,$AG22,$AI22,$AK22),3)),0)</f>
        <v>0.999</v>
      </c>
      <c r="AZ22" s="271">
        <f>IFERROR(IF(OR($AV$22="",$AV$22=0),0,ROUNDDOWN(AVERAGE($Q22,$S22,$U22,$Y22,$AA22,$AC22,$AG22,$AI22,$AK22,$AO22,$AQ22,$AS22),3)),0)</f>
        <v>0.999</v>
      </c>
      <c r="BA22" s="281">
        <f>IF(AND(AW22&gt;0,$AV22&gt;0),AW22/$AV22,0)*0.25</f>
        <v>0.26315789473684215</v>
      </c>
      <c r="BB22" s="281">
        <f>IF(AND(AX22&gt;0,$AV22&gt;0),AX22/$AV22,0)*0.5</f>
        <v>0.52631578947368429</v>
      </c>
      <c r="BC22" s="281">
        <f>IF(AND(AY22&gt;0,$AV22&gt;0),AY22/$AV22,0)*0.75</f>
        <v>0.78868421052631588</v>
      </c>
      <c r="BD22" s="281">
        <f>IF(AND(AZ22&gt;0,$AV22&gt;0),AZ22/$AV22,0)</f>
        <v>1.0515789473684212</v>
      </c>
      <c r="BE22" s="304">
        <f>((IF(AND(AW22&gt;0,95%&gt;0),AW22/95%,0))/4)*0.25</f>
        <v>6.5789473684210523E-2</v>
      </c>
      <c r="BF22" s="304">
        <f>((IF(AND(AX22&gt;0,95%&gt;0),AX22/95%,0))/4)*0.5</f>
        <v>0.13157894736842105</v>
      </c>
      <c r="BG22" s="304">
        <f>((IF(AND(AY22&gt;0,95%&gt;0),AY22/95%,0))/4)*0.75</f>
        <v>0.19717105263157897</v>
      </c>
      <c r="BH22" s="869">
        <f>(IF(AND(AZ22&gt;0,95%&gt;0),AZ22/95%,0))/4</f>
        <v>0.26289473684210529</v>
      </c>
    </row>
    <row r="23" spans="2:60" ht="138.75" customHeight="1">
      <c r="B23" s="1606"/>
      <c r="C23" s="1478"/>
      <c r="D23" s="270" t="str">
        <f>+'01-FR-03 POA INSTITUCIONAL'!D20</f>
        <v>1.1.8 Asistir a 19.500 audiencias públicas y realizar las actuaciones que se requieran en protección de los derechos y defensa del interés público, en temas de urbanismo, espacio público, actividad económica y de los comportamientos contrarios a la convivencia (Ley 1801 de 2016)</v>
      </c>
      <c r="E23" s="38">
        <f>+'01-FR-03 POA INSTITUCIONAL'!E20</f>
        <v>0.02</v>
      </c>
      <c r="F23" s="111">
        <f>+'01-FR-03 POA INSTITUCIONAL'!F20</f>
        <v>19500</v>
      </c>
      <c r="G23" s="111">
        <f>+'01-FR-03 POA INSTITUCIONAL'!L20</f>
        <v>6000</v>
      </c>
      <c r="H23" s="1030" t="str">
        <f>+'01-FR-03 POA INSTITUCIONAL'!G20</f>
        <v>S.I.</v>
      </c>
      <c r="I23" s="1030" t="str">
        <f>+'01-FR-03 POA INSTITUCIONAL'!H20</f>
        <v>Audiencias Publicas Realizadas con Asistencia del Ministerio Público</v>
      </c>
      <c r="J23" s="1030" t="s">
        <v>229</v>
      </c>
      <c r="K23" s="244" t="s">
        <v>209</v>
      </c>
      <c r="L23" s="205" t="s">
        <v>1103</v>
      </c>
      <c r="M23" s="186" t="s">
        <v>200</v>
      </c>
      <c r="N23" s="186" t="s">
        <v>201</v>
      </c>
      <c r="O23" s="30" t="str">
        <f>+'01-FR-03 POA INSTITUCIONAL'!J20</f>
        <v>P.D. para la Coordinación de la Gestión de Personerías Locales y sus Personerías Locales adscritas</v>
      </c>
      <c r="P23" s="830">
        <v>0</v>
      </c>
      <c r="Q23" s="759">
        <v>127</v>
      </c>
      <c r="R23" s="830">
        <v>600</v>
      </c>
      <c r="S23" s="759">
        <v>672</v>
      </c>
      <c r="T23" s="830">
        <v>600</v>
      </c>
      <c r="U23" s="759">
        <v>653</v>
      </c>
      <c r="V23" s="39">
        <f t="shared" si="2"/>
        <v>1200</v>
      </c>
      <c r="W23" s="39">
        <f t="shared" si="2"/>
        <v>1452</v>
      </c>
      <c r="X23" s="830">
        <v>600</v>
      </c>
      <c r="Y23" s="759">
        <v>500</v>
      </c>
      <c r="Z23" s="830">
        <v>600</v>
      </c>
      <c r="AA23" s="759">
        <v>846</v>
      </c>
      <c r="AB23" s="830">
        <v>600</v>
      </c>
      <c r="AC23" s="759">
        <v>606</v>
      </c>
      <c r="AD23" s="39">
        <f t="shared" si="3"/>
        <v>1800</v>
      </c>
      <c r="AE23" s="39">
        <f t="shared" si="3"/>
        <v>1952</v>
      </c>
      <c r="AF23" s="830">
        <v>600</v>
      </c>
      <c r="AG23" s="759">
        <v>827</v>
      </c>
      <c r="AH23" s="830">
        <v>600</v>
      </c>
      <c r="AI23" s="759">
        <v>838</v>
      </c>
      <c r="AJ23" s="830">
        <v>600</v>
      </c>
      <c r="AK23" s="759">
        <v>737</v>
      </c>
      <c r="AL23" s="39">
        <f t="shared" si="4"/>
        <v>1800</v>
      </c>
      <c r="AM23" s="39">
        <f t="shared" si="4"/>
        <v>2402</v>
      </c>
      <c r="AN23" s="830">
        <v>600</v>
      </c>
      <c r="AO23" s="759">
        <v>1103</v>
      </c>
      <c r="AP23" s="830">
        <v>600</v>
      </c>
      <c r="AQ23" s="759">
        <v>193</v>
      </c>
      <c r="AR23" s="759">
        <v>0</v>
      </c>
      <c r="AS23" s="759">
        <v>444</v>
      </c>
      <c r="AT23" s="39">
        <f t="shared" si="5"/>
        <v>1200</v>
      </c>
      <c r="AU23" s="39">
        <f t="shared" si="5"/>
        <v>1740</v>
      </c>
      <c r="AV23" s="221">
        <f t="shared" si="6"/>
        <v>6000</v>
      </c>
      <c r="AW23" s="57">
        <f t="shared" si="7"/>
        <v>1452</v>
      </c>
      <c r="AX23" s="57">
        <f t="shared" si="8"/>
        <v>3404</v>
      </c>
      <c r="AY23" s="57">
        <f t="shared" si="9"/>
        <v>5806</v>
      </c>
      <c r="AZ23" s="57">
        <f t="shared" si="10"/>
        <v>7546</v>
      </c>
      <c r="BA23" s="281">
        <f t="shared" ref="BA23:BA24" si="24">IF(AND(AW23&gt;0,$AV23&gt;0),AW23/$AV23,0)</f>
        <v>0.24199999999999999</v>
      </c>
      <c r="BB23" s="281">
        <f t="shared" ref="BB23:BB24" si="25">IF(AND(AX23&gt;0,$AV23&gt;0),AX23/$AV23,0)</f>
        <v>0.56733333333333336</v>
      </c>
      <c r="BC23" s="281">
        <f t="shared" ref="BC23:BC24" si="26">IF(AND(AY23&gt;0,$AV23&gt;0),AY23/$AV23,0)</f>
        <v>0.96766666666666667</v>
      </c>
      <c r="BD23" s="281">
        <f t="shared" ref="BD23:BD24" si="27">IF(AND(AZ23&gt;0,$AV23&gt;0),AZ23/$AV23,0)</f>
        <v>1.2576666666666667</v>
      </c>
      <c r="BE23" s="304">
        <f t="shared" ref="BE23:BE35" si="28">(IF(AND(AW23&gt;0,$F23&gt;0),AW23/$F23,0))</f>
        <v>7.4461538461538468E-2</v>
      </c>
      <c r="BF23" s="304">
        <f t="shared" ref="BF23:BF24" si="29">(IF(AND(AX23&gt;0,$F23&gt;0),AX23/$F23,0))</f>
        <v>0.17456410256410257</v>
      </c>
      <c r="BG23" s="304">
        <f t="shared" ref="BG23:BH24" si="30">(IF(AND(AY23&gt;0,$F23&gt;0),AY23/$F23,0))</f>
        <v>0.29774358974358972</v>
      </c>
      <c r="BH23" s="869">
        <f t="shared" ref="BH23" si="31">(IF(AND(AZ23&gt;0,$F23&gt;0),AZ23/$F23,0))</f>
        <v>0.386974358974359</v>
      </c>
    </row>
    <row r="24" spans="2:60" ht="236.25" customHeight="1">
      <c r="B24" s="1606"/>
      <c r="C24" s="1478"/>
      <c r="D24" s="270" t="str">
        <f>+'01-FR-03 POA INSTITUCIONAL'!D21</f>
        <v>1.1.9 Realizar 11.000 intervenciones de manera oportuna para evitar situaciones de caducidad y perdida de fuerza ejecutoria en las actuaciones administrativas y policivas</v>
      </c>
      <c r="E24" s="38">
        <f>+'01-FR-03 POA INSTITUCIONAL'!E21</f>
        <v>0.01</v>
      </c>
      <c r="F24" s="111">
        <f>+'01-FR-03 POA INSTITUCIONAL'!F21</f>
        <v>11000</v>
      </c>
      <c r="G24" s="111">
        <f>+'01-FR-03 POA INSTITUCIONAL'!L21</f>
        <v>3000</v>
      </c>
      <c r="H24" s="1030" t="str">
        <f>+'01-FR-03 POA INSTITUCIONAL'!G21</f>
        <v>S.I.</v>
      </c>
      <c r="I24" s="1030" t="str">
        <f>+'01-FR-03 POA INSTITUCIONAL'!H21</f>
        <v>Intervenciones realizadas oportunamente para evitar la caducidad y perdida de fuerza ejecutoria (Impulsos procesales)</v>
      </c>
      <c r="J24" s="1030" t="s">
        <v>237</v>
      </c>
      <c r="K24" s="244" t="s">
        <v>210</v>
      </c>
      <c r="L24" s="205" t="s">
        <v>242</v>
      </c>
      <c r="M24" s="186" t="s">
        <v>200</v>
      </c>
      <c r="N24" s="186" t="s">
        <v>201</v>
      </c>
      <c r="O24" s="30" t="str">
        <f>+'01-FR-03 POA INSTITUCIONAL'!J21</f>
        <v>P.D. para la Coordinación de la Gestión de Personerías Locales y sus Personerías Locales adscritas</v>
      </c>
      <c r="P24" s="830">
        <v>0</v>
      </c>
      <c r="Q24" s="759">
        <v>22</v>
      </c>
      <c r="R24" s="830">
        <v>300</v>
      </c>
      <c r="S24" s="759">
        <v>60</v>
      </c>
      <c r="T24" s="830">
        <v>300</v>
      </c>
      <c r="U24" s="759">
        <v>356</v>
      </c>
      <c r="V24" s="39">
        <f t="shared" si="2"/>
        <v>600</v>
      </c>
      <c r="W24" s="39">
        <f t="shared" si="2"/>
        <v>438</v>
      </c>
      <c r="X24" s="830">
        <v>300</v>
      </c>
      <c r="Y24" s="759">
        <v>168</v>
      </c>
      <c r="Z24" s="830">
        <v>300</v>
      </c>
      <c r="AA24" s="759">
        <v>263</v>
      </c>
      <c r="AB24" s="830">
        <v>300</v>
      </c>
      <c r="AC24" s="830">
        <v>296</v>
      </c>
      <c r="AD24" s="39">
        <f t="shared" si="3"/>
        <v>900</v>
      </c>
      <c r="AE24" s="39">
        <f t="shared" si="3"/>
        <v>727</v>
      </c>
      <c r="AF24" s="830">
        <v>300</v>
      </c>
      <c r="AG24" s="759">
        <v>238</v>
      </c>
      <c r="AH24" s="830">
        <v>300</v>
      </c>
      <c r="AI24" s="759">
        <v>252</v>
      </c>
      <c r="AJ24" s="830">
        <v>300</v>
      </c>
      <c r="AK24" s="830">
        <v>327</v>
      </c>
      <c r="AL24" s="39">
        <f t="shared" si="4"/>
        <v>900</v>
      </c>
      <c r="AM24" s="39">
        <f t="shared" si="4"/>
        <v>817</v>
      </c>
      <c r="AN24" s="830">
        <v>300</v>
      </c>
      <c r="AO24" s="759">
        <v>256</v>
      </c>
      <c r="AP24" s="830">
        <v>300</v>
      </c>
      <c r="AQ24" s="759">
        <v>759</v>
      </c>
      <c r="AR24" s="759">
        <v>0</v>
      </c>
      <c r="AS24" s="759">
        <v>193</v>
      </c>
      <c r="AT24" s="39">
        <f t="shared" si="5"/>
        <v>600</v>
      </c>
      <c r="AU24" s="39">
        <f t="shared" si="5"/>
        <v>1208</v>
      </c>
      <c r="AV24" s="221">
        <f t="shared" si="6"/>
        <v>3000</v>
      </c>
      <c r="AW24" s="57">
        <f t="shared" si="7"/>
        <v>438</v>
      </c>
      <c r="AX24" s="57">
        <f t="shared" si="8"/>
        <v>1165</v>
      </c>
      <c r="AY24" s="57">
        <f t="shared" si="9"/>
        <v>1982</v>
      </c>
      <c r="AZ24" s="57">
        <f t="shared" si="10"/>
        <v>3190</v>
      </c>
      <c r="BA24" s="281">
        <f t="shared" si="24"/>
        <v>0.14599999999999999</v>
      </c>
      <c r="BB24" s="281">
        <f t="shared" si="25"/>
        <v>0.38833333333333331</v>
      </c>
      <c r="BC24" s="281">
        <f t="shared" si="26"/>
        <v>0.66066666666666662</v>
      </c>
      <c r="BD24" s="281">
        <f t="shared" si="27"/>
        <v>1.0633333333333332</v>
      </c>
      <c r="BE24" s="304">
        <f t="shared" si="28"/>
        <v>3.9818181818181815E-2</v>
      </c>
      <c r="BF24" s="304">
        <f t="shared" si="29"/>
        <v>0.10590909090909091</v>
      </c>
      <c r="BG24" s="304">
        <f t="shared" si="30"/>
        <v>0.18018181818181819</v>
      </c>
      <c r="BH24" s="869">
        <f t="shared" si="30"/>
        <v>0.28999999999999998</v>
      </c>
    </row>
    <row r="25" spans="2:60" ht="136.5" customHeight="1">
      <c r="B25" s="1606"/>
      <c r="C25" s="1478"/>
      <c r="D25" s="270" t="str">
        <f>+'01-FR-03 POA INSTITUCIONAL'!D22</f>
        <v>1.1.10 Impulsar 2.300 expedientes que contengan orden de policía (MULTA) en firme y ejecutoriada, para que se efectúen cobros persuasivos y/o se de traslado para el cobro coactivo.</v>
      </c>
      <c r="E25" s="38">
        <f>+'01-FR-03 POA INSTITUCIONAL'!E22</f>
        <v>0.01</v>
      </c>
      <c r="F25" s="111">
        <f>+'01-FR-03 POA INSTITUCIONAL'!F22</f>
        <v>2300</v>
      </c>
      <c r="G25" s="111">
        <f>+'01-FR-03 POA INSTITUCIONAL'!L22</f>
        <v>500</v>
      </c>
      <c r="H25" s="1030" t="str">
        <f>+'01-FR-03 POA INSTITUCIONAL'!G22</f>
        <v>S.I.</v>
      </c>
      <c r="I25" s="1030" t="str">
        <f>+'01-FR-03 POA INSTITUCIONAL'!H22</f>
        <v>Expedientes con impulso procesal para la gestión de multas</v>
      </c>
      <c r="J25" s="1030" t="s">
        <v>667</v>
      </c>
      <c r="K25" s="244" t="s">
        <v>211</v>
      </c>
      <c r="L25" s="205" t="s">
        <v>1104</v>
      </c>
      <c r="M25" s="186" t="s">
        <v>200</v>
      </c>
      <c r="N25" s="186" t="s">
        <v>201</v>
      </c>
      <c r="O25" s="30" t="str">
        <f>+'01-FR-03 POA INSTITUCIONAL'!J22</f>
        <v>P.D. para la Coordinación de la Gestión de Personerías Locales y sus Personerías Locales adscritas</v>
      </c>
      <c r="P25" s="830">
        <v>0</v>
      </c>
      <c r="Q25" s="830">
        <v>11</v>
      </c>
      <c r="R25" s="830">
        <v>50</v>
      </c>
      <c r="S25" s="830">
        <v>17</v>
      </c>
      <c r="T25" s="830">
        <v>50</v>
      </c>
      <c r="U25" s="830">
        <v>54</v>
      </c>
      <c r="V25" s="39">
        <f t="shared" si="2"/>
        <v>100</v>
      </c>
      <c r="W25" s="39">
        <f t="shared" si="2"/>
        <v>82</v>
      </c>
      <c r="X25" s="830">
        <v>50</v>
      </c>
      <c r="Y25" s="830">
        <v>12</v>
      </c>
      <c r="Z25" s="830">
        <v>50</v>
      </c>
      <c r="AA25" s="830">
        <v>37</v>
      </c>
      <c r="AB25" s="830">
        <v>50</v>
      </c>
      <c r="AC25" s="830">
        <v>25</v>
      </c>
      <c r="AD25" s="39">
        <f t="shared" si="3"/>
        <v>150</v>
      </c>
      <c r="AE25" s="39">
        <f t="shared" si="3"/>
        <v>74</v>
      </c>
      <c r="AF25" s="830">
        <v>50</v>
      </c>
      <c r="AG25" s="759">
        <v>32</v>
      </c>
      <c r="AH25" s="830">
        <v>50</v>
      </c>
      <c r="AI25" s="830">
        <v>67</v>
      </c>
      <c r="AJ25" s="830">
        <v>50</v>
      </c>
      <c r="AK25" s="830">
        <v>51</v>
      </c>
      <c r="AL25" s="39">
        <f t="shared" si="4"/>
        <v>150</v>
      </c>
      <c r="AM25" s="39">
        <f t="shared" si="4"/>
        <v>150</v>
      </c>
      <c r="AN25" s="759">
        <v>50</v>
      </c>
      <c r="AO25" s="759">
        <v>78</v>
      </c>
      <c r="AP25" s="759">
        <v>50</v>
      </c>
      <c r="AQ25" s="759">
        <v>127</v>
      </c>
      <c r="AR25" s="759">
        <v>0</v>
      </c>
      <c r="AS25" s="759">
        <v>70</v>
      </c>
      <c r="AT25" s="39">
        <f t="shared" si="5"/>
        <v>100</v>
      </c>
      <c r="AU25" s="39">
        <f t="shared" si="5"/>
        <v>275</v>
      </c>
      <c r="AV25" s="221">
        <f t="shared" si="6"/>
        <v>500</v>
      </c>
      <c r="AW25" s="57">
        <f t="shared" si="7"/>
        <v>82</v>
      </c>
      <c r="AX25" s="57">
        <f t="shared" si="8"/>
        <v>156</v>
      </c>
      <c r="AY25" s="57">
        <f t="shared" si="9"/>
        <v>306</v>
      </c>
      <c r="AZ25" s="57">
        <f t="shared" si="10"/>
        <v>581</v>
      </c>
      <c r="BA25" s="281">
        <f t="shared" ref="BA25:BA35" si="32">IF(AND(AW25&gt;0,$AV25&gt;0),AW25/$AV25,0)</f>
        <v>0.16400000000000001</v>
      </c>
      <c r="BB25" s="281">
        <f t="shared" ref="BB25:BB35" si="33">IF(AND(AX25&gt;0,$AV25&gt;0),AX25/$AV25,0)</f>
        <v>0.312</v>
      </c>
      <c r="BC25" s="281">
        <f t="shared" ref="BC25:BC35" si="34">IF(AND(AY25&gt;0,$AV25&gt;0),AY25/$AV25,0)</f>
        <v>0.61199999999999999</v>
      </c>
      <c r="BD25" s="281">
        <f t="shared" ref="BD25:BD35" si="35">IF(AND(AZ25&gt;0,$AV25&gt;0),AZ25/$AV25,0)</f>
        <v>1.1619999999999999</v>
      </c>
      <c r="BE25" s="304">
        <f t="shared" si="28"/>
        <v>3.5652173913043476E-2</v>
      </c>
      <c r="BF25" s="304">
        <f t="shared" ref="BF25" si="36">(IF(AND(AX25&gt;0,$F25&gt;0),AX25/$F25,0))</f>
        <v>6.7826086956521744E-2</v>
      </c>
      <c r="BG25" s="304">
        <f t="shared" ref="BG25:BH25" si="37">(IF(AND(AY25&gt;0,$F25&gt;0),AY25/$F25,0))</f>
        <v>0.13304347826086957</v>
      </c>
      <c r="BH25" s="869">
        <f t="shared" si="37"/>
        <v>0.25260869565217392</v>
      </c>
    </row>
    <row r="26" spans="2:60" ht="196.5" customHeight="1">
      <c r="B26" s="1606"/>
      <c r="C26" s="1479"/>
      <c r="D26" s="270" t="str">
        <f>+'01-FR-03 POA INSTITUCIONAL'!D23</f>
        <v>1.1.11 Establecer de forma periódica, 40 estados de la vulneración de  los derechos humanos en las localidades, dando a conocer a las Entidades correspondientes los hechos observados que requieren su intervención.</v>
      </c>
      <c r="E26" s="38">
        <f>+'01-FR-03 POA INSTITUCIONAL'!E23</f>
        <v>0.01</v>
      </c>
      <c r="F26" s="111">
        <f>+'01-FR-03 POA INSTITUCIONAL'!F23</f>
        <v>40</v>
      </c>
      <c r="G26" s="111">
        <f>+'01-FR-03 POA INSTITUCIONAL'!L23</f>
        <v>0</v>
      </c>
      <c r="H26" s="1030" t="str">
        <f>+'01-FR-03 POA INSTITUCIONAL'!G23</f>
        <v>S.I.</v>
      </c>
      <c r="I26" s="1030" t="str">
        <f>+'01-FR-03 POA INSTITUCIONAL'!H23</f>
        <v>Estados de vulneración establecidos</v>
      </c>
      <c r="J26" s="1030" t="s">
        <v>243</v>
      </c>
      <c r="K26" s="244" t="s">
        <v>212</v>
      </c>
      <c r="L26" s="205" t="s">
        <v>244</v>
      </c>
      <c r="M26" s="186" t="s">
        <v>200</v>
      </c>
      <c r="N26" s="186" t="s">
        <v>201</v>
      </c>
      <c r="O26" s="30" t="str">
        <f>+'01-FR-03 POA INSTITUCIONAL'!J23</f>
        <v>P.D. para la Coordinación de la Gestión de Personerías Locales y sus Personerías Locales adscritas</v>
      </c>
      <c r="P26" s="759">
        <v>0</v>
      </c>
      <c r="Q26" s="759">
        <v>0</v>
      </c>
      <c r="R26" s="759">
        <v>0</v>
      </c>
      <c r="S26" s="759">
        <v>0</v>
      </c>
      <c r="T26" s="759">
        <v>0</v>
      </c>
      <c r="U26" s="759">
        <v>0</v>
      </c>
      <c r="V26" s="39">
        <f t="shared" si="2"/>
        <v>0</v>
      </c>
      <c r="W26" s="39">
        <f t="shared" si="2"/>
        <v>0</v>
      </c>
      <c r="X26" s="759">
        <v>0</v>
      </c>
      <c r="Y26" s="759">
        <v>0</v>
      </c>
      <c r="Z26" s="759">
        <v>0</v>
      </c>
      <c r="AA26" s="759">
        <v>0</v>
      </c>
      <c r="AB26" s="759">
        <v>0</v>
      </c>
      <c r="AC26" s="759">
        <v>0</v>
      </c>
      <c r="AD26" s="39">
        <f t="shared" si="3"/>
        <v>0</v>
      </c>
      <c r="AE26" s="39">
        <f t="shared" si="3"/>
        <v>0</v>
      </c>
      <c r="AF26" s="759">
        <v>0</v>
      </c>
      <c r="AG26" s="759">
        <v>0</v>
      </c>
      <c r="AH26" s="759">
        <v>0</v>
      </c>
      <c r="AI26" s="759">
        <v>0</v>
      </c>
      <c r="AJ26" s="830">
        <v>0</v>
      </c>
      <c r="AK26" s="830">
        <v>0</v>
      </c>
      <c r="AL26" s="39">
        <f t="shared" si="4"/>
        <v>0</v>
      </c>
      <c r="AM26" s="39">
        <f t="shared" si="4"/>
        <v>0</v>
      </c>
      <c r="AN26" s="759">
        <v>0</v>
      </c>
      <c r="AO26" s="759">
        <v>0</v>
      </c>
      <c r="AP26" s="759">
        <v>0</v>
      </c>
      <c r="AQ26" s="759">
        <v>0</v>
      </c>
      <c r="AR26" s="759">
        <v>0</v>
      </c>
      <c r="AS26" s="759">
        <v>0</v>
      </c>
      <c r="AT26" s="39">
        <f t="shared" si="5"/>
        <v>0</v>
      </c>
      <c r="AU26" s="39">
        <f t="shared" si="5"/>
        <v>0</v>
      </c>
      <c r="AV26" s="221">
        <f t="shared" si="6"/>
        <v>0</v>
      </c>
      <c r="AW26" s="57">
        <f t="shared" si="7"/>
        <v>0</v>
      </c>
      <c r="AX26" s="57">
        <f t="shared" si="8"/>
        <v>0</v>
      </c>
      <c r="AY26" s="57">
        <f t="shared" si="9"/>
        <v>0</v>
      </c>
      <c r="AZ26" s="57">
        <f t="shared" si="10"/>
        <v>0</v>
      </c>
      <c r="BA26" s="281">
        <f t="shared" si="32"/>
        <v>0</v>
      </c>
      <c r="BB26" s="281">
        <f t="shared" si="33"/>
        <v>0</v>
      </c>
      <c r="BC26" s="281">
        <f t="shared" si="34"/>
        <v>0</v>
      </c>
      <c r="BD26" s="281">
        <f t="shared" si="35"/>
        <v>0</v>
      </c>
      <c r="BE26" s="304">
        <f t="shared" si="28"/>
        <v>0</v>
      </c>
      <c r="BF26" s="272">
        <f t="shared" ref="BF26" si="38">(IF(AND(AX26&gt;0,$AV26&gt;0),AX26/$AV26,0))*$E26</f>
        <v>0</v>
      </c>
      <c r="BG26" s="272">
        <f t="shared" ref="BG26" si="39">(IF(AND(AY26&gt;0,$AV26&gt;0),AY26/$AV26,0))*$E26</f>
        <v>0</v>
      </c>
      <c r="BH26" s="868">
        <f t="shared" ref="BH26" si="40">(IF(AND(AZ26&gt;0,$AV26&gt;0),AZ26/$AV26,0))*$E26</f>
        <v>0</v>
      </c>
    </row>
    <row r="27" spans="2:60" ht="123" customHeight="1">
      <c r="B27" s="1606"/>
      <c r="C27" s="1477" t="str">
        <f>+'01-FR-03 POA INSTITUCIONAL'!C24</f>
        <v>1.2. Realizar 260.709 acciones que propendan por la efectiva defensa y garantía de los derechos de los sujetos de especial protección constitucional, con énfasis en las personas mayores, mujeres y la población migrante en el Distrito Capital.</v>
      </c>
      <c r="D27" s="270" t="str">
        <f>+'01-FR-03 POA INSTITUCIONAL'!D24</f>
        <v>1.2.1 Sensibilizar a 205.930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38">
        <f>+'01-FR-03 POA INSTITUCIONAL'!E24</f>
        <v>0.75</v>
      </c>
      <c r="F27" s="111">
        <f>+'01-FR-03 POA INSTITUCIONAL'!F24</f>
        <v>205930</v>
      </c>
      <c r="G27" s="111">
        <f>+'01-FR-03 POA INSTITUCIONAL'!L24</f>
        <v>71570</v>
      </c>
      <c r="H27" s="1030" t="str">
        <f>+'01-FR-03 POA INSTITUCIONAL'!G24</f>
        <v>S.I.</v>
      </c>
      <c r="I27" s="1030" t="str">
        <f>+'01-FR-03 POA INSTITUCIONAL'!H24</f>
        <v>Personas sensibilizadas en el Distrito Capital</v>
      </c>
      <c r="J27" s="1030" t="s">
        <v>230</v>
      </c>
      <c r="K27" s="244" t="s">
        <v>213</v>
      </c>
      <c r="L27" s="205" t="s">
        <v>1105</v>
      </c>
      <c r="M27" s="186" t="s">
        <v>200</v>
      </c>
      <c r="N27" s="186" t="s">
        <v>201</v>
      </c>
      <c r="O27" s="30" t="str">
        <f>+'01-FR-03 POA INSTITUCIONAL'!J24</f>
        <v>P.D. para la Coordinación del MP y DDHH y sus dependencias adscritas
P.D. para la Coordinación de la Gestión de Personerías Locales y sus Personerías Locales adscritas</v>
      </c>
      <c r="P27" s="759">
        <f>0+200</f>
        <v>200</v>
      </c>
      <c r="Q27" s="759">
        <v>1388</v>
      </c>
      <c r="R27" s="759">
        <f>2000+850</f>
        <v>2850</v>
      </c>
      <c r="S27" s="759">
        <v>7276</v>
      </c>
      <c r="T27" s="759">
        <f>2000+5650</f>
        <v>7650</v>
      </c>
      <c r="U27" s="759">
        <v>8125</v>
      </c>
      <c r="V27" s="39">
        <f t="shared" si="2"/>
        <v>10700</v>
      </c>
      <c r="W27" s="39">
        <f t="shared" si="2"/>
        <v>16789</v>
      </c>
      <c r="X27" s="759">
        <f>2000+5700</f>
        <v>7700</v>
      </c>
      <c r="Y27" s="759">
        <v>8929</v>
      </c>
      <c r="Z27" s="759">
        <f>2000+5850</f>
        <v>7850</v>
      </c>
      <c r="AA27" s="759">
        <v>9385</v>
      </c>
      <c r="AB27" s="759">
        <f>2000+3850</f>
        <v>5850</v>
      </c>
      <c r="AC27" s="759">
        <v>9558</v>
      </c>
      <c r="AD27" s="39">
        <f t="shared" si="3"/>
        <v>21400</v>
      </c>
      <c r="AE27" s="39">
        <f t="shared" si="3"/>
        <v>27872</v>
      </c>
      <c r="AF27" s="759">
        <f>2000+5850</f>
        <v>7850</v>
      </c>
      <c r="AG27" s="759">
        <v>7187</v>
      </c>
      <c r="AH27" s="759">
        <f>2000+5850</f>
        <v>7850</v>
      </c>
      <c r="AI27" s="759">
        <v>7936</v>
      </c>
      <c r="AJ27" s="759">
        <f>2000+5850</f>
        <v>7850</v>
      </c>
      <c r="AK27" s="759">
        <v>7587</v>
      </c>
      <c r="AL27" s="39">
        <f t="shared" si="4"/>
        <v>23550</v>
      </c>
      <c r="AM27" s="39">
        <f t="shared" si="4"/>
        <v>22710</v>
      </c>
      <c r="AN27" s="759">
        <f>2000+5850</f>
        <v>7850</v>
      </c>
      <c r="AO27" s="759">
        <v>7172</v>
      </c>
      <c r="AP27" s="759">
        <f>2000+5850</f>
        <v>7850</v>
      </c>
      <c r="AQ27" s="759">
        <v>3982</v>
      </c>
      <c r="AR27" s="759">
        <f>0+220</f>
        <v>220</v>
      </c>
      <c r="AS27" s="759">
        <v>1075</v>
      </c>
      <c r="AT27" s="39">
        <f t="shared" si="5"/>
        <v>15920</v>
      </c>
      <c r="AU27" s="39">
        <f t="shared" si="5"/>
        <v>12229</v>
      </c>
      <c r="AV27" s="221">
        <f t="shared" si="6"/>
        <v>71570</v>
      </c>
      <c r="AW27" s="57">
        <f t="shared" si="7"/>
        <v>16789</v>
      </c>
      <c r="AX27" s="57">
        <f t="shared" si="8"/>
        <v>44661</v>
      </c>
      <c r="AY27" s="57">
        <f t="shared" si="9"/>
        <v>67371</v>
      </c>
      <c r="AZ27" s="57">
        <f t="shared" si="10"/>
        <v>79600</v>
      </c>
      <c r="BA27" s="281">
        <f t="shared" si="32"/>
        <v>0.23458152857342462</v>
      </c>
      <c r="BB27" s="281">
        <f t="shared" si="33"/>
        <v>0.62401844348190583</v>
      </c>
      <c r="BC27" s="281">
        <f t="shared" si="34"/>
        <v>0.94133016627078381</v>
      </c>
      <c r="BD27" s="281">
        <f t="shared" si="35"/>
        <v>1.1121978482604442</v>
      </c>
      <c r="BE27" s="304">
        <f t="shared" si="28"/>
        <v>8.1527703588598066E-2</v>
      </c>
      <c r="BF27" s="304">
        <f t="shared" ref="BF27:BF28" si="41">(IF(AND(AX27&gt;0,$F27&gt;0),AX27/$F27,0))</f>
        <v>0.2168746661486913</v>
      </c>
      <c r="BG27" s="304">
        <f t="shared" ref="BG27:BH28" si="42">(IF(AND(AY27&gt;0,$F27&gt;0),AY27/$F27,0))</f>
        <v>0.32715485844704512</v>
      </c>
      <c r="BH27" s="869">
        <f t="shared" si="42"/>
        <v>0.38653911523333173</v>
      </c>
    </row>
    <row r="28" spans="2:60" ht="144.75" customHeight="1">
      <c r="B28" s="1606"/>
      <c r="C28" s="1478"/>
      <c r="D28" s="270" t="str">
        <f>+'01-FR-03 POA INSTITUCIONAL'!D25</f>
        <v>1.2.2 Adelantar 23.910 acciones necesarias en favor de la población víctima del conflicto armado interno mediante el apoyo jurídico, la atención psicosocial, la gestión para acceso a derechos, la toma de declaraciones y la elaboración de derechos de petición.</v>
      </c>
      <c r="E28" s="38">
        <f>+'01-FR-03 POA INSTITUCIONAL'!E25</f>
        <v>0.12</v>
      </c>
      <c r="F28" s="111">
        <f>+'01-FR-03 POA INSTITUCIONAL'!F25</f>
        <v>23910</v>
      </c>
      <c r="G28" s="111">
        <f>+'01-FR-03 POA INSTITUCIONAL'!L25</f>
        <v>5480</v>
      </c>
      <c r="H28" s="1030" t="str">
        <f>+'01-FR-03 POA INSTITUCIONAL'!G25</f>
        <v>S.I.</v>
      </c>
      <c r="I28" s="1030" t="str">
        <f>+'01-FR-03 POA INSTITUCIONAL'!H25</f>
        <v>Acciones en favor de las víctimas del conflicto armado interno adelantadas</v>
      </c>
      <c r="J28" s="1030" t="s">
        <v>231</v>
      </c>
      <c r="K28" s="244" t="s">
        <v>214</v>
      </c>
      <c r="L28" s="205" t="s">
        <v>1043</v>
      </c>
      <c r="M28" s="186" t="s">
        <v>200</v>
      </c>
      <c r="N28" s="186" t="s">
        <v>201</v>
      </c>
      <c r="O28" s="30" t="str">
        <f>+'01-FR-03 POA INSTITUCIONAL'!J25</f>
        <v>P.D. para la Protección de las Víctimas del Conflicto Armado Interno
P.D. para la Coordinación de la Gestión de Personerías Locales y sus Personerías Locales adscritas</v>
      </c>
      <c r="P28" s="759">
        <f>50+100</f>
        <v>150</v>
      </c>
      <c r="Q28" s="759">
        <v>443</v>
      </c>
      <c r="R28" s="759">
        <f>110+200</f>
        <v>310</v>
      </c>
      <c r="S28" s="759">
        <v>1110</v>
      </c>
      <c r="T28" s="759">
        <f>160+300</f>
        <v>460</v>
      </c>
      <c r="U28" s="759">
        <v>1148</v>
      </c>
      <c r="V28" s="39">
        <f t="shared" si="2"/>
        <v>920</v>
      </c>
      <c r="W28" s="39">
        <f t="shared" si="2"/>
        <v>2701</v>
      </c>
      <c r="X28" s="759">
        <f>160+400</f>
        <v>560</v>
      </c>
      <c r="Y28" s="759">
        <v>847</v>
      </c>
      <c r="Z28" s="759">
        <f>160+440</f>
        <v>600</v>
      </c>
      <c r="AA28" s="759">
        <v>1015</v>
      </c>
      <c r="AB28" s="759">
        <f>160+440</f>
        <v>600</v>
      </c>
      <c r="AC28" s="759">
        <v>948</v>
      </c>
      <c r="AD28" s="39">
        <f t="shared" si="3"/>
        <v>1760</v>
      </c>
      <c r="AE28" s="39">
        <f t="shared" si="3"/>
        <v>2810</v>
      </c>
      <c r="AF28" s="759">
        <f>160+400</f>
        <v>560</v>
      </c>
      <c r="AG28" s="759">
        <v>560</v>
      </c>
      <c r="AH28" s="759">
        <f>160+400</f>
        <v>560</v>
      </c>
      <c r="AI28" s="759">
        <v>767</v>
      </c>
      <c r="AJ28" s="759">
        <f>160+400</f>
        <v>560</v>
      </c>
      <c r="AK28" s="759">
        <v>952</v>
      </c>
      <c r="AL28" s="39">
        <f t="shared" si="4"/>
        <v>1680</v>
      </c>
      <c r="AM28" s="39">
        <f t="shared" si="4"/>
        <v>2279</v>
      </c>
      <c r="AN28" s="759">
        <f>160+400</f>
        <v>560</v>
      </c>
      <c r="AO28" s="759">
        <v>819</v>
      </c>
      <c r="AP28" s="759">
        <f>160+400</f>
        <v>560</v>
      </c>
      <c r="AQ28" s="759">
        <v>971</v>
      </c>
      <c r="AR28" s="830">
        <v>0</v>
      </c>
      <c r="AS28" s="759">
        <v>778</v>
      </c>
      <c r="AT28" s="39">
        <f t="shared" si="5"/>
        <v>1120</v>
      </c>
      <c r="AU28" s="39">
        <f t="shared" si="5"/>
        <v>2568</v>
      </c>
      <c r="AV28" s="221">
        <f t="shared" si="6"/>
        <v>5480</v>
      </c>
      <c r="AW28" s="57">
        <f t="shared" si="7"/>
        <v>2701</v>
      </c>
      <c r="AX28" s="57">
        <f t="shared" si="8"/>
        <v>5511</v>
      </c>
      <c r="AY28" s="57">
        <f t="shared" si="9"/>
        <v>7790</v>
      </c>
      <c r="AZ28" s="57">
        <f t="shared" si="10"/>
        <v>10358</v>
      </c>
      <c r="BA28" s="281">
        <f t="shared" si="32"/>
        <v>0.49288321167883209</v>
      </c>
      <c r="BB28" s="281">
        <f t="shared" si="33"/>
        <v>1.0056569343065693</v>
      </c>
      <c r="BC28" s="281">
        <f t="shared" si="34"/>
        <v>1.4215328467153285</v>
      </c>
      <c r="BD28" s="281">
        <f t="shared" si="35"/>
        <v>1.8901459854014599</v>
      </c>
      <c r="BE28" s="304">
        <f t="shared" si="28"/>
        <v>0.11296528649100794</v>
      </c>
      <c r="BF28" s="304">
        <f t="shared" si="41"/>
        <v>0.23048933500627353</v>
      </c>
      <c r="BG28" s="304">
        <f t="shared" si="42"/>
        <v>0.32580510246758676</v>
      </c>
      <c r="BH28" s="869">
        <f t="shared" si="42"/>
        <v>0.43320786281890422</v>
      </c>
    </row>
    <row r="29" spans="2:60" ht="136.5" customHeight="1">
      <c r="B29" s="1606"/>
      <c r="C29" s="1478"/>
      <c r="D29" s="270" t="str">
        <f>+'01-FR-03 POA INSTITUCIONAL'!D26</f>
        <v>1.2.3 Prevenir mediante la elaboración de 18.880 acciones constitucionales, la vulneración de derechos  con énfasis en sujetos de especial protección constitucional.</v>
      </c>
      <c r="E29" s="38">
        <f>+'01-FR-03 POA INSTITUCIONAL'!E26</f>
        <v>0.09</v>
      </c>
      <c r="F29" s="111">
        <f>+'01-FR-03 POA INSTITUCIONAL'!F26</f>
        <v>18880</v>
      </c>
      <c r="G29" s="111">
        <f>+'01-FR-03 POA INSTITUCIONAL'!L26</f>
        <v>4790</v>
      </c>
      <c r="H29" s="1030" t="str">
        <f>+'01-FR-03 POA INSTITUCIONAL'!G26</f>
        <v>S.I.</v>
      </c>
      <c r="I29" s="1030" t="str">
        <f>+'01-FR-03 POA INSTITUCIONAL'!H26</f>
        <v>Acciones constitucionales elaboradas para prevenir vulneración de derechos</v>
      </c>
      <c r="J29" s="1030" t="s">
        <v>232</v>
      </c>
      <c r="K29" s="244" t="s">
        <v>215</v>
      </c>
      <c r="L29" s="205" t="s">
        <v>1044</v>
      </c>
      <c r="M29" s="186" t="s">
        <v>200</v>
      </c>
      <c r="N29" s="186" t="s">
        <v>201</v>
      </c>
      <c r="O29" s="30" t="str">
        <f>+'01-FR-03 POA INSTITUCIONAL'!J26</f>
        <v>P.D. para Asuntos Jurisdiccionales, Víctimas, Penal II y Consumidor.
P.D. para la Coordinación de la Gestión de Personerías Locales y sus Personerías Locales adscritas</v>
      </c>
      <c r="P29" s="759">
        <f>0+197</f>
        <v>197</v>
      </c>
      <c r="Q29" s="759">
        <v>449</v>
      </c>
      <c r="R29" s="759">
        <f>70+487</f>
        <v>557</v>
      </c>
      <c r="S29" s="759">
        <v>584</v>
      </c>
      <c r="T29" s="759">
        <f>70+487</f>
        <v>557</v>
      </c>
      <c r="U29" s="759">
        <v>440</v>
      </c>
      <c r="V29" s="39">
        <f t="shared" si="2"/>
        <v>1311</v>
      </c>
      <c r="W29" s="39">
        <f t="shared" si="2"/>
        <v>1473</v>
      </c>
      <c r="X29" s="759">
        <f>70+488</f>
        <v>558</v>
      </c>
      <c r="Y29" s="759">
        <v>497</v>
      </c>
      <c r="Z29" s="759">
        <f>70+488</f>
        <v>558</v>
      </c>
      <c r="AA29" s="759">
        <v>652</v>
      </c>
      <c r="AB29" s="759">
        <f>70+488</f>
        <v>558</v>
      </c>
      <c r="AC29" s="759">
        <v>675</v>
      </c>
      <c r="AD29" s="39">
        <f t="shared" si="3"/>
        <v>1674</v>
      </c>
      <c r="AE29" s="39">
        <f t="shared" si="3"/>
        <v>1824</v>
      </c>
      <c r="AF29" s="759">
        <f>70+488</f>
        <v>558</v>
      </c>
      <c r="AG29" s="759">
        <v>660</v>
      </c>
      <c r="AH29" s="759">
        <f>70+205</f>
        <v>275</v>
      </c>
      <c r="AI29" s="759">
        <v>773</v>
      </c>
      <c r="AJ29" s="759">
        <f>70+204</f>
        <v>274</v>
      </c>
      <c r="AK29" s="759">
        <v>768</v>
      </c>
      <c r="AL29" s="39">
        <f t="shared" si="4"/>
        <v>1107</v>
      </c>
      <c r="AM29" s="39">
        <f t="shared" si="4"/>
        <v>2201</v>
      </c>
      <c r="AN29" s="759">
        <f>70+204</f>
        <v>274</v>
      </c>
      <c r="AO29" s="759">
        <v>682</v>
      </c>
      <c r="AP29" s="759">
        <f>70+204</f>
        <v>274</v>
      </c>
      <c r="AQ29" s="759">
        <v>750</v>
      </c>
      <c r="AR29" s="759">
        <f>0+150</f>
        <v>150</v>
      </c>
      <c r="AS29" s="759">
        <v>608</v>
      </c>
      <c r="AT29" s="39">
        <f t="shared" si="5"/>
        <v>698</v>
      </c>
      <c r="AU29" s="39">
        <f t="shared" si="5"/>
        <v>2040</v>
      </c>
      <c r="AV29" s="221">
        <f t="shared" si="6"/>
        <v>4790</v>
      </c>
      <c r="AW29" s="57">
        <f t="shared" si="7"/>
        <v>1473</v>
      </c>
      <c r="AX29" s="57">
        <f t="shared" si="8"/>
        <v>3297</v>
      </c>
      <c r="AY29" s="57">
        <f t="shared" si="9"/>
        <v>5498</v>
      </c>
      <c r="AZ29" s="57">
        <f t="shared" si="10"/>
        <v>7538</v>
      </c>
      <c r="BA29" s="281">
        <f t="shared" si="32"/>
        <v>0.30751565762004174</v>
      </c>
      <c r="BB29" s="281">
        <f t="shared" si="33"/>
        <v>0.68830897703549065</v>
      </c>
      <c r="BC29" s="281">
        <f t="shared" si="34"/>
        <v>1.1478079331941544</v>
      </c>
      <c r="BD29" s="281">
        <f t="shared" si="35"/>
        <v>1.5736951983298539</v>
      </c>
      <c r="BE29" s="304">
        <f t="shared" si="28"/>
        <v>7.8019067796610164E-2</v>
      </c>
      <c r="BF29" s="304">
        <f t="shared" ref="BF29:BF35" si="43">(IF(AND(AX29&gt;0,$F29&gt;0),AX29/$F29,0))</f>
        <v>0.17462923728813559</v>
      </c>
      <c r="BG29" s="304">
        <f t="shared" ref="BG29:BH35" si="44">(IF(AND(AY29&gt;0,$F29&gt;0),AY29/$F29,0))</f>
        <v>0.29120762711864406</v>
      </c>
      <c r="BH29" s="869">
        <f t="shared" si="44"/>
        <v>0.39925847457627117</v>
      </c>
    </row>
    <row r="30" spans="2:60" ht="91.5" customHeight="1">
      <c r="B30" s="1606"/>
      <c r="C30" s="1478"/>
      <c r="D30" s="270" t="str">
        <f>+'01-FR-03 POA INSTITUCIONAL'!D27</f>
        <v>1.2.4 Fortalecer el ejercicio del ministerio público ante las comisarías de familia, verificando el cumplimiento a 3.540 medidas de protección que se imponen.</v>
      </c>
      <c r="E30" s="38">
        <f>+'01-FR-03 POA INSTITUCIONAL'!E27</f>
        <v>0.02</v>
      </c>
      <c r="F30" s="111">
        <f>+'01-FR-03 POA INSTITUCIONAL'!F27</f>
        <v>3540</v>
      </c>
      <c r="G30" s="111">
        <f>+'01-FR-03 POA INSTITUCIONAL'!L27</f>
        <v>800</v>
      </c>
      <c r="H30" s="1030" t="str">
        <f>+'01-FR-03 POA INSTITUCIONAL'!G27</f>
        <v>S.I.</v>
      </c>
      <c r="I30" s="1030" t="str">
        <f>+'01-FR-03 POA INSTITUCIONAL'!H27</f>
        <v>Verificaciones de cumplimiento realizadas por el Ministerio Público a las medidas de protección impuestas por las Comisarías de Familia</v>
      </c>
      <c r="J30" s="1030" t="s">
        <v>239</v>
      </c>
      <c r="K30" s="244" t="s">
        <v>1106</v>
      </c>
      <c r="L30" s="205" t="s">
        <v>1107</v>
      </c>
      <c r="M30" s="186" t="s">
        <v>200</v>
      </c>
      <c r="N30" s="186" t="s">
        <v>201</v>
      </c>
      <c r="O30" s="30" t="str">
        <f>+'01-FR-03 POA INSTITUCIONAL'!J27</f>
        <v>P.D. para la Familia y Sujetos de Especial Protección Constitucional</v>
      </c>
      <c r="P30" s="759">
        <v>0</v>
      </c>
      <c r="Q30" s="759">
        <v>49</v>
      </c>
      <c r="R30" s="759">
        <v>50</v>
      </c>
      <c r="S30" s="759">
        <v>0</v>
      </c>
      <c r="T30" s="759">
        <v>90</v>
      </c>
      <c r="U30" s="759">
        <v>4</v>
      </c>
      <c r="V30" s="39">
        <f t="shared" si="2"/>
        <v>140</v>
      </c>
      <c r="W30" s="39">
        <f t="shared" si="2"/>
        <v>53</v>
      </c>
      <c r="X30" s="759">
        <v>90</v>
      </c>
      <c r="Y30" s="759">
        <v>16</v>
      </c>
      <c r="Z30" s="759">
        <v>90</v>
      </c>
      <c r="AA30" s="759">
        <v>38</v>
      </c>
      <c r="AB30" s="759">
        <v>90</v>
      </c>
      <c r="AC30" s="759">
        <v>90</v>
      </c>
      <c r="AD30" s="39">
        <f t="shared" si="3"/>
        <v>270</v>
      </c>
      <c r="AE30" s="39">
        <f t="shared" si="3"/>
        <v>144</v>
      </c>
      <c r="AF30" s="759">
        <v>80</v>
      </c>
      <c r="AG30" s="759">
        <v>203</v>
      </c>
      <c r="AH30" s="759">
        <v>80</v>
      </c>
      <c r="AI30" s="759">
        <v>163</v>
      </c>
      <c r="AJ30" s="759">
        <v>80</v>
      </c>
      <c r="AK30" s="830">
        <v>119</v>
      </c>
      <c r="AL30" s="39">
        <f t="shared" si="4"/>
        <v>240</v>
      </c>
      <c r="AM30" s="39">
        <f t="shared" si="4"/>
        <v>485</v>
      </c>
      <c r="AN30" s="759">
        <v>80</v>
      </c>
      <c r="AO30" s="759">
        <v>84</v>
      </c>
      <c r="AP30" s="759">
        <v>70</v>
      </c>
      <c r="AQ30" s="759">
        <v>100</v>
      </c>
      <c r="AR30" s="759">
        <v>0</v>
      </c>
      <c r="AS30" s="759">
        <v>64</v>
      </c>
      <c r="AT30" s="39">
        <f t="shared" si="5"/>
        <v>150</v>
      </c>
      <c r="AU30" s="39">
        <f t="shared" si="5"/>
        <v>248</v>
      </c>
      <c r="AV30" s="221">
        <f t="shared" si="6"/>
        <v>800</v>
      </c>
      <c r="AW30" s="57">
        <f t="shared" si="7"/>
        <v>53</v>
      </c>
      <c r="AX30" s="57">
        <f t="shared" si="8"/>
        <v>197</v>
      </c>
      <c r="AY30" s="57">
        <f t="shared" si="9"/>
        <v>682</v>
      </c>
      <c r="AZ30" s="57">
        <f t="shared" si="10"/>
        <v>930</v>
      </c>
      <c r="BA30" s="281">
        <f t="shared" si="32"/>
        <v>6.6250000000000003E-2</v>
      </c>
      <c r="BB30" s="281">
        <f t="shared" si="33"/>
        <v>0.24625</v>
      </c>
      <c r="BC30" s="281">
        <f t="shared" si="34"/>
        <v>0.85250000000000004</v>
      </c>
      <c r="BD30" s="281">
        <f t="shared" si="35"/>
        <v>1.1625000000000001</v>
      </c>
      <c r="BE30" s="304">
        <f t="shared" si="28"/>
        <v>1.4971751412429379E-2</v>
      </c>
      <c r="BF30" s="304">
        <f t="shared" si="43"/>
        <v>5.5649717514124293E-2</v>
      </c>
      <c r="BG30" s="304">
        <f t="shared" si="44"/>
        <v>0.19265536723163842</v>
      </c>
      <c r="BH30" s="869">
        <f t="shared" si="44"/>
        <v>0.26271186440677968</v>
      </c>
    </row>
    <row r="31" spans="2:60" ht="145.5" customHeight="1">
      <c r="B31" s="1606"/>
      <c r="C31" s="1478"/>
      <c r="D31" s="270" t="str">
        <f>+'01-FR-03 POA INSTITUCIONAL'!D28</f>
        <v>1.2.5 Participar en 7.711 comités, mesas y consejos interinstitucionales en garantía de derechos, con énfasis en temas relacionados con sujetos de especial protección constitucional, en particular, persona mayor, mujer y población migrante.</v>
      </c>
      <c r="E31" s="38">
        <f>+'01-FR-03 POA INSTITUCIONAL'!E28</f>
        <v>0.01</v>
      </c>
      <c r="F31" s="111">
        <f>+'01-FR-03 POA INSTITUCIONAL'!F28</f>
        <v>7711</v>
      </c>
      <c r="G31" s="111">
        <f>+'01-FR-03 POA INSTITUCIONAL'!L28</f>
        <v>2771</v>
      </c>
      <c r="H31" s="1030" t="str">
        <f>+'01-FR-03 POA INSTITUCIONAL'!G28</f>
        <v>S.I.</v>
      </c>
      <c r="I31" s="1030" t="str">
        <f>+'01-FR-03 POA INSTITUCIONAL'!H28</f>
        <v>Espacios Interinstitucionales con participación</v>
      </c>
      <c r="J31" s="1030" t="s">
        <v>238</v>
      </c>
      <c r="K31" s="244" t="s">
        <v>216</v>
      </c>
      <c r="L31" s="205" t="s">
        <v>1108</v>
      </c>
      <c r="M31" s="186" t="s">
        <v>200</v>
      </c>
      <c r="N31" s="186" t="s">
        <v>201</v>
      </c>
      <c r="O31" s="30"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759">
        <f>200+15</f>
        <v>215</v>
      </c>
      <c r="Q31" s="759">
        <v>97</v>
      </c>
      <c r="R31" s="759">
        <f>200+30</f>
        <v>230</v>
      </c>
      <c r="S31" s="759">
        <v>226</v>
      </c>
      <c r="T31" s="759">
        <f>200+33</f>
        <v>233</v>
      </c>
      <c r="U31" s="759">
        <v>279</v>
      </c>
      <c r="V31" s="39">
        <f t="shared" si="2"/>
        <v>678</v>
      </c>
      <c r="W31" s="39">
        <f t="shared" si="2"/>
        <v>602</v>
      </c>
      <c r="X31" s="759">
        <f>200+33</f>
        <v>233</v>
      </c>
      <c r="Y31" s="759">
        <v>220</v>
      </c>
      <c r="Z31" s="759">
        <f>200+36</f>
        <v>236</v>
      </c>
      <c r="AA31" s="759">
        <v>313</v>
      </c>
      <c r="AB31" s="759">
        <f>200+33</f>
        <v>233</v>
      </c>
      <c r="AC31" s="830">
        <v>314</v>
      </c>
      <c r="AD31" s="39">
        <f t="shared" si="3"/>
        <v>702</v>
      </c>
      <c r="AE31" s="39">
        <f t="shared" si="3"/>
        <v>847</v>
      </c>
      <c r="AF31" s="759">
        <f>200+34</f>
        <v>234</v>
      </c>
      <c r="AG31" s="759">
        <v>254</v>
      </c>
      <c r="AH31" s="759">
        <f>200+35</f>
        <v>235</v>
      </c>
      <c r="AI31" s="759">
        <v>266</v>
      </c>
      <c r="AJ31" s="759">
        <f>200+34</f>
        <v>234</v>
      </c>
      <c r="AK31" s="830">
        <v>290</v>
      </c>
      <c r="AL31" s="39">
        <f t="shared" si="4"/>
        <v>703</v>
      </c>
      <c r="AM31" s="39">
        <f t="shared" si="4"/>
        <v>810</v>
      </c>
      <c r="AN31" s="759">
        <f>200+33</f>
        <v>233</v>
      </c>
      <c r="AO31" s="759">
        <v>290</v>
      </c>
      <c r="AP31" s="759">
        <f>200+34</f>
        <v>234</v>
      </c>
      <c r="AQ31" s="759">
        <v>344</v>
      </c>
      <c r="AR31" s="759">
        <f>200+21</f>
        <v>221</v>
      </c>
      <c r="AS31" s="759">
        <v>177</v>
      </c>
      <c r="AT31" s="39">
        <f t="shared" si="5"/>
        <v>688</v>
      </c>
      <c r="AU31" s="39">
        <f t="shared" si="5"/>
        <v>811</v>
      </c>
      <c r="AV31" s="221">
        <f t="shared" si="6"/>
        <v>2771</v>
      </c>
      <c r="AW31" s="57">
        <f t="shared" si="7"/>
        <v>602</v>
      </c>
      <c r="AX31" s="57">
        <f t="shared" si="8"/>
        <v>1449</v>
      </c>
      <c r="AY31" s="57">
        <f t="shared" si="9"/>
        <v>2259</v>
      </c>
      <c r="AZ31" s="57">
        <f t="shared" si="10"/>
        <v>3070</v>
      </c>
      <c r="BA31" s="281">
        <f t="shared" si="32"/>
        <v>0.21725009022013714</v>
      </c>
      <c r="BB31" s="281">
        <f t="shared" si="33"/>
        <v>0.52291591483219058</v>
      </c>
      <c r="BC31" s="281">
        <f t="shared" si="34"/>
        <v>0.81522915914832195</v>
      </c>
      <c r="BD31" s="281">
        <f t="shared" si="35"/>
        <v>1.1079032840129917</v>
      </c>
      <c r="BE31" s="304">
        <f t="shared" si="28"/>
        <v>7.8070289197250675E-2</v>
      </c>
      <c r="BF31" s="304">
        <f t="shared" si="43"/>
        <v>0.18791337050966153</v>
      </c>
      <c r="BG31" s="304">
        <f t="shared" si="44"/>
        <v>0.29295811178835429</v>
      </c>
      <c r="BH31" s="869">
        <f t="shared" si="44"/>
        <v>0.39813253793282322</v>
      </c>
    </row>
    <row r="32" spans="2:60" ht="99.75" customHeight="1">
      <c r="B32" s="1606"/>
      <c r="C32" s="1479"/>
      <c r="D32" s="270" t="str">
        <f>+'01-FR-03 POA INSTITUCIONAL'!D29</f>
        <v>1.2.6 Realizar 738 seguimientos a la amenaza y vulneración de los derechos, con énfasis en sujetos de especial protección constitucional, en particular, persona mayor, mujer y población migrante</v>
      </c>
      <c r="E32" s="38">
        <f>+'01-FR-03 POA INSTITUCIONAL'!E29</f>
        <v>0.01</v>
      </c>
      <c r="F32" s="111">
        <f>+'01-FR-03 POA INSTITUCIONAL'!F29</f>
        <v>712</v>
      </c>
      <c r="G32" s="111">
        <f>+'01-FR-03 POA INSTITUCIONAL'!L29</f>
        <v>208</v>
      </c>
      <c r="H32" s="1030" t="str">
        <f>+'01-FR-03 POA INSTITUCIONAL'!G29</f>
        <v>S.I.</v>
      </c>
      <c r="I32" s="1030" t="str">
        <f>+'01-FR-03 POA INSTITUCIONAL'!H29</f>
        <v>Seguimientos a la Amenaza y Vulneración de los Derechos Realizados</v>
      </c>
      <c r="J32" s="1030" t="s">
        <v>233</v>
      </c>
      <c r="K32" s="244" t="s">
        <v>217</v>
      </c>
      <c r="L32" s="205" t="s">
        <v>1109</v>
      </c>
      <c r="M32" s="186" t="s">
        <v>200</v>
      </c>
      <c r="N32" s="186" t="s">
        <v>201</v>
      </c>
      <c r="O32" s="30"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759">
        <f>5+3</f>
        <v>8</v>
      </c>
      <c r="Q32" s="759">
        <v>18</v>
      </c>
      <c r="R32" s="759">
        <f>5+11</f>
        <v>16</v>
      </c>
      <c r="S32" s="759">
        <v>16</v>
      </c>
      <c r="T32" s="759">
        <f>5+16</f>
        <v>21</v>
      </c>
      <c r="U32" s="759">
        <v>54</v>
      </c>
      <c r="V32" s="39">
        <f t="shared" si="2"/>
        <v>45</v>
      </c>
      <c r="W32" s="39">
        <f t="shared" si="2"/>
        <v>88</v>
      </c>
      <c r="X32" s="759">
        <f>5+16</f>
        <v>21</v>
      </c>
      <c r="Y32" s="759">
        <v>19</v>
      </c>
      <c r="Z32" s="759">
        <f>5+16</f>
        <v>21</v>
      </c>
      <c r="AA32" s="759">
        <v>57</v>
      </c>
      <c r="AB32" s="759">
        <f>5+17</f>
        <v>22</v>
      </c>
      <c r="AC32" s="830">
        <v>18</v>
      </c>
      <c r="AD32" s="39">
        <f t="shared" si="3"/>
        <v>64</v>
      </c>
      <c r="AE32" s="39">
        <f t="shared" si="3"/>
        <v>94</v>
      </c>
      <c r="AF32" s="759">
        <f>5+16</f>
        <v>21</v>
      </c>
      <c r="AG32" s="759">
        <v>28</v>
      </c>
      <c r="AH32" s="759">
        <f>5+14</f>
        <v>19</v>
      </c>
      <c r="AI32" s="759">
        <v>26</v>
      </c>
      <c r="AJ32" s="759">
        <f>5+12</f>
        <v>17</v>
      </c>
      <c r="AK32" s="830">
        <v>33</v>
      </c>
      <c r="AL32" s="39">
        <f t="shared" si="4"/>
        <v>57</v>
      </c>
      <c r="AM32" s="39">
        <f t="shared" si="4"/>
        <v>87</v>
      </c>
      <c r="AN32" s="759">
        <f>5+12</f>
        <v>17</v>
      </c>
      <c r="AO32" s="759">
        <v>42</v>
      </c>
      <c r="AP32" s="759">
        <f>5+9</f>
        <v>14</v>
      </c>
      <c r="AQ32" s="759">
        <v>16</v>
      </c>
      <c r="AR32" s="759">
        <f>5+6</f>
        <v>11</v>
      </c>
      <c r="AS32" s="759">
        <v>22</v>
      </c>
      <c r="AT32" s="39">
        <f t="shared" si="5"/>
        <v>42</v>
      </c>
      <c r="AU32" s="39">
        <f t="shared" si="5"/>
        <v>80</v>
      </c>
      <c r="AV32" s="221">
        <f t="shared" si="6"/>
        <v>208</v>
      </c>
      <c r="AW32" s="57">
        <f t="shared" si="7"/>
        <v>88</v>
      </c>
      <c r="AX32" s="57">
        <f t="shared" si="8"/>
        <v>182</v>
      </c>
      <c r="AY32" s="57">
        <f t="shared" si="9"/>
        <v>269</v>
      </c>
      <c r="AZ32" s="57">
        <f t="shared" si="10"/>
        <v>349</v>
      </c>
      <c r="BA32" s="281">
        <f t="shared" si="32"/>
        <v>0.42307692307692307</v>
      </c>
      <c r="BB32" s="281">
        <f t="shared" si="33"/>
        <v>0.875</v>
      </c>
      <c r="BC32" s="281">
        <f t="shared" si="34"/>
        <v>1.2932692307692308</v>
      </c>
      <c r="BD32" s="281">
        <f t="shared" si="35"/>
        <v>1.6778846153846154</v>
      </c>
      <c r="BE32" s="304">
        <f t="shared" si="28"/>
        <v>0.12359550561797752</v>
      </c>
      <c r="BF32" s="304">
        <f t="shared" si="43"/>
        <v>0.2556179775280899</v>
      </c>
      <c r="BG32" s="304">
        <f t="shared" si="44"/>
        <v>0.37780898876404495</v>
      </c>
      <c r="BH32" s="869">
        <f t="shared" si="44"/>
        <v>0.4901685393258427</v>
      </c>
    </row>
    <row r="33" spans="2:60" ht="102" customHeight="1">
      <c r="B33" s="1606"/>
      <c r="C33" s="1477" t="str">
        <f>+'01-FR-03 POA INSTITUCIONAL'!C30</f>
        <v>1.3. Construir e Implementar 35 estrategias que permitan incrementar la oferta y cobertura de los servicios prestados por la Entidad.</v>
      </c>
      <c r="D33" s="270" t="str">
        <f>+'01-FR-03 POA INSTITUCIONAL'!D30</f>
        <v>1.3.1 Realizar 20 actividades que permitan el acercamiento de la Entidad a la Comunidad.</v>
      </c>
      <c r="E33" s="38">
        <f>+'01-FR-03 POA INSTITUCIONAL'!E30</f>
        <v>0.56000000000000005</v>
      </c>
      <c r="F33" s="111">
        <f>+'01-FR-03 POA INSTITUCIONAL'!F30</f>
        <v>20</v>
      </c>
      <c r="G33" s="111">
        <f>+'01-FR-03 POA INSTITUCIONAL'!L30</f>
        <v>8</v>
      </c>
      <c r="H33" s="1030" t="str">
        <f>+'01-FR-03 POA INSTITUCIONAL'!G30</f>
        <v>S.I.</v>
      </c>
      <c r="I33" s="1030" t="str">
        <f>+'01-FR-03 POA INSTITUCIONAL'!H30</f>
        <v>Actividades de acercamiento de la Entidad a la comunidad realizadas</v>
      </c>
      <c r="J33" s="1030" t="s">
        <v>234</v>
      </c>
      <c r="K33" s="244" t="s">
        <v>218</v>
      </c>
      <c r="L33" s="205" t="s">
        <v>1110</v>
      </c>
      <c r="M33" s="186" t="s">
        <v>200</v>
      </c>
      <c r="N33" s="186" t="s">
        <v>201</v>
      </c>
      <c r="O33" s="30" t="str">
        <f>+'01-FR-03 POA INSTITUCIONAL'!J30</f>
        <v>P.D. para la Coordinación del MP y DDHH y sus dependencias adscritas
 P.D. para la Coordinación de la Gestión de Personerías Locales y sus Personerías Locales adscritas</v>
      </c>
      <c r="P33" s="759">
        <f>0+0</f>
        <v>0</v>
      </c>
      <c r="Q33" s="759">
        <v>0</v>
      </c>
      <c r="R33" s="759">
        <f>0+0</f>
        <v>0</v>
      </c>
      <c r="S33" s="759">
        <v>0</v>
      </c>
      <c r="T33" s="759">
        <f>0+0</f>
        <v>0</v>
      </c>
      <c r="U33" s="759">
        <v>0.2</v>
      </c>
      <c r="V33" s="39">
        <f t="shared" si="2"/>
        <v>0</v>
      </c>
      <c r="W33" s="39">
        <f t="shared" si="2"/>
        <v>0.2</v>
      </c>
      <c r="X33" s="759">
        <v>1</v>
      </c>
      <c r="Y33" s="759">
        <v>1.3</v>
      </c>
      <c r="Z33" s="759">
        <v>0</v>
      </c>
      <c r="AA33" s="759">
        <v>0.1</v>
      </c>
      <c r="AB33" s="759">
        <v>1</v>
      </c>
      <c r="AC33" s="759">
        <v>0.4</v>
      </c>
      <c r="AD33" s="39">
        <f t="shared" si="3"/>
        <v>2</v>
      </c>
      <c r="AE33" s="39">
        <f t="shared" si="3"/>
        <v>1.8000000000000003</v>
      </c>
      <c r="AF33" s="759">
        <v>1</v>
      </c>
      <c r="AG33" s="759">
        <v>2.2000000000000002</v>
      </c>
      <c r="AH33" s="759">
        <f>1+1</f>
        <v>2</v>
      </c>
      <c r="AI33" s="759">
        <v>0.4</v>
      </c>
      <c r="AJ33" s="759">
        <f>1+1</f>
        <v>2</v>
      </c>
      <c r="AK33" s="830">
        <v>0</v>
      </c>
      <c r="AL33" s="39">
        <f t="shared" si="4"/>
        <v>5</v>
      </c>
      <c r="AM33" s="39">
        <f t="shared" si="4"/>
        <v>2.6</v>
      </c>
      <c r="AN33" s="759">
        <v>1</v>
      </c>
      <c r="AO33" s="759">
        <v>3.4</v>
      </c>
      <c r="AP33" s="759">
        <f>0+0</f>
        <v>0</v>
      </c>
      <c r="AQ33" s="759">
        <v>0</v>
      </c>
      <c r="AR33" s="759">
        <f>0+0</f>
        <v>0</v>
      </c>
      <c r="AS33" s="759">
        <v>0</v>
      </c>
      <c r="AT33" s="39">
        <f t="shared" si="5"/>
        <v>1</v>
      </c>
      <c r="AU33" s="39">
        <f t="shared" si="5"/>
        <v>3.4</v>
      </c>
      <c r="AV33" s="221">
        <f t="shared" si="6"/>
        <v>8</v>
      </c>
      <c r="AW33" s="57">
        <f t="shared" si="7"/>
        <v>0.2</v>
      </c>
      <c r="AX33" s="905">
        <f t="shared" si="8"/>
        <v>2.0000000000000004</v>
      </c>
      <c r="AY33" s="905">
        <f t="shared" si="9"/>
        <v>4.6000000000000005</v>
      </c>
      <c r="AZ33" s="57">
        <f t="shared" si="10"/>
        <v>8</v>
      </c>
      <c r="BA33" s="281">
        <f t="shared" si="32"/>
        <v>2.5000000000000001E-2</v>
      </c>
      <c r="BB33" s="281">
        <f t="shared" si="33"/>
        <v>0.25000000000000006</v>
      </c>
      <c r="BC33" s="281">
        <f t="shared" si="34"/>
        <v>0.57500000000000007</v>
      </c>
      <c r="BD33" s="281">
        <f t="shared" si="35"/>
        <v>1</v>
      </c>
      <c r="BE33" s="304">
        <f t="shared" si="28"/>
        <v>0.01</v>
      </c>
      <c r="BF33" s="304">
        <f t="shared" si="43"/>
        <v>0.10000000000000002</v>
      </c>
      <c r="BG33" s="304">
        <f t="shared" si="44"/>
        <v>0.23000000000000004</v>
      </c>
      <c r="BH33" s="869">
        <f t="shared" si="44"/>
        <v>0.4</v>
      </c>
    </row>
    <row r="34" spans="2:60" ht="87.75" customHeight="1">
      <c r="B34" s="1606"/>
      <c r="C34" s="1478"/>
      <c r="D34" s="270" t="str">
        <f>+'01-FR-03 POA INSTITUCIONAL'!D31</f>
        <v>1.3.2 Incrementar la cobertura de los servicios que presta el proceso de Promoción y Defensa de Derechos, mediante la implementación de 11 acciones que propendan por el mejoramiento de los mismos.</v>
      </c>
      <c r="E34" s="38">
        <f>+'01-FR-03 POA INSTITUCIONAL'!E31</f>
        <v>0.31</v>
      </c>
      <c r="F34" s="111">
        <f>+'01-FR-03 POA INSTITUCIONAL'!F31</f>
        <v>11</v>
      </c>
      <c r="G34" s="111">
        <f>+'01-FR-03 POA INSTITUCIONAL'!L31</f>
        <v>3</v>
      </c>
      <c r="H34" s="1030" t="str">
        <f>+'01-FR-03 POA INSTITUCIONAL'!G31</f>
        <v>S.I.</v>
      </c>
      <c r="I34" s="1030" t="str">
        <f>+'01-FR-03 POA INSTITUCIONAL'!H31</f>
        <v>Acciones realizadas para incrementar la cobertura de los servicios</v>
      </c>
      <c r="J34" s="1030" t="s">
        <v>240</v>
      </c>
      <c r="K34" s="244" t="s">
        <v>219</v>
      </c>
      <c r="L34" s="205" t="s">
        <v>220</v>
      </c>
      <c r="M34" s="186" t="s">
        <v>200</v>
      </c>
      <c r="N34" s="186" t="s">
        <v>201</v>
      </c>
      <c r="O34" s="30" t="str">
        <f>+'01-FR-03 POA INSTITUCIONAL'!J31</f>
        <v>P.D. para la Coordinación del MP y DDHH y sus dependencias adscritas
 P.D. para la Coordinación de la Gestión de Personerías Locales y sus Personerías Locales adscritas</v>
      </c>
      <c r="P34" s="759">
        <f>0+0</f>
        <v>0</v>
      </c>
      <c r="Q34" s="759">
        <v>0</v>
      </c>
      <c r="R34" s="759">
        <f>0+0</f>
        <v>0</v>
      </c>
      <c r="S34" s="759">
        <v>0</v>
      </c>
      <c r="T34" s="759">
        <f>0+0</f>
        <v>0</v>
      </c>
      <c r="U34" s="759">
        <v>0</v>
      </c>
      <c r="V34" s="39">
        <f t="shared" si="2"/>
        <v>0</v>
      </c>
      <c r="W34" s="39">
        <f t="shared" si="2"/>
        <v>0</v>
      </c>
      <c r="X34" s="759">
        <f>0+0</f>
        <v>0</v>
      </c>
      <c r="Y34" s="759">
        <v>0</v>
      </c>
      <c r="Z34" s="759">
        <f>0+0</f>
        <v>0</v>
      </c>
      <c r="AA34" s="759">
        <v>0</v>
      </c>
      <c r="AB34" s="759">
        <f>0+0</f>
        <v>0</v>
      </c>
      <c r="AC34" s="759">
        <v>0</v>
      </c>
      <c r="AD34" s="39">
        <f t="shared" si="3"/>
        <v>0</v>
      </c>
      <c r="AE34" s="39">
        <f t="shared" si="3"/>
        <v>0</v>
      </c>
      <c r="AF34" s="759">
        <f>0+0</f>
        <v>0</v>
      </c>
      <c r="AG34" s="759">
        <v>0</v>
      </c>
      <c r="AH34" s="759">
        <f>1+2</f>
        <v>3</v>
      </c>
      <c r="AI34" s="759">
        <v>0</v>
      </c>
      <c r="AJ34" s="759">
        <f>0+0</f>
        <v>0</v>
      </c>
      <c r="AK34" s="830">
        <v>1</v>
      </c>
      <c r="AL34" s="39">
        <f t="shared" si="4"/>
        <v>3</v>
      </c>
      <c r="AM34" s="39">
        <f t="shared" si="4"/>
        <v>1</v>
      </c>
      <c r="AN34" s="759">
        <f>0+0</f>
        <v>0</v>
      </c>
      <c r="AO34" s="759">
        <v>1</v>
      </c>
      <c r="AP34" s="759">
        <f>0+0</f>
        <v>0</v>
      </c>
      <c r="AQ34" s="759">
        <v>1</v>
      </c>
      <c r="AR34" s="759">
        <f>0+0</f>
        <v>0</v>
      </c>
      <c r="AS34" s="759">
        <v>0</v>
      </c>
      <c r="AT34" s="39">
        <f t="shared" si="5"/>
        <v>0</v>
      </c>
      <c r="AU34" s="39">
        <f t="shared" si="5"/>
        <v>2</v>
      </c>
      <c r="AV34" s="221">
        <f t="shared" si="6"/>
        <v>3</v>
      </c>
      <c r="AW34" s="57">
        <f t="shared" si="7"/>
        <v>0</v>
      </c>
      <c r="AX34" s="57">
        <f t="shared" si="8"/>
        <v>0</v>
      </c>
      <c r="AY34" s="57">
        <f t="shared" si="9"/>
        <v>1</v>
      </c>
      <c r="AZ34" s="57">
        <f t="shared" si="10"/>
        <v>3</v>
      </c>
      <c r="BA34" s="281">
        <f t="shared" si="32"/>
        <v>0</v>
      </c>
      <c r="BB34" s="281">
        <f t="shared" si="33"/>
        <v>0</v>
      </c>
      <c r="BC34" s="281">
        <f t="shared" si="34"/>
        <v>0.33333333333333331</v>
      </c>
      <c r="BD34" s="281">
        <f t="shared" si="35"/>
        <v>1</v>
      </c>
      <c r="BE34" s="304">
        <f t="shared" si="28"/>
        <v>0</v>
      </c>
      <c r="BF34" s="304">
        <f t="shared" si="43"/>
        <v>0</v>
      </c>
      <c r="BG34" s="304">
        <f t="shared" si="44"/>
        <v>9.0909090909090912E-2</v>
      </c>
      <c r="BH34" s="869">
        <f t="shared" si="44"/>
        <v>0.27272727272727271</v>
      </c>
    </row>
    <row r="35" spans="2:60" ht="81" customHeight="1">
      <c r="B35" s="1606"/>
      <c r="C35" s="1478"/>
      <c r="D35" s="270" t="str">
        <f>+'01-FR-03 POA INSTITUCIONAL'!D32</f>
        <v>1.3.3 Implementar 4 herramientas para la promoción y prevención a infracciones del Derecho Internacional Humanitario en el Distrito Capital</v>
      </c>
      <c r="E35" s="38">
        <f>+'01-FR-03 POA INSTITUCIONAL'!E32</f>
        <v>0.11</v>
      </c>
      <c r="F35" s="111">
        <f>+'01-FR-03 POA INSTITUCIONAL'!F32</f>
        <v>4</v>
      </c>
      <c r="G35" s="111">
        <f>+'01-FR-03 POA INSTITUCIONAL'!L32</f>
        <v>1</v>
      </c>
      <c r="H35" s="1030" t="str">
        <f>+'01-FR-03 POA INSTITUCIONAL'!G32</f>
        <v>S.I.</v>
      </c>
      <c r="I35" s="1030" t="str">
        <f>+'01-FR-03 POA INSTITUCIONAL'!H32</f>
        <v>Herramientas de promoción y prevención a infracciones del Derecho Internacional Humanitario implementadas</v>
      </c>
      <c r="J35" s="1030" t="s">
        <v>241</v>
      </c>
      <c r="K35" s="244" t="s">
        <v>221</v>
      </c>
      <c r="L35" s="205" t="s">
        <v>222</v>
      </c>
      <c r="M35" s="186" t="s">
        <v>200</v>
      </c>
      <c r="N35" s="186" t="s">
        <v>201</v>
      </c>
      <c r="O35" s="30" t="str">
        <f>+'01-FR-03 POA INSTITUCIONAL'!J32</f>
        <v>P.D. para la Coordinación del MP y DDHH y sus dependencias adscritas
 P.D. para la Coordinación de la Gestión de Personerías Locales y sus Personerías Locales adscritas</v>
      </c>
      <c r="P35" s="759">
        <v>0</v>
      </c>
      <c r="Q35" s="759">
        <v>0</v>
      </c>
      <c r="R35" s="759">
        <v>0</v>
      </c>
      <c r="S35" s="759">
        <v>0</v>
      </c>
      <c r="T35" s="759">
        <v>0</v>
      </c>
      <c r="U35" s="759">
        <v>0</v>
      </c>
      <c r="V35" s="39">
        <f t="shared" si="2"/>
        <v>0</v>
      </c>
      <c r="W35" s="39">
        <f t="shared" si="2"/>
        <v>0</v>
      </c>
      <c r="X35" s="759">
        <v>0</v>
      </c>
      <c r="Y35" s="759">
        <v>0</v>
      </c>
      <c r="Z35" s="759">
        <v>0</v>
      </c>
      <c r="AA35" s="759">
        <v>0</v>
      </c>
      <c r="AB35" s="759">
        <v>0</v>
      </c>
      <c r="AC35" s="759">
        <v>0</v>
      </c>
      <c r="AD35" s="39">
        <f t="shared" si="3"/>
        <v>0</v>
      </c>
      <c r="AE35" s="39">
        <f t="shared" si="3"/>
        <v>0</v>
      </c>
      <c r="AF35" s="759">
        <v>0</v>
      </c>
      <c r="AG35" s="759">
        <v>0</v>
      </c>
      <c r="AH35" s="759">
        <v>0</v>
      </c>
      <c r="AI35" s="759">
        <v>0</v>
      </c>
      <c r="AJ35" s="830">
        <v>0</v>
      </c>
      <c r="AK35" s="830">
        <v>0</v>
      </c>
      <c r="AL35" s="39">
        <f t="shared" si="4"/>
        <v>0</v>
      </c>
      <c r="AM35" s="39">
        <f t="shared" si="4"/>
        <v>0</v>
      </c>
      <c r="AN35" s="759">
        <v>0</v>
      </c>
      <c r="AO35" s="830">
        <v>0</v>
      </c>
      <c r="AP35" s="759">
        <f>0.5+0.5</f>
        <v>1</v>
      </c>
      <c r="AQ35" s="759">
        <v>1</v>
      </c>
      <c r="AR35" s="759">
        <v>0</v>
      </c>
      <c r="AS35" s="759">
        <v>0</v>
      </c>
      <c r="AT35" s="39">
        <f t="shared" si="5"/>
        <v>1</v>
      </c>
      <c r="AU35" s="39">
        <f t="shared" si="5"/>
        <v>1</v>
      </c>
      <c r="AV35" s="221">
        <f t="shared" si="6"/>
        <v>1</v>
      </c>
      <c r="AW35" s="57">
        <f t="shared" si="7"/>
        <v>0</v>
      </c>
      <c r="AX35" s="57">
        <f t="shared" si="8"/>
        <v>0</v>
      </c>
      <c r="AY35" s="57">
        <f t="shared" si="9"/>
        <v>0</v>
      </c>
      <c r="AZ35" s="57">
        <f t="shared" si="10"/>
        <v>1</v>
      </c>
      <c r="BA35" s="281">
        <f t="shared" si="32"/>
        <v>0</v>
      </c>
      <c r="BB35" s="281">
        <f t="shared" si="33"/>
        <v>0</v>
      </c>
      <c r="BC35" s="281">
        <f t="shared" si="34"/>
        <v>0</v>
      </c>
      <c r="BD35" s="281">
        <f t="shared" si="35"/>
        <v>1</v>
      </c>
      <c r="BE35" s="304">
        <f t="shared" si="28"/>
        <v>0</v>
      </c>
      <c r="BF35" s="304">
        <f t="shared" si="43"/>
        <v>0</v>
      </c>
      <c r="BG35" s="304">
        <f t="shared" si="44"/>
        <v>0</v>
      </c>
      <c r="BH35" s="869">
        <f t="shared" si="44"/>
        <v>0.25</v>
      </c>
    </row>
    <row r="36" spans="2:60" ht="22.8">
      <c r="B36" s="1504" t="s">
        <v>674</v>
      </c>
      <c r="C36" s="1505"/>
      <c r="D36" s="1505"/>
      <c r="E36" s="1505"/>
      <c r="F36" s="1505"/>
      <c r="G36" s="1505"/>
      <c r="H36" s="1505"/>
      <c r="I36" s="1505"/>
      <c r="J36" s="1505"/>
      <c r="K36" s="1505"/>
      <c r="L36" s="1505"/>
      <c r="M36" s="1505"/>
      <c r="N36" s="1505"/>
      <c r="O36" s="1505"/>
      <c r="P36" s="1505"/>
      <c r="Q36" s="1505"/>
      <c r="R36" s="1505"/>
      <c r="S36" s="1505"/>
      <c r="T36" s="1505"/>
      <c r="U36" s="1505"/>
      <c r="V36" s="1505"/>
      <c r="W36" s="1505"/>
      <c r="X36" s="1505"/>
      <c r="Y36" s="1505"/>
      <c r="Z36" s="1505"/>
      <c r="AA36" s="1505"/>
      <c r="AB36" s="1505"/>
      <c r="AC36" s="1505"/>
      <c r="AD36" s="1505"/>
      <c r="AE36" s="1505"/>
      <c r="AF36" s="1505"/>
      <c r="AG36" s="1505"/>
      <c r="AH36" s="1505"/>
      <c r="AI36" s="1505"/>
      <c r="AJ36" s="1505"/>
      <c r="AK36" s="1505"/>
      <c r="AL36" s="1505"/>
      <c r="AM36" s="1505"/>
      <c r="AN36" s="1505"/>
      <c r="AO36" s="1505"/>
      <c r="AP36" s="1505"/>
      <c r="AQ36" s="1505"/>
      <c r="AR36" s="1505"/>
      <c r="AS36" s="1505"/>
      <c r="AT36" s="1505"/>
      <c r="AU36" s="1505"/>
      <c r="AV36" s="1505"/>
      <c r="AW36" s="1583"/>
      <c r="AX36" s="1604" t="s">
        <v>19</v>
      </c>
      <c r="AY36" s="1604"/>
      <c r="AZ36" s="1604"/>
      <c r="BA36" s="1037">
        <f>AVERAGE(BA16:BA35)</f>
        <v>0.21428351448593519</v>
      </c>
      <c r="BB36" s="1037">
        <f>AVERAGE(BB16:BB35)</f>
        <v>0.50430844697358257</v>
      </c>
      <c r="BC36" s="1037">
        <f>AVERAGE(BC16:BC35)</f>
        <v>0.83357435474244901</v>
      </c>
      <c r="BD36" s="1037">
        <f>AVERAGE(BD16:BD35)</f>
        <v>1.2314223564436682</v>
      </c>
      <c r="BE36" s="1595"/>
      <c r="BF36" s="1596"/>
      <c r="BG36" s="1596"/>
      <c r="BH36" s="1597"/>
    </row>
    <row r="37" spans="2:60">
      <c r="B37" s="1500"/>
      <c r="C37" s="1500"/>
      <c r="D37" s="1500"/>
      <c r="E37" s="1500"/>
      <c r="F37" s="1500"/>
      <c r="G37" s="1500"/>
      <c r="H37" s="208"/>
      <c r="I37" s="209"/>
      <c r="J37" s="209"/>
      <c r="K37" s="209"/>
      <c r="L37" s="209"/>
      <c r="M37" s="209"/>
      <c r="N37" s="209"/>
      <c r="O37" s="209"/>
    </row>
    <row r="38" spans="2:60">
      <c r="B38" s="209"/>
      <c r="C38" s="209"/>
      <c r="D38" s="1520"/>
      <c r="E38" s="1520"/>
      <c r="F38" s="1520"/>
      <c r="G38" s="1520"/>
      <c r="H38" s="1520"/>
      <c r="I38" s="1520"/>
      <c r="J38" s="1520"/>
      <c r="K38" s="1520"/>
      <c r="L38" s="1520"/>
      <c r="M38" s="1520"/>
      <c r="N38" s="1520"/>
      <c r="O38" s="1520"/>
    </row>
    <row r="39" spans="2:60" ht="30" customHeight="1">
      <c r="B39" s="54" t="s">
        <v>26</v>
      </c>
      <c r="C39" s="210">
        <v>44224</v>
      </c>
      <c r="D39" s="211"/>
      <c r="E39" s="1510" t="s">
        <v>50</v>
      </c>
      <c r="F39" s="1588" t="s">
        <v>1191</v>
      </c>
      <c r="G39" s="1589"/>
      <c r="H39" s="1589"/>
      <c r="I39" s="1589"/>
      <c r="J39" s="1590"/>
      <c r="K39" s="212"/>
      <c r="L39" s="1567"/>
      <c r="M39" s="1567"/>
      <c r="N39" s="1567"/>
      <c r="O39" s="1587"/>
    </row>
    <row r="40" spans="2:60" ht="40.200000000000003" customHeight="1">
      <c r="B40" s="209"/>
      <c r="C40" s="209"/>
      <c r="D40" s="212"/>
      <c r="E40" s="1510"/>
      <c r="F40" s="1591"/>
      <c r="G40" s="1592"/>
      <c r="H40" s="1592"/>
      <c r="I40" s="1592"/>
      <c r="J40" s="1593"/>
      <c r="K40" s="209"/>
      <c r="L40" s="209"/>
      <c r="M40" s="209"/>
      <c r="N40" s="209"/>
      <c r="O40" s="209"/>
    </row>
    <row r="41" spans="2:60" ht="31.5" customHeight="1">
      <c r="B41" s="54" t="s">
        <v>49</v>
      </c>
      <c r="C41" s="56">
        <v>44581</v>
      </c>
      <c r="D41" s="209"/>
      <c r="E41" s="209"/>
      <c r="F41" s="209"/>
      <c r="K41" s="209"/>
      <c r="L41" s="209"/>
      <c r="M41" s="209"/>
      <c r="N41" s="209"/>
      <c r="O41" s="209"/>
    </row>
    <row r="42" spans="2:60">
      <c r="B42" s="209"/>
      <c r="C42" s="209"/>
      <c r="D42" s="209"/>
      <c r="E42" s="209"/>
      <c r="F42" s="209"/>
      <c r="K42" s="209"/>
      <c r="L42" s="209"/>
      <c r="M42" s="209"/>
      <c r="N42" s="209"/>
      <c r="O42" s="209"/>
    </row>
    <row r="43" spans="2:60" ht="15" customHeight="1">
      <c r="B43" s="1047" t="s">
        <v>916</v>
      </c>
      <c r="C43" s="209"/>
      <c r="D43" s="209"/>
      <c r="E43" s="209"/>
      <c r="F43" s="209"/>
      <c r="G43" s="208"/>
      <c r="H43" s="208"/>
      <c r="I43" s="1586"/>
      <c r="J43" s="1586"/>
      <c r="K43" s="1586"/>
      <c r="L43" s="1586"/>
      <c r="M43" s="1034"/>
      <c r="N43" s="1034"/>
      <c r="O43" s="1034"/>
    </row>
    <row r="44" spans="2:60" ht="15" customHeight="1">
      <c r="B44" s="209"/>
      <c r="C44" s="209"/>
      <c r="D44" s="209"/>
      <c r="E44" s="209"/>
      <c r="F44" s="209"/>
      <c r="G44" s="208"/>
      <c r="H44" s="208"/>
      <c r="I44" s="209"/>
      <c r="J44" s="209"/>
      <c r="K44" s="214"/>
      <c r="L44" s="209"/>
      <c r="M44" s="209"/>
      <c r="N44" s="209"/>
      <c r="O44" s="209"/>
    </row>
    <row r="45" spans="2:60" ht="15" customHeight="1">
      <c r="B45" s="209"/>
      <c r="C45" s="209"/>
      <c r="D45" s="209"/>
      <c r="E45" s="209"/>
      <c r="F45" s="209"/>
      <c r="G45" s="208"/>
      <c r="H45" s="208"/>
      <c r="I45" s="1586"/>
      <c r="J45" s="1586"/>
      <c r="K45" s="1586"/>
      <c r="L45" s="1586"/>
      <c r="M45" s="1034"/>
      <c r="N45" s="1034"/>
      <c r="O45" s="1034"/>
    </row>
    <row r="46" spans="2:60" ht="15" customHeight="1">
      <c r="B46" s="209"/>
      <c r="C46" s="209"/>
      <c r="D46" s="209"/>
      <c r="E46" s="209"/>
      <c r="F46" s="209"/>
      <c r="G46" s="208"/>
      <c r="H46" s="208"/>
      <c r="I46" s="209"/>
      <c r="J46" s="209"/>
      <c r="K46" s="214"/>
      <c r="L46" s="209"/>
      <c r="M46" s="209"/>
      <c r="N46" s="209"/>
      <c r="O46" s="209"/>
    </row>
    <row r="47" spans="2:60" ht="15" customHeight="1">
      <c r="B47" s="209"/>
      <c r="C47" s="209"/>
      <c r="D47" s="209"/>
      <c r="E47" s="209"/>
      <c r="F47" s="209"/>
      <c r="G47" s="208"/>
      <c r="H47" s="208"/>
      <c r="I47" s="1586"/>
      <c r="J47" s="1586"/>
      <c r="K47" s="1586"/>
      <c r="L47" s="1586"/>
      <c r="M47" s="1034"/>
      <c r="N47" s="1034"/>
      <c r="O47" s="1034"/>
    </row>
  </sheetData>
  <sheetProtection algorithmName="SHA-512" hashValue="7rO1PTf6HIzzhnrdTrkKKpvFqiUu3+S/DuccVQN+VQyXECB/tAFFTNfCLe4T8zpf5NOJGX9Ts87XORHnyqR1UQ==" saltValue="TRsJzFE3E4+hpCnmXTvfFg==" spinCount="100000" sheet="1" objects="1" scenarios="1"/>
  <mergeCells count="73">
    <mergeCell ref="I45:L45"/>
    <mergeCell ref="I47:L47"/>
    <mergeCell ref="B37:G37"/>
    <mergeCell ref="B36:AW36"/>
    <mergeCell ref="D38:O38"/>
    <mergeCell ref="E39:E40"/>
    <mergeCell ref="L39:O39"/>
    <mergeCell ref="F39:J40"/>
    <mergeCell ref="I43:L43"/>
    <mergeCell ref="B16:B35"/>
    <mergeCell ref="C16:C26"/>
    <mergeCell ref="C27:C32"/>
    <mergeCell ref="C33:C35"/>
    <mergeCell ref="AD14:AE14"/>
    <mergeCell ref="N12:N15"/>
    <mergeCell ref="O12:O15"/>
    <mergeCell ref="H12:H15"/>
    <mergeCell ref="Z14:AA14"/>
    <mergeCell ref="P14:Q14"/>
    <mergeCell ref="R14:S14"/>
    <mergeCell ref="T14:U14"/>
    <mergeCell ref="V14:W14"/>
    <mergeCell ref="X14:Y14"/>
    <mergeCell ref="G12:G15"/>
    <mergeCell ref="E12:E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C9:D9"/>
    <mergeCell ref="C10:D10"/>
    <mergeCell ref="F12:F15"/>
    <mergeCell ref="B12:B15"/>
    <mergeCell ref="C12:C15"/>
    <mergeCell ref="D12:D15"/>
    <mergeCell ref="BE36:BH36"/>
    <mergeCell ref="I12:I15"/>
    <mergeCell ref="J12:J15"/>
    <mergeCell ref="K12:K15"/>
    <mergeCell ref="L12:L15"/>
    <mergeCell ref="AV12:AV15"/>
    <mergeCell ref="AW12:AZ12"/>
    <mergeCell ref="BA12:BD12"/>
    <mergeCell ref="BB13:BB15"/>
    <mergeCell ref="AX36:AZ36"/>
  </mergeCells>
  <conditionalFormatting sqref="BA16:BD35">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92D050"/>
  </sheetPr>
  <dimension ref="B1:BI34"/>
  <sheetViews>
    <sheetView showGridLines="0" zoomScale="55" zoomScaleNormal="55"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6" width="27.5546875" style="105" customWidth="1"/>
    <col min="7" max="7" width="29.33203125" style="106" customWidth="1"/>
    <col min="8" max="8" width="27.109375" style="106" customWidth="1"/>
    <col min="9" max="9" width="28.88671875" style="105" customWidth="1"/>
    <col min="10" max="10" width="31.88671875" style="105" customWidth="1"/>
    <col min="11" max="11" width="55.88671875" style="105" customWidth="1"/>
    <col min="12" max="12" width="48.44140625" style="105" customWidth="1"/>
    <col min="13" max="14" width="28.5546875" style="105" customWidth="1"/>
    <col min="15" max="15" width="50" style="105" customWidth="1"/>
    <col min="16" max="23" width="15.88671875" style="107" customWidth="1"/>
    <col min="24" max="24" width="14" style="107" bestFit="1" customWidth="1"/>
    <col min="25" max="25" width="12" style="107" bestFit="1" customWidth="1"/>
    <col min="26" max="26" width="14" style="107" bestFit="1" customWidth="1"/>
    <col min="27" max="27" width="12" style="107" bestFit="1" customWidth="1"/>
    <col min="28" max="28" width="14" style="107" bestFit="1" customWidth="1"/>
    <col min="29" max="29" width="12" style="107" bestFit="1" customWidth="1"/>
    <col min="30" max="31" width="15.44140625" style="107" customWidth="1"/>
    <col min="32" max="32" width="14" style="107" bestFit="1" customWidth="1"/>
    <col min="33" max="33" width="12" style="107" bestFit="1" customWidth="1"/>
    <col min="34" max="34" width="14" style="107" bestFit="1" customWidth="1"/>
    <col min="35" max="35" width="12" style="107" bestFit="1" customWidth="1"/>
    <col min="36" max="36" width="14" style="107" bestFit="1" customWidth="1"/>
    <col min="37" max="37" width="12" style="107" bestFit="1" customWidth="1"/>
    <col min="38" max="39" width="14.5546875" style="107" customWidth="1"/>
    <col min="40" max="40" width="18.44140625" style="107" customWidth="1"/>
    <col min="41" max="41" width="13.5546875" style="107" customWidth="1"/>
    <col min="42" max="42" width="15" style="107" customWidth="1"/>
    <col min="43" max="43" width="14.109375" style="107" customWidth="1"/>
    <col min="44" max="44" width="15.88671875" style="107" customWidth="1"/>
    <col min="45" max="45" width="14.109375" style="107" customWidth="1"/>
    <col min="46" max="47" width="15.33203125" style="107" customWidth="1"/>
    <col min="48" max="48" width="24.44140625" style="107" customWidth="1"/>
    <col min="49" max="51" width="16" style="107" bestFit="1" customWidth="1"/>
    <col min="52" max="52" width="14.33203125" style="107" bestFit="1" customWidth="1"/>
    <col min="53" max="58" width="16" style="107" bestFit="1" customWidth="1"/>
    <col min="59" max="59" width="19.33203125" style="107" bestFit="1" customWidth="1"/>
    <col min="60" max="60" width="16" style="107" bestFit="1" customWidth="1"/>
    <col min="61" max="16384" width="17.33203125" style="107"/>
  </cols>
  <sheetData>
    <row r="1" spans="2:61" ht="15" customHeight="1" thickBot="1"/>
    <row r="2" spans="2:61" ht="16.5" customHeight="1">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1" ht="16.5" customHeight="1">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1" ht="16.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1" ht="16.5" customHeight="1">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1" ht="16.5"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1" ht="19.5" customHeight="1">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1" ht="28.5" customHeight="1">
      <c r="B8" s="183" t="s">
        <v>45</v>
      </c>
      <c r="C8" s="1594" t="s">
        <v>89</v>
      </c>
      <c r="D8" s="1594"/>
      <c r="E8" s="184"/>
      <c r="F8" s="184"/>
      <c r="G8" s="184"/>
      <c r="H8" s="184"/>
      <c r="I8" s="184"/>
      <c r="J8" s="184"/>
      <c r="K8" s="184"/>
      <c r="L8" s="184"/>
      <c r="M8" s="184"/>
      <c r="N8" s="184"/>
      <c r="O8" s="184"/>
      <c r="AW8" s="1035"/>
      <c r="AX8" s="1035"/>
      <c r="AY8" s="1035"/>
      <c r="AZ8" s="1035"/>
      <c r="BA8" s="1035"/>
      <c r="BB8" s="1035"/>
      <c r="BC8" s="1035"/>
      <c r="BD8" s="1035"/>
    </row>
    <row r="9" spans="2:61" ht="98.25" customHeight="1">
      <c r="B9" s="183" t="s">
        <v>34</v>
      </c>
      <c r="C9" s="1573" t="s">
        <v>276</v>
      </c>
      <c r="D9" s="1574"/>
      <c r="E9" s="184"/>
      <c r="F9" s="184"/>
      <c r="G9" s="184"/>
      <c r="H9" s="184"/>
      <c r="I9" s="184"/>
      <c r="J9" s="184"/>
      <c r="K9" s="184"/>
      <c r="L9" s="184"/>
      <c r="M9" s="184"/>
      <c r="N9" s="184"/>
      <c r="O9" s="184"/>
      <c r="AW9" s="1035"/>
      <c r="AX9" s="1035"/>
      <c r="AY9" s="1035"/>
      <c r="AZ9" s="1035"/>
      <c r="BA9" s="1035"/>
      <c r="BB9" s="1035"/>
      <c r="BC9" s="1035"/>
      <c r="BD9" s="1035"/>
    </row>
    <row r="10" spans="2:61" ht="30" customHeight="1">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1" ht="14.25" customHeight="1">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1" ht="33"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254</v>
      </c>
      <c r="AW12" s="1549" t="s">
        <v>676</v>
      </c>
      <c r="AX12" s="1550"/>
      <c r="AY12" s="1550"/>
      <c r="AZ12" s="1551"/>
      <c r="BA12" s="1555" t="s">
        <v>677</v>
      </c>
      <c r="BB12" s="1556"/>
      <c r="BC12" s="1556"/>
      <c r="BD12" s="1557"/>
      <c r="BE12" s="1542" t="s">
        <v>678</v>
      </c>
      <c r="BF12" s="1543"/>
      <c r="BG12" s="1543"/>
      <c r="BH12" s="1544"/>
    </row>
    <row r="13" spans="2:61" ht="21.75" customHeight="1">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255</v>
      </c>
      <c r="AX13" s="1552" t="s">
        <v>256</v>
      </c>
      <c r="AY13" s="1552" t="s">
        <v>257</v>
      </c>
      <c r="AZ13" s="1552" t="s">
        <v>258</v>
      </c>
      <c r="BA13" s="1558" t="s">
        <v>259</v>
      </c>
      <c r="BB13" s="1558" t="s">
        <v>256</v>
      </c>
      <c r="BC13" s="1558" t="s">
        <v>260</v>
      </c>
      <c r="BD13" s="1558" t="s">
        <v>261</v>
      </c>
      <c r="BE13" s="1561" t="s">
        <v>259</v>
      </c>
      <c r="BF13" s="1561" t="s">
        <v>256</v>
      </c>
      <c r="BG13" s="1561" t="s">
        <v>260</v>
      </c>
      <c r="BH13" s="1561" t="s">
        <v>261</v>
      </c>
    </row>
    <row r="14" spans="2:61" ht="21.75" customHeight="1">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1" ht="21.75"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1" ht="186" customHeight="1">
      <c r="B16" s="1540" t="str">
        <f>+'01-FR-03 POA INSTITUCIONAL'!B33</f>
        <v>2. Realizar acciones de prevención y control a la Función Pública, en el marco del cumplimiento del Plan de Desarrollo, con énfasis en los Derechos e intereses colectivos.</v>
      </c>
      <c r="C16" s="1540" t="str">
        <f>+'01-FR-03 POA INSTITUCIONAL'!C33</f>
        <v>2.1. Realizar 22 acciones de prevención y control a la función pública en medio ambiente, agua, protección y bienestar animal y desarrollo urbano.</v>
      </c>
      <c r="D16" s="27" t="str">
        <f>+'01-FR-03 POA INSTITUCIONAL'!D33</f>
        <v>2.1.1 Realizar 16 informes en los cuales se evalúen las políticas ambientales, el manejo de recursos hídricos, protección y bienestar animal y desarrollo urbano en el Distrito Capital.</v>
      </c>
      <c r="E16" s="38">
        <f>+'01-FR-03 POA INSTITUCIONAL'!E33</f>
        <v>0.72727272727272696</v>
      </c>
      <c r="F16" s="144">
        <f>+'01-FR-03 POA INSTITUCIONAL'!F33</f>
        <v>16</v>
      </c>
      <c r="G16" s="144">
        <f>+'01-FR-03 POA INSTITUCIONAL'!L33</f>
        <v>7</v>
      </c>
      <c r="H16" s="1030" t="str">
        <f>+'01-FR-03 POA INSTITUCIONAL'!G33</f>
        <v>S.I.</v>
      </c>
      <c r="I16" s="1030" t="str">
        <f>+'01-FR-03 POA INSTITUCIONAL'!H33</f>
        <v>Informes realizados en temas específicos.</v>
      </c>
      <c r="J16" s="1030" t="s">
        <v>660</v>
      </c>
      <c r="K16" s="400" t="s">
        <v>262</v>
      </c>
      <c r="L16" s="187" t="s">
        <v>1112</v>
      </c>
      <c r="M16" s="186" t="s">
        <v>263</v>
      </c>
      <c r="N16" s="186" t="s">
        <v>264</v>
      </c>
      <c r="O16" s="222" t="str">
        <f>+'01-FR-03 POA INSTITUCIONAL'!J33</f>
        <v xml:space="preserve">Personería Delegada para la Coordinación de Prevención y Control a la Función Pública y sus Personerías Delegadas.
Personería Delegada para la Coordinación de Gestión de las Personerías Locales y sus Personerías Locales. </v>
      </c>
      <c r="P16" s="831">
        <v>0</v>
      </c>
      <c r="Q16" s="831">
        <v>0</v>
      </c>
      <c r="R16" s="831">
        <v>0</v>
      </c>
      <c r="S16" s="831">
        <v>0</v>
      </c>
      <c r="T16" s="831">
        <v>0</v>
      </c>
      <c r="U16" s="832">
        <v>0</v>
      </c>
      <c r="V16" s="33">
        <f>P16+R16+T16</f>
        <v>0</v>
      </c>
      <c r="W16" s="33">
        <f>Q16+S16+U16</f>
        <v>0</v>
      </c>
      <c r="X16" s="831">
        <v>0</v>
      </c>
      <c r="Y16" s="831">
        <v>0</v>
      </c>
      <c r="Z16" s="831">
        <v>1</v>
      </c>
      <c r="AA16" s="831">
        <v>0</v>
      </c>
      <c r="AB16" s="831">
        <v>1</v>
      </c>
      <c r="AC16" s="831">
        <v>0</v>
      </c>
      <c r="AD16" s="33">
        <f>X16+Z16+AB16</f>
        <v>2</v>
      </c>
      <c r="AE16" s="33">
        <f>Y16+AA16+AC16</f>
        <v>0</v>
      </c>
      <c r="AF16" s="831">
        <v>0</v>
      </c>
      <c r="AG16" s="831">
        <v>2</v>
      </c>
      <c r="AH16" s="831">
        <v>0</v>
      </c>
      <c r="AI16" s="831">
        <v>0</v>
      </c>
      <c r="AJ16" s="832">
        <v>0</v>
      </c>
      <c r="AK16" s="832">
        <v>0</v>
      </c>
      <c r="AL16" s="33">
        <f>AF16+AH16+AJ16</f>
        <v>0</v>
      </c>
      <c r="AM16" s="33">
        <f>AG16+AI16+AK16</f>
        <v>2</v>
      </c>
      <c r="AN16" s="831">
        <v>2</v>
      </c>
      <c r="AO16" s="831">
        <v>2</v>
      </c>
      <c r="AP16" s="831">
        <v>2</v>
      </c>
      <c r="AQ16" s="831">
        <v>3</v>
      </c>
      <c r="AR16" s="831">
        <v>1</v>
      </c>
      <c r="AS16" s="831">
        <v>0</v>
      </c>
      <c r="AT16" s="33">
        <f>AN16+AP16+AR16</f>
        <v>5</v>
      </c>
      <c r="AU16" s="33">
        <f>AO16+AQ16+AS16</f>
        <v>5</v>
      </c>
      <c r="AV16" s="21">
        <f>V16+AD16+AL16+AT16</f>
        <v>7</v>
      </c>
      <c r="AW16" s="57">
        <f>+W16</f>
        <v>0</v>
      </c>
      <c r="AX16" s="57">
        <f>+W16+AE16</f>
        <v>0</v>
      </c>
      <c r="AY16" s="57">
        <f>+W16+AE16+AM16</f>
        <v>2</v>
      </c>
      <c r="AZ16" s="956">
        <f>+W16+AE16+AM16+AU16</f>
        <v>7</v>
      </c>
      <c r="BA16" s="34">
        <f>IF(AND(AW16&gt;0,$AV16&gt;0),AW16/$AV16,0)</f>
        <v>0</v>
      </c>
      <c r="BB16" s="34">
        <f t="shared" ref="BB16:BD22" si="0">IF(AND(AX16&gt;0,$AV16&gt;0),AX16/$AV16,0)</f>
        <v>0</v>
      </c>
      <c r="BC16" s="34">
        <f t="shared" si="0"/>
        <v>0.2857142857142857</v>
      </c>
      <c r="BD16" s="34">
        <f t="shared" si="0"/>
        <v>1</v>
      </c>
      <c r="BE16" s="272">
        <f>(IF(AND(AW16&gt;0,$F16&gt;0),AW16/$F16,0))</f>
        <v>0</v>
      </c>
      <c r="BF16" s="272">
        <f t="shared" ref="BF16:BH16" si="1">(IF(AND(AX16&gt;0,$F16&gt;0),AX16/$F16,0))</f>
        <v>0</v>
      </c>
      <c r="BG16" s="272">
        <f t="shared" si="1"/>
        <v>0.125</v>
      </c>
      <c r="BH16" s="957">
        <f t="shared" si="1"/>
        <v>0.4375</v>
      </c>
      <c r="BI16" s="223"/>
    </row>
    <row r="17" spans="2:61" ht="135" customHeight="1">
      <c r="B17" s="1541"/>
      <c r="C17" s="1582"/>
      <c r="D17" s="27" t="str">
        <f>+'01-FR-03 POA INSTITUCIONAL'!D34</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38">
        <f>+'01-FR-03 POA INSTITUCIONAL'!E34</f>
        <v>0.27272727272727298</v>
      </c>
      <c r="F17" s="144">
        <f>+'01-FR-03 POA INSTITUCIONAL'!F34</f>
        <v>6</v>
      </c>
      <c r="G17" s="144">
        <f>+'01-FR-03 POA INSTITUCIONAL'!L34</f>
        <v>1</v>
      </c>
      <c r="H17" s="1030" t="str">
        <f>+'01-FR-03 POA INSTITUCIONAL'!G34</f>
        <v>S.I.</v>
      </c>
      <c r="I17" s="1030" t="str">
        <f>+'01-FR-03 POA INSTITUCIONAL'!H34</f>
        <v>Informes de seguimientos realizados en temas específicos.</v>
      </c>
      <c r="J17" s="1030" t="s">
        <v>661</v>
      </c>
      <c r="K17" s="400" t="s">
        <v>265</v>
      </c>
      <c r="L17" s="187" t="s">
        <v>273</v>
      </c>
      <c r="M17" s="186" t="s">
        <v>263</v>
      </c>
      <c r="N17" s="186" t="s">
        <v>264</v>
      </c>
      <c r="O17" s="222"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7" s="831">
        <v>0</v>
      </c>
      <c r="Q17" s="831">
        <v>0</v>
      </c>
      <c r="R17" s="831">
        <v>0</v>
      </c>
      <c r="S17" s="831">
        <v>0</v>
      </c>
      <c r="T17" s="831">
        <v>0</v>
      </c>
      <c r="U17" s="832">
        <v>0</v>
      </c>
      <c r="V17" s="33">
        <f t="shared" ref="V17:W22" si="2">P17+R17+T17</f>
        <v>0</v>
      </c>
      <c r="W17" s="33">
        <f t="shared" si="2"/>
        <v>0</v>
      </c>
      <c r="X17" s="831">
        <v>0</v>
      </c>
      <c r="Y17" s="831">
        <v>0</v>
      </c>
      <c r="Z17" s="831">
        <v>0</v>
      </c>
      <c r="AA17" s="831">
        <v>0</v>
      </c>
      <c r="AB17" s="831">
        <v>0</v>
      </c>
      <c r="AC17" s="831">
        <v>0</v>
      </c>
      <c r="AD17" s="33">
        <f t="shared" ref="AD17:AE22" si="3">X17+Z17+AB17</f>
        <v>0</v>
      </c>
      <c r="AE17" s="33">
        <f t="shared" si="3"/>
        <v>0</v>
      </c>
      <c r="AF17" s="831">
        <v>0</v>
      </c>
      <c r="AG17" s="831">
        <v>0</v>
      </c>
      <c r="AH17" s="831">
        <v>0</v>
      </c>
      <c r="AI17" s="831">
        <v>0</v>
      </c>
      <c r="AJ17" s="832">
        <v>0</v>
      </c>
      <c r="AK17" s="832">
        <v>0</v>
      </c>
      <c r="AL17" s="33">
        <f t="shared" ref="AL17:AM22" si="4">AF17+AH17+AJ17</f>
        <v>0</v>
      </c>
      <c r="AM17" s="33">
        <f t="shared" si="4"/>
        <v>0</v>
      </c>
      <c r="AN17" s="831">
        <v>1</v>
      </c>
      <c r="AO17" s="831">
        <v>0</v>
      </c>
      <c r="AP17" s="831">
        <v>0</v>
      </c>
      <c r="AQ17" s="831">
        <v>1</v>
      </c>
      <c r="AR17" s="831">
        <v>0</v>
      </c>
      <c r="AS17" s="831">
        <v>0</v>
      </c>
      <c r="AT17" s="33">
        <f t="shared" ref="AT17:AU22" si="5">AN17+AP17+AR17</f>
        <v>1</v>
      </c>
      <c r="AU17" s="33">
        <f t="shared" si="5"/>
        <v>1</v>
      </c>
      <c r="AV17" s="21">
        <f t="shared" ref="AV17:AV22" si="6">V17+AD17+AL17+AT17</f>
        <v>1</v>
      </c>
      <c r="AW17" s="57">
        <f t="shared" ref="AW17:AW22" si="7">+W17</f>
        <v>0</v>
      </c>
      <c r="AX17" s="57">
        <f t="shared" ref="AX17:AX22" si="8">+W17+AE17</f>
        <v>0</v>
      </c>
      <c r="AY17" s="57">
        <f t="shared" ref="AY17:AY22" si="9">+W17+AE17+AM17</f>
        <v>0</v>
      </c>
      <c r="AZ17" s="956">
        <f t="shared" ref="AZ17:AZ22" si="10">+W17+AE17+AM17+AU17</f>
        <v>1</v>
      </c>
      <c r="BA17" s="34">
        <f>IF(AND(AW17&gt;0,AV17&gt;0),AW17/AV17,0)</f>
        <v>0</v>
      </c>
      <c r="BB17" s="34">
        <f t="shared" si="0"/>
        <v>0</v>
      </c>
      <c r="BC17" s="34">
        <f t="shared" si="0"/>
        <v>0</v>
      </c>
      <c r="BD17" s="34">
        <f t="shared" si="0"/>
        <v>1</v>
      </c>
      <c r="BE17" s="272">
        <f t="shared" ref="BE17:BE19" si="11">(IF(AND(AW17&gt;0,$F17&gt;0),AW17/$F17,0))</f>
        <v>0</v>
      </c>
      <c r="BF17" s="272">
        <f t="shared" ref="BF17:BF19" si="12">(IF(AND(AX17&gt;0,$F17&gt;0),AX17/$F17,0))</f>
        <v>0</v>
      </c>
      <c r="BG17" s="272">
        <f t="shared" ref="BG17:BG19" si="13">(IF(AND(AY17&gt;0,$F17&gt;0),AY17/$F17,0))</f>
        <v>0</v>
      </c>
      <c r="BH17" s="957">
        <f t="shared" ref="BH17:BH19" si="14">(IF(AND(AZ17&gt;0,$F17&gt;0),AZ17/$F17,0))</f>
        <v>0.16666666666666666</v>
      </c>
      <c r="BI17" s="223"/>
    </row>
    <row r="18" spans="2:61" ht="126" customHeight="1">
      <c r="B18" s="1541"/>
      <c r="C18" s="1540" t="str">
        <f>+'01-FR-03 POA INSTITUCIONAL'!C35</f>
        <v>2.2. Fortalecer la moralidad publica realizando  952 acciones de prevención y control a la función pública.</v>
      </c>
      <c r="D18" s="27" t="str">
        <f>+'01-FR-03 POA INSTITUCIONAL'!D35</f>
        <v>2.2.1 Realizar 817 acciones de prevención y control a la función pública para fortalecer la moralidad pública.</v>
      </c>
      <c r="E18" s="38">
        <f>+'01-FR-03 POA INSTITUCIONAL'!E35</f>
        <v>0.92840909090909096</v>
      </c>
      <c r="F18" s="144">
        <f>+'01-FR-03 POA INSTITUCIONAL'!F35</f>
        <v>817</v>
      </c>
      <c r="G18" s="144">
        <f>+'01-FR-03 POA INSTITUCIONAL'!L35</f>
        <v>286</v>
      </c>
      <c r="H18" s="1030" t="str">
        <f>+'01-FR-03 POA INSTITUCIONAL'!G35</f>
        <v>S.I.</v>
      </c>
      <c r="I18" s="1030" t="str">
        <f>+'01-FR-03 POA INSTITUCIONAL'!H35</f>
        <v>Acciones de Prevención y Control a la Función Pública realizadas, con informe.</v>
      </c>
      <c r="J18" s="1030" t="s">
        <v>662</v>
      </c>
      <c r="K18" s="400" t="s">
        <v>266</v>
      </c>
      <c r="L18" s="187" t="s">
        <v>1113</v>
      </c>
      <c r="M18" s="186" t="s">
        <v>263</v>
      </c>
      <c r="N18" s="186" t="s">
        <v>264</v>
      </c>
      <c r="O18" s="222"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8" s="833">
        <v>0</v>
      </c>
      <c r="Q18" s="833">
        <v>0</v>
      </c>
      <c r="R18" s="833">
        <f>0+20</f>
        <v>20</v>
      </c>
      <c r="S18" s="833">
        <v>0</v>
      </c>
      <c r="T18" s="833">
        <f>1+20</f>
        <v>21</v>
      </c>
      <c r="U18" s="833">
        <v>16</v>
      </c>
      <c r="V18" s="33">
        <f t="shared" si="2"/>
        <v>41</v>
      </c>
      <c r="W18" s="33">
        <f t="shared" si="2"/>
        <v>16</v>
      </c>
      <c r="X18" s="833">
        <f>8+20</f>
        <v>28</v>
      </c>
      <c r="Y18" s="833">
        <v>24</v>
      </c>
      <c r="Z18" s="833">
        <f>12+20</f>
        <v>32</v>
      </c>
      <c r="AA18" s="833">
        <v>32</v>
      </c>
      <c r="AB18" s="833">
        <f>17+0</f>
        <v>17</v>
      </c>
      <c r="AC18" s="833">
        <v>41</v>
      </c>
      <c r="AD18" s="33">
        <f t="shared" si="3"/>
        <v>77</v>
      </c>
      <c r="AE18" s="33">
        <f t="shared" si="3"/>
        <v>97</v>
      </c>
      <c r="AF18" s="833">
        <f>18+20</f>
        <v>38</v>
      </c>
      <c r="AG18" s="833">
        <v>12</v>
      </c>
      <c r="AH18" s="833">
        <f>18+20</f>
        <v>38</v>
      </c>
      <c r="AI18" s="833">
        <v>11</v>
      </c>
      <c r="AJ18" s="833">
        <f>18+20</f>
        <v>38</v>
      </c>
      <c r="AK18" s="833">
        <v>51</v>
      </c>
      <c r="AL18" s="33">
        <f t="shared" si="4"/>
        <v>114</v>
      </c>
      <c r="AM18" s="33">
        <f t="shared" si="4"/>
        <v>74</v>
      </c>
      <c r="AN18" s="833">
        <f>18+20</f>
        <v>38</v>
      </c>
      <c r="AO18" s="833">
        <v>23</v>
      </c>
      <c r="AP18" s="833">
        <f>16+0</f>
        <v>16</v>
      </c>
      <c r="AQ18" s="833">
        <v>43</v>
      </c>
      <c r="AR18" s="833">
        <v>0</v>
      </c>
      <c r="AS18" s="833">
        <v>40</v>
      </c>
      <c r="AT18" s="33">
        <f t="shared" si="5"/>
        <v>54</v>
      </c>
      <c r="AU18" s="33">
        <f t="shared" si="5"/>
        <v>106</v>
      </c>
      <c r="AV18" s="21">
        <f t="shared" si="6"/>
        <v>286</v>
      </c>
      <c r="AW18" s="57">
        <f t="shared" si="7"/>
        <v>16</v>
      </c>
      <c r="AX18" s="57">
        <f t="shared" si="8"/>
        <v>113</v>
      </c>
      <c r="AY18" s="57">
        <f t="shared" si="9"/>
        <v>187</v>
      </c>
      <c r="AZ18" s="956">
        <f t="shared" si="10"/>
        <v>293</v>
      </c>
      <c r="BA18" s="281">
        <f t="shared" ref="BA18:BA22" si="15">IF(AND(AW18&gt;0,AV18&gt;0),AW18/AV18,0)</f>
        <v>5.5944055944055944E-2</v>
      </c>
      <c r="BB18" s="281">
        <f t="shared" si="0"/>
        <v>0.3951048951048951</v>
      </c>
      <c r="BC18" s="281">
        <f t="shared" si="0"/>
        <v>0.65384615384615385</v>
      </c>
      <c r="BD18" s="281">
        <f t="shared" si="0"/>
        <v>1.0244755244755244</v>
      </c>
      <c r="BE18" s="272">
        <f t="shared" si="11"/>
        <v>1.9583843329253364E-2</v>
      </c>
      <c r="BF18" s="272">
        <f t="shared" si="12"/>
        <v>0.13831089351285189</v>
      </c>
      <c r="BG18" s="272">
        <f t="shared" si="13"/>
        <v>0.22888616891064872</v>
      </c>
      <c r="BH18" s="957">
        <f t="shared" si="14"/>
        <v>0.35862913096695226</v>
      </c>
      <c r="BI18" s="223"/>
    </row>
    <row r="19" spans="2:61" ht="105.6" customHeight="1">
      <c r="B19" s="1541"/>
      <c r="C19" s="1582"/>
      <c r="D19" s="27" t="str">
        <f>+'01-FR-03 POA INSTITUCIONAL'!D36</f>
        <v>2.2.2 Realizar 135 acciones de prevención y control a la función pública - seguimientos, para fortalecer la moralidad pública en el Distrito Capital.</v>
      </c>
      <c r="E19" s="38">
        <f>+'01-FR-03 POA INSTITUCIONAL'!E36</f>
        <v>0.15340909090909091</v>
      </c>
      <c r="F19" s="144">
        <f>+'01-FR-03 POA INSTITUCIONAL'!F36</f>
        <v>135</v>
      </c>
      <c r="G19" s="144">
        <f>+'01-FR-03 POA INSTITUCIONAL'!L36</f>
        <v>67</v>
      </c>
      <c r="H19" s="1030" t="str">
        <f>+'01-FR-03 POA INSTITUCIONAL'!G36</f>
        <v>S.I.</v>
      </c>
      <c r="I19" s="1030" t="str">
        <f>+'01-FR-03 POA INSTITUCIONAL'!H36</f>
        <v>Seguimientos realizados sobre acciones previas, con informe</v>
      </c>
      <c r="J19" s="1030" t="s">
        <v>663</v>
      </c>
      <c r="K19" s="400" t="s">
        <v>267</v>
      </c>
      <c r="L19" s="187" t="s">
        <v>1114</v>
      </c>
      <c r="M19" s="186" t="s">
        <v>263</v>
      </c>
      <c r="N19" s="186" t="s">
        <v>264</v>
      </c>
      <c r="O19" s="222"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9" s="833">
        <f>0+0</f>
        <v>0</v>
      </c>
      <c r="Q19" s="833">
        <v>0</v>
      </c>
      <c r="R19" s="833">
        <f>0+0</f>
        <v>0</v>
      </c>
      <c r="S19" s="833">
        <v>0</v>
      </c>
      <c r="T19" s="833">
        <f>1+0</f>
        <v>1</v>
      </c>
      <c r="U19" s="833">
        <v>2</v>
      </c>
      <c r="V19" s="33">
        <f t="shared" si="2"/>
        <v>1</v>
      </c>
      <c r="W19" s="33">
        <f t="shared" si="2"/>
        <v>2</v>
      </c>
      <c r="X19" s="833">
        <f>3+0</f>
        <v>3</v>
      </c>
      <c r="Y19" s="833">
        <v>2</v>
      </c>
      <c r="Z19" s="833">
        <f>9+0</f>
        <v>9</v>
      </c>
      <c r="AA19" s="833">
        <v>4</v>
      </c>
      <c r="AB19" s="833">
        <f>8+0</f>
        <v>8</v>
      </c>
      <c r="AC19" s="833">
        <v>3</v>
      </c>
      <c r="AD19" s="33">
        <f t="shared" si="3"/>
        <v>20</v>
      </c>
      <c r="AE19" s="33">
        <f t="shared" si="3"/>
        <v>9</v>
      </c>
      <c r="AF19" s="833">
        <v>20</v>
      </c>
      <c r="AG19" s="833">
        <v>5</v>
      </c>
      <c r="AH19" s="833">
        <v>0</v>
      </c>
      <c r="AI19" s="833">
        <v>2</v>
      </c>
      <c r="AJ19" s="833">
        <v>23</v>
      </c>
      <c r="AK19" s="833">
        <v>11</v>
      </c>
      <c r="AL19" s="33">
        <f t="shared" si="4"/>
        <v>43</v>
      </c>
      <c r="AM19" s="33">
        <f t="shared" si="4"/>
        <v>18</v>
      </c>
      <c r="AN19" s="833">
        <v>2</v>
      </c>
      <c r="AO19" s="833">
        <v>15</v>
      </c>
      <c r="AP19" s="833">
        <v>1</v>
      </c>
      <c r="AQ19" s="833">
        <v>19</v>
      </c>
      <c r="AR19" s="833">
        <f>0+0</f>
        <v>0</v>
      </c>
      <c r="AS19" s="833">
        <v>4</v>
      </c>
      <c r="AT19" s="33">
        <f t="shared" si="5"/>
        <v>3</v>
      </c>
      <c r="AU19" s="33">
        <f t="shared" si="5"/>
        <v>38</v>
      </c>
      <c r="AV19" s="21">
        <f t="shared" si="6"/>
        <v>67</v>
      </c>
      <c r="AW19" s="57">
        <f t="shared" si="7"/>
        <v>2</v>
      </c>
      <c r="AX19" s="57">
        <f t="shared" si="8"/>
        <v>11</v>
      </c>
      <c r="AY19" s="57">
        <f t="shared" si="9"/>
        <v>29</v>
      </c>
      <c r="AZ19" s="956">
        <f t="shared" si="10"/>
        <v>67</v>
      </c>
      <c r="BA19" s="34">
        <f t="shared" si="15"/>
        <v>2.9850746268656716E-2</v>
      </c>
      <c r="BB19" s="34">
        <f t="shared" si="0"/>
        <v>0.16417910447761194</v>
      </c>
      <c r="BC19" s="34">
        <f t="shared" si="0"/>
        <v>0.43283582089552236</v>
      </c>
      <c r="BD19" s="34">
        <f t="shared" si="0"/>
        <v>1</v>
      </c>
      <c r="BE19" s="272">
        <f t="shared" si="11"/>
        <v>1.4814814814814815E-2</v>
      </c>
      <c r="BF19" s="272">
        <f t="shared" si="12"/>
        <v>8.1481481481481488E-2</v>
      </c>
      <c r="BG19" s="272">
        <f t="shared" si="13"/>
        <v>0.21481481481481482</v>
      </c>
      <c r="BH19" s="957">
        <f t="shared" si="14"/>
        <v>0.49629629629629629</v>
      </c>
      <c r="BI19" s="223"/>
    </row>
    <row r="20" spans="2:61" ht="322.5" customHeight="1">
      <c r="B20" s="1541"/>
      <c r="C20" s="1540" t="str">
        <f>+'01-FR-03 POA INSTITUCIONAL'!C37</f>
        <v>2.3. Fortalecer 320 espacios de participación ciudadana en la Personería de Bogotá</v>
      </c>
      <c r="D20" s="27" t="str">
        <f>+'01-FR-03 POA INSTITUCIONAL'!D37</f>
        <v>2.3.1 Realizar 60 audiencias públicas y/o mesas de trabajo, las cuales permitan la participación ciudadana, con énfasis en los Derechos e intereses colectivos.</v>
      </c>
      <c r="E20" s="38">
        <f>+'01-FR-03 POA INSTITUCIONAL'!E37</f>
        <v>0.20338983050847459</v>
      </c>
      <c r="F20" s="144">
        <f>+'01-FR-03 POA INSTITUCIONAL'!F37</f>
        <v>60</v>
      </c>
      <c r="G20" s="144">
        <f>+'01-FR-03 POA INSTITUCIONAL'!L37</f>
        <v>21</v>
      </c>
      <c r="H20" s="1030">
        <f>+'01-FR-03 POA INSTITUCIONAL'!G37</f>
        <v>75</v>
      </c>
      <c r="I20" s="1030" t="str">
        <f>+'01-FR-03 POA INSTITUCIONAL'!H37</f>
        <v>Audiencias públicas y/o mesas de trabajo realizadas.</v>
      </c>
      <c r="J20" s="1030" t="s">
        <v>268</v>
      </c>
      <c r="K20" s="400" t="s">
        <v>269</v>
      </c>
      <c r="L20" s="187" t="s">
        <v>1115</v>
      </c>
      <c r="M20" s="186" t="s">
        <v>263</v>
      </c>
      <c r="N20" s="186" t="s">
        <v>264</v>
      </c>
      <c r="O20" s="222" t="str">
        <f>+'01-FR-03 POA INSTITUCIONAL'!J37</f>
        <v>Personería Delegada para la Coordinación de Prevención y Control a la Función Pública y sus Personerías Delegadas.</v>
      </c>
      <c r="P20" s="831">
        <v>0</v>
      </c>
      <c r="Q20" s="831">
        <v>0</v>
      </c>
      <c r="R20" s="831">
        <v>0</v>
      </c>
      <c r="S20" s="831">
        <v>0</v>
      </c>
      <c r="T20" s="831">
        <v>2</v>
      </c>
      <c r="U20" s="832">
        <v>0</v>
      </c>
      <c r="V20" s="33">
        <f t="shared" si="2"/>
        <v>2</v>
      </c>
      <c r="W20" s="33">
        <f t="shared" si="2"/>
        <v>0</v>
      </c>
      <c r="X20" s="831">
        <v>2</v>
      </c>
      <c r="Y20" s="831">
        <v>2</v>
      </c>
      <c r="Z20" s="831">
        <v>2</v>
      </c>
      <c r="AA20" s="831">
        <v>0</v>
      </c>
      <c r="AB20" s="831">
        <v>2</v>
      </c>
      <c r="AC20" s="831">
        <v>1</v>
      </c>
      <c r="AD20" s="33">
        <f t="shared" si="3"/>
        <v>6</v>
      </c>
      <c r="AE20" s="33">
        <f t="shared" si="3"/>
        <v>3</v>
      </c>
      <c r="AF20" s="831">
        <v>0</v>
      </c>
      <c r="AG20" s="831">
        <v>7</v>
      </c>
      <c r="AH20" s="831">
        <v>2</v>
      </c>
      <c r="AI20" s="831">
        <v>0</v>
      </c>
      <c r="AJ20" s="832">
        <v>3</v>
      </c>
      <c r="AK20" s="832">
        <v>2</v>
      </c>
      <c r="AL20" s="33">
        <f t="shared" si="4"/>
        <v>5</v>
      </c>
      <c r="AM20" s="33">
        <f t="shared" si="4"/>
        <v>9</v>
      </c>
      <c r="AN20" s="831">
        <v>3</v>
      </c>
      <c r="AO20" s="831">
        <v>7</v>
      </c>
      <c r="AP20" s="831">
        <v>3</v>
      </c>
      <c r="AQ20" s="831">
        <v>3</v>
      </c>
      <c r="AR20" s="831">
        <v>2</v>
      </c>
      <c r="AS20" s="831">
        <v>1</v>
      </c>
      <c r="AT20" s="33">
        <f t="shared" si="5"/>
        <v>8</v>
      </c>
      <c r="AU20" s="33">
        <f t="shared" si="5"/>
        <v>11</v>
      </c>
      <c r="AV20" s="21">
        <f t="shared" si="6"/>
        <v>21</v>
      </c>
      <c r="AW20" s="57">
        <f t="shared" si="7"/>
        <v>0</v>
      </c>
      <c r="AX20" s="57">
        <f t="shared" si="8"/>
        <v>3</v>
      </c>
      <c r="AY20" s="57">
        <f t="shared" si="9"/>
        <v>12</v>
      </c>
      <c r="AZ20" s="956">
        <f t="shared" si="10"/>
        <v>23</v>
      </c>
      <c r="BA20" s="34">
        <f t="shared" si="15"/>
        <v>0</v>
      </c>
      <c r="BB20" s="34">
        <f t="shared" si="0"/>
        <v>0.14285714285714285</v>
      </c>
      <c r="BC20" s="34">
        <f t="shared" si="0"/>
        <v>0.5714285714285714</v>
      </c>
      <c r="BD20" s="34">
        <f t="shared" si="0"/>
        <v>1.0952380952380953</v>
      </c>
      <c r="BE20" s="272">
        <f t="shared" ref="BE20:BE22" si="16">(IF(AND(AW20&gt;0,$F20&gt;0),AW20/$F20,0))</f>
        <v>0</v>
      </c>
      <c r="BF20" s="272">
        <f t="shared" ref="BF20:BF22" si="17">(IF(AND(AX20&gt;0,$F20&gt;0),AX20/$F20,0))</f>
        <v>0.05</v>
      </c>
      <c r="BG20" s="272">
        <f t="shared" ref="BG20:BG22" si="18">(IF(AND(AY20&gt;0,$F20&gt;0),AY20/$F20,0))</f>
        <v>0.2</v>
      </c>
      <c r="BH20" s="957">
        <f t="shared" ref="BH20:BH22" si="19">(IF(AND(AZ20&gt;0,$F20&gt;0),AZ20/$F20,0))</f>
        <v>0.38333333333333336</v>
      </c>
      <c r="BI20" s="223"/>
    </row>
    <row r="21" spans="2:61" ht="171" customHeight="1">
      <c r="B21" s="1541"/>
      <c r="C21" s="1541"/>
      <c r="D21" s="27" t="str">
        <f>+'01-FR-03 POA INSTITUCIONAL'!D38</f>
        <v>2.3.2 Realizar 160 acompañamientos a los ciudadanos que intervienen en los diferentes espacios de participación ciudadana.</v>
      </c>
      <c r="E21" s="38">
        <f>+'01-FR-03 POA INSTITUCIONAL'!E38</f>
        <v>0.5423728813559322</v>
      </c>
      <c r="F21" s="144">
        <f>+'01-FR-03 POA INSTITUCIONAL'!F38</f>
        <v>160</v>
      </c>
      <c r="G21" s="144">
        <f>+'01-FR-03 POA INSTITUCIONAL'!L38</f>
        <v>60</v>
      </c>
      <c r="H21" s="1030" t="str">
        <f>+'01-FR-03 POA INSTITUCIONAL'!G38</f>
        <v>S.I.</v>
      </c>
      <c r="I21" s="1030" t="str">
        <f>+'01-FR-03 POA INSTITUCIONAL'!H38</f>
        <v>Acompañamientos a los ciudadanos realizados.</v>
      </c>
      <c r="J21" s="1030" t="s">
        <v>270</v>
      </c>
      <c r="K21" s="400" t="s">
        <v>271</v>
      </c>
      <c r="L21" s="187" t="s">
        <v>1116</v>
      </c>
      <c r="M21" s="186" t="s">
        <v>263</v>
      </c>
      <c r="N21" s="186" t="s">
        <v>264</v>
      </c>
      <c r="O21" s="222" t="str">
        <f>+'01-FR-03 POA INSTITUCIONAL'!J38</f>
        <v xml:space="preserve">Personería Delegada para la Coordinación de Gestión de las Personerías Locales y sus Personerías Locales. </v>
      </c>
      <c r="P21" s="831">
        <v>0</v>
      </c>
      <c r="Q21" s="831">
        <v>5</v>
      </c>
      <c r="R21" s="831">
        <f>0+6</f>
        <v>6</v>
      </c>
      <c r="S21" s="831">
        <v>3</v>
      </c>
      <c r="T21" s="831">
        <f>0+6</f>
        <v>6</v>
      </c>
      <c r="U21" s="832">
        <v>10</v>
      </c>
      <c r="V21" s="33">
        <f t="shared" si="2"/>
        <v>12</v>
      </c>
      <c r="W21" s="33">
        <f t="shared" si="2"/>
        <v>18</v>
      </c>
      <c r="X21" s="831">
        <f>0+6</f>
        <v>6</v>
      </c>
      <c r="Y21" s="831">
        <v>5</v>
      </c>
      <c r="Z21" s="831">
        <f>0+6</f>
        <v>6</v>
      </c>
      <c r="AA21" s="831">
        <v>1</v>
      </c>
      <c r="AB21" s="831">
        <f>0+6</f>
        <v>6</v>
      </c>
      <c r="AC21" s="831">
        <v>7</v>
      </c>
      <c r="AD21" s="33">
        <f t="shared" si="3"/>
        <v>18</v>
      </c>
      <c r="AE21" s="33">
        <f t="shared" si="3"/>
        <v>13</v>
      </c>
      <c r="AF21" s="831">
        <f>0+6</f>
        <v>6</v>
      </c>
      <c r="AG21" s="831">
        <v>1</v>
      </c>
      <c r="AH21" s="831">
        <f>0+6</f>
        <v>6</v>
      </c>
      <c r="AI21" s="831">
        <v>4</v>
      </c>
      <c r="AJ21" s="831">
        <f>0+6</f>
        <v>6</v>
      </c>
      <c r="AK21" s="832">
        <v>2</v>
      </c>
      <c r="AL21" s="33">
        <f t="shared" si="4"/>
        <v>18</v>
      </c>
      <c r="AM21" s="33">
        <f t="shared" si="4"/>
        <v>7</v>
      </c>
      <c r="AN21" s="831">
        <f>0+6</f>
        <v>6</v>
      </c>
      <c r="AO21" s="831">
        <v>19</v>
      </c>
      <c r="AP21" s="831">
        <f>0+6</f>
        <v>6</v>
      </c>
      <c r="AQ21" s="831">
        <v>5</v>
      </c>
      <c r="AR21" s="831">
        <v>0</v>
      </c>
      <c r="AS21" s="831">
        <v>5</v>
      </c>
      <c r="AT21" s="33">
        <f t="shared" si="5"/>
        <v>12</v>
      </c>
      <c r="AU21" s="33">
        <f t="shared" si="5"/>
        <v>29</v>
      </c>
      <c r="AV21" s="21">
        <f t="shared" si="6"/>
        <v>60</v>
      </c>
      <c r="AW21" s="57">
        <f t="shared" si="7"/>
        <v>18</v>
      </c>
      <c r="AX21" s="57">
        <f t="shared" si="8"/>
        <v>31</v>
      </c>
      <c r="AY21" s="57">
        <f t="shared" si="9"/>
        <v>38</v>
      </c>
      <c r="AZ21" s="956">
        <f t="shared" si="10"/>
        <v>67</v>
      </c>
      <c r="BA21" s="34">
        <f t="shared" si="15"/>
        <v>0.3</v>
      </c>
      <c r="BB21" s="34">
        <f t="shared" si="0"/>
        <v>0.51666666666666672</v>
      </c>
      <c r="BC21" s="34">
        <f t="shared" si="0"/>
        <v>0.6333333333333333</v>
      </c>
      <c r="BD21" s="34">
        <f t="shared" si="0"/>
        <v>1.1166666666666667</v>
      </c>
      <c r="BE21" s="272">
        <f t="shared" si="16"/>
        <v>0.1125</v>
      </c>
      <c r="BF21" s="272">
        <f t="shared" si="17"/>
        <v>0.19375000000000001</v>
      </c>
      <c r="BG21" s="272">
        <f t="shared" si="18"/>
        <v>0.23749999999999999</v>
      </c>
      <c r="BH21" s="957">
        <f t="shared" si="19"/>
        <v>0.41875000000000001</v>
      </c>
      <c r="BI21" s="223"/>
    </row>
    <row r="22" spans="2:61" ht="177" customHeight="1">
      <c r="B22" s="1582"/>
      <c r="C22" s="1582"/>
      <c r="D22" s="27" t="str">
        <f>+'01-FR-03 POA INSTITUCIONAL'!D39</f>
        <v>2.3.3 Realizar 100 espacios de diálogo con las personas para retroalimentar las actividades de participación ciudadana</v>
      </c>
      <c r="E22" s="38">
        <f>+'01-FR-03 POA INSTITUCIONAL'!E39</f>
        <v>0.33898305084745761</v>
      </c>
      <c r="F22" s="144">
        <f>+'01-FR-03 POA INSTITUCIONAL'!F39</f>
        <v>100</v>
      </c>
      <c r="G22" s="144">
        <f>+'01-FR-03 POA INSTITUCIONAL'!L39</f>
        <v>30</v>
      </c>
      <c r="H22" s="1030" t="str">
        <f>+'01-FR-03 POA INSTITUCIONAL'!G39</f>
        <v>S.I.</v>
      </c>
      <c r="I22" s="1030" t="str">
        <f>+'01-FR-03 POA INSTITUCIONAL'!H39</f>
        <v>Espacios de dialogo realizados.</v>
      </c>
      <c r="J22" s="1030" t="s">
        <v>664</v>
      </c>
      <c r="K22" s="400" t="s">
        <v>272</v>
      </c>
      <c r="L22" s="187" t="s">
        <v>1117</v>
      </c>
      <c r="M22" s="186" t="s">
        <v>263</v>
      </c>
      <c r="N22" s="186" t="s">
        <v>264</v>
      </c>
      <c r="O22" s="222" t="str">
        <f>+'01-FR-03 POA INSTITUCIONAL'!J39</f>
        <v>Personería Delegada para la Coordinación de Gestión de las Personerías Locales y sus Personerías Locales. 
Personería Delegada para la Coordinación de Prevención y Control a la Función Pública y sus Personerías Delegadas.</v>
      </c>
      <c r="P22" s="831">
        <v>0</v>
      </c>
      <c r="Q22" s="831">
        <v>0</v>
      </c>
      <c r="R22" s="831">
        <v>3</v>
      </c>
      <c r="S22" s="831">
        <v>2</v>
      </c>
      <c r="T22" s="831">
        <v>3</v>
      </c>
      <c r="U22" s="832">
        <v>11</v>
      </c>
      <c r="V22" s="33">
        <f t="shared" si="2"/>
        <v>6</v>
      </c>
      <c r="W22" s="33">
        <f t="shared" si="2"/>
        <v>13</v>
      </c>
      <c r="X22" s="831">
        <v>3</v>
      </c>
      <c r="Y22" s="831">
        <v>0</v>
      </c>
      <c r="Z22" s="831">
        <v>3</v>
      </c>
      <c r="AA22" s="831">
        <v>1</v>
      </c>
      <c r="AB22" s="831">
        <v>3</v>
      </c>
      <c r="AC22" s="831">
        <v>3</v>
      </c>
      <c r="AD22" s="33">
        <f t="shared" si="3"/>
        <v>9</v>
      </c>
      <c r="AE22" s="33">
        <f t="shared" si="3"/>
        <v>4</v>
      </c>
      <c r="AF22" s="831">
        <v>3</v>
      </c>
      <c r="AG22" s="831">
        <v>6</v>
      </c>
      <c r="AH22" s="831">
        <v>3</v>
      </c>
      <c r="AI22" s="831">
        <v>5</v>
      </c>
      <c r="AJ22" s="832">
        <v>3</v>
      </c>
      <c r="AK22" s="832">
        <v>7</v>
      </c>
      <c r="AL22" s="33">
        <f t="shared" si="4"/>
        <v>9</v>
      </c>
      <c r="AM22" s="33">
        <f t="shared" si="4"/>
        <v>18</v>
      </c>
      <c r="AN22" s="831">
        <v>3</v>
      </c>
      <c r="AO22" s="831">
        <v>5</v>
      </c>
      <c r="AP22" s="831">
        <v>3</v>
      </c>
      <c r="AQ22" s="831">
        <v>0</v>
      </c>
      <c r="AR22" s="831">
        <v>0</v>
      </c>
      <c r="AS22" s="831">
        <v>17</v>
      </c>
      <c r="AT22" s="33">
        <f t="shared" si="5"/>
        <v>6</v>
      </c>
      <c r="AU22" s="33">
        <f t="shared" si="5"/>
        <v>22</v>
      </c>
      <c r="AV22" s="21">
        <f t="shared" si="6"/>
        <v>30</v>
      </c>
      <c r="AW22" s="57">
        <f t="shared" si="7"/>
        <v>13</v>
      </c>
      <c r="AX22" s="57">
        <f t="shared" si="8"/>
        <v>17</v>
      </c>
      <c r="AY22" s="57">
        <f t="shared" si="9"/>
        <v>35</v>
      </c>
      <c r="AZ22" s="956">
        <f t="shared" si="10"/>
        <v>57</v>
      </c>
      <c r="BA22" s="34">
        <f t="shared" si="15"/>
        <v>0.43333333333333335</v>
      </c>
      <c r="BB22" s="34">
        <f t="shared" si="0"/>
        <v>0.56666666666666665</v>
      </c>
      <c r="BC22" s="34">
        <f t="shared" si="0"/>
        <v>1.1666666666666667</v>
      </c>
      <c r="BD22" s="34">
        <f t="shared" si="0"/>
        <v>1.9</v>
      </c>
      <c r="BE22" s="272">
        <f t="shared" si="16"/>
        <v>0.13</v>
      </c>
      <c r="BF22" s="272">
        <f t="shared" si="17"/>
        <v>0.17</v>
      </c>
      <c r="BG22" s="272">
        <f t="shared" si="18"/>
        <v>0.35</v>
      </c>
      <c r="BH22" s="957">
        <f t="shared" si="19"/>
        <v>0.56999999999999995</v>
      </c>
      <c r="BI22" s="223"/>
    </row>
    <row r="23" spans="2:61" ht="22.8">
      <c r="B23" s="1504"/>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c r="AA23" s="1505"/>
      <c r="AB23" s="1505"/>
      <c r="AC23" s="1505"/>
      <c r="AD23" s="1505"/>
      <c r="AE23" s="1505"/>
      <c r="AF23" s="1505"/>
      <c r="AG23" s="1505"/>
      <c r="AH23" s="1505"/>
      <c r="AI23" s="1505"/>
      <c r="AJ23" s="1505"/>
      <c r="AK23" s="1505"/>
      <c r="AL23" s="1505"/>
      <c r="AM23" s="1505"/>
      <c r="AN23" s="1505"/>
      <c r="AO23" s="1505"/>
      <c r="AP23" s="1505"/>
      <c r="AQ23" s="1505"/>
      <c r="AR23" s="1505"/>
      <c r="AS23" s="1505"/>
      <c r="AT23" s="1505"/>
      <c r="AU23" s="1505"/>
      <c r="AV23" s="1505"/>
      <c r="AW23" s="1583"/>
      <c r="AX23" s="1538" t="s">
        <v>19</v>
      </c>
      <c r="AY23" s="1581"/>
      <c r="AZ23" s="1581"/>
      <c r="BA23" s="1037">
        <f t="shared" ref="BA23:BD23" si="20">AVERAGE(BA16:BA22)</f>
        <v>0.11701830507800658</v>
      </c>
      <c r="BB23" s="1037">
        <f t="shared" si="20"/>
        <v>0.2550677822532833</v>
      </c>
      <c r="BC23" s="1037">
        <f t="shared" si="20"/>
        <v>0.53483211884064763</v>
      </c>
      <c r="BD23" s="1037">
        <f t="shared" si="20"/>
        <v>1.1623400409114697</v>
      </c>
      <c r="BE23" s="1595"/>
      <c r="BF23" s="1596"/>
      <c r="BG23" s="1596"/>
      <c r="BH23" s="1597"/>
    </row>
    <row r="24" spans="2:61">
      <c r="B24" s="1500"/>
      <c r="C24" s="1500"/>
      <c r="D24" s="1500"/>
      <c r="E24" s="1500"/>
      <c r="F24" s="1500"/>
      <c r="G24" s="1500"/>
      <c r="H24" s="208"/>
      <c r="I24" s="209"/>
      <c r="J24" s="209"/>
      <c r="K24" s="209"/>
      <c r="L24" s="209"/>
      <c r="M24" s="209"/>
      <c r="N24" s="209"/>
      <c r="O24" s="209"/>
    </row>
    <row r="25" spans="2:61">
      <c r="B25" s="209"/>
      <c r="C25" s="209"/>
      <c r="D25" s="1520"/>
      <c r="E25" s="1520"/>
      <c r="F25" s="1520"/>
      <c r="G25" s="1520"/>
      <c r="H25" s="1520"/>
      <c r="I25" s="1520"/>
      <c r="J25" s="1520"/>
      <c r="K25" s="1520"/>
      <c r="L25" s="1520"/>
      <c r="M25" s="1520"/>
      <c r="N25" s="1520"/>
      <c r="O25" s="1520"/>
    </row>
    <row r="26" spans="2:61" ht="38.25" customHeight="1">
      <c r="B26" s="54" t="s">
        <v>26</v>
      </c>
      <c r="C26" s="210">
        <v>44224</v>
      </c>
      <c r="D26" s="211"/>
      <c r="E26" s="1510" t="s">
        <v>50</v>
      </c>
      <c r="F26" s="1588" t="s">
        <v>1111</v>
      </c>
      <c r="G26" s="1589"/>
      <c r="H26" s="1589"/>
      <c r="I26" s="1589"/>
      <c r="J26" s="1590"/>
      <c r="K26" s="212"/>
      <c r="L26" s="1567"/>
      <c r="M26" s="1567"/>
      <c r="N26" s="1567"/>
      <c r="O26" s="1587"/>
    </row>
    <row r="27" spans="2:61" ht="32.25" customHeight="1">
      <c r="B27" s="209"/>
      <c r="C27" s="209"/>
      <c r="D27" s="212"/>
      <c r="E27" s="1510"/>
      <c r="F27" s="1591"/>
      <c r="G27" s="1592"/>
      <c r="H27" s="1592"/>
      <c r="I27" s="1592"/>
      <c r="J27" s="1593"/>
      <c r="K27" s="209"/>
      <c r="L27" s="209"/>
      <c r="M27" s="209"/>
      <c r="N27" s="209"/>
      <c r="O27" s="209"/>
    </row>
    <row r="28" spans="2:61" ht="31.5" customHeight="1">
      <c r="B28" s="54" t="s">
        <v>49</v>
      </c>
      <c r="C28" s="56">
        <v>44581</v>
      </c>
      <c r="D28" s="209"/>
      <c r="E28" s="209"/>
      <c r="F28" s="209"/>
      <c r="K28" s="209"/>
      <c r="L28" s="209"/>
      <c r="M28" s="209"/>
      <c r="N28" s="209"/>
      <c r="O28" s="209"/>
    </row>
    <row r="29" spans="2:61">
      <c r="B29" s="209"/>
      <c r="C29" s="209"/>
      <c r="D29" s="209"/>
      <c r="E29" s="209"/>
      <c r="F29" s="209"/>
      <c r="K29" s="209"/>
      <c r="L29" s="209"/>
      <c r="M29" s="209"/>
      <c r="N29" s="209"/>
      <c r="O29" s="209"/>
    </row>
    <row r="30" spans="2:61" ht="15" customHeight="1">
      <c r="B30" s="541" t="s">
        <v>916</v>
      </c>
      <c r="C30" s="209"/>
      <c r="D30" s="209"/>
      <c r="E30" s="209"/>
      <c r="F30" s="209"/>
      <c r="G30" s="208"/>
      <c r="H30" s="208"/>
      <c r="I30" s="1586"/>
      <c r="J30" s="1586"/>
      <c r="K30" s="1586"/>
      <c r="L30" s="1586"/>
      <c r="M30" s="1034"/>
      <c r="N30" s="1034"/>
      <c r="O30" s="1034"/>
    </row>
    <row r="31" spans="2:61" ht="15" customHeight="1">
      <c r="B31" s="209"/>
      <c r="C31" s="209"/>
      <c r="D31" s="209"/>
      <c r="E31" s="209"/>
      <c r="F31" s="209"/>
      <c r="G31" s="208"/>
      <c r="H31" s="208"/>
      <c r="I31" s="209"/>
      <c r="J31" s="209"/>
      <c r="K31" s="214"/>
      <c r="L31" s="209"/>
      <c r="M31" s="209"/>
      <c r="N31" s="209"/>
      <c r="O31" s="209"/>
    </row>
    <row r="32" spans="2:61" ht="15" customHeight="1">
      <c r="B32" s="209"/>
      <c r="C32" s="209"/>
      <c r="D32" s="209"/>
      <c r="E32" s="209"/>
      <c r="F32" s="209"/>
      <c r="G32" s="208"/>
      <c r="H32" s="208"/>
      <c r="I32" s="1586"/>
      <c r="J32" s="1586"/>
      <c r="K32" s="1586"/>
      <c r="L32" s="1586"/>
      <c r="M32" s="1034"/>
      <c r="N32" s="1034"/>
      <c r="O32" s="1034"/>
    </row>
    <row r="33" spans="2:15" ht="15" customHeight="1">
      <c r="B33" s="209"/>
      <c r="C33" s="209"/>
      <c r="D33" s="209"/>
      <c r="E33" s="209"/>
      <c r="F33" s="209"/>
      <c r="G33" s="208"/>
      <c r="H33" s="208"/>
      <c r="I33" s="209"/>
      <c r="J33" s="209"/>
      <c r="K33" s="214"/>
      <c r="L33" s="209"/>
      <c r="M33" s="209"/>
      <c r="N33" s="209"/>
      <c r="O33" s="209"/>
    </row>
    <row r="34" spans="2:15" ht="15" customHeight="1">
      <c r="B34" s="209"/>
      <c r="C34" s="209"/>
      <c r="D34" s="209"/>
      <c r="E34" s="209"/>
      <c r="F34" s="209"/>
      <c r="G34" s="208"/>
      <c r="H34" s="208"/>
      <c r="I34" s="1586"/>
      <c r="J34" s="1586"/>
      <c r="K34" s="1586"/>
      <c r="L34" s="1586"/>
      <c r="M34" s="1034"/>
      <c r="N34" s="1034"/>
      <c r="O34" s="1034"/>
    </row>
  </sheetData>
  <sheetProtection algorithmName="SHA-512" hashValue="f7nFl7d+3ZSbljeS4Qww4zkAghIlPe7k4QKcnRibj86MES9YV3K8ly8Yeg9Lj1HuoKsmS1eJMIvox3tlTh8lHA==" saltValue="axQD4QczJTRVmA4uG/URVw==" spinCount="100000" sheet="1" objects="1" scenarios="1"/>
  <mergeCells count="73">
    <mergeCell ref="BE23:BH23"/>
    <mergeCell ref="I30:L30"/>
    <mergeCell ref="I32:L32"/>
    <mergeCell ref="I34:L34"/>
    <mergeCell ref="B24:G24"/>
    <mergeCell ref="B23:AW23"/>
    <mergeCell ref="AX23:AZ23"/>
    <mergeCell ref="D25:O25"/>
    <mergeCell ref="E26:E27"/>
    <mergeCell ref="L26:O26"/>
    <mergeCell ref="F26:J27"/>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disablePrompts="1"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92D050"/>
  </sheetPr>
  <dimension ref="B1:BH35"/>
  <sheetViews>
    <sheetView showGridLines="0" zoomScale="55" zoomScaleNormal="55"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6" width="27.5546875" style="105" customWidth="1"/>
    <col min="7" max="8" width="29.33203125" style="106" customWidth="1"/>
    <col min="9" max="9" width="36.44140625" style="105" customWidth="1"/>
    <col min="10" max="10" width="31.88671875"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0" ht="15.6" thickBot="1"/>
    <row r="2" spans="2:60" ht="15.6" customHeight="1">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5.6" customHeight="1">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ustomHeight="1">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2.8">
      <c r="B8" s="183" t="s">
        <v>45</v>
      </c>
      <c r="C8" s="1607" t="s">
        <v>90</v>
      </c>
      <c r="D8" s="1607"/>
      <c r="E8" s="184"/>
      <c r="F8" s="184"/>
      <c r="G8" s="184"/>
      <c r="H8" s="184"/>
      <c r="I8" s="184"/>
      <c r="J8" s="184"/>
      <c r="K8" s="184"/>
      <c r="L8" s="184"/>
      <c r="M8" s="184"/>
      <c r="N8" s="184"/>
      <c r="O8" s="184"/>
      <c r="AW8" s="1035"/>
      <c r="AX8" s="1035"/>
      <c r="AY8" s="1035"/>
      <c r="AZ8" s="1035"/>
      <c r="BA8" s="1035"/>
      <c r="BB8" s="1035"/>
      <c r="BC8" s="1035"/>
      <c r="BD8" s="1035"/>
    </row>
    <row r="9" spans="2:60" ht="69.75" customHeight="1">
      <c r="B9" s="183" t="s">
        <v>34</v>
      </c>
      <c r="C9" s="1534" t="s">
        <v>320</v>
      </c>
      <c r="D9" s="1535"/>
      <c r="E9" s="184"/>
      <c r="F9" s="184"/>
      <c r="G9" s="184"/>
      <c r="H9" s="184"/>
      <c r="I9" s="184"/>
      <c r="J9" s="184"/>
      <c r="K9" s="184"/>
      <c r="L9" s="184"/>
      <c r="M9" s="184"/>
      <c r="N9" s="184"/>
      <c r="O9" s="184"/>
      <c r="AW9" s="1035"/>
      <c r="AX9" s="1035"/>
      <c r="AY9" s="1035"/>
      <c r="AZ9" s="1035"/>
      <c r="BA9" s="1035"/>
      <c r="BB9" s="1035"/>
      <c r="BC9" s="1035"/>
      <c r="BD9" s="1035"/>
    </row>
    <row r="10" spans="2:60"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21.6"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2:60"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314</v>
      </c>
      <c r="AZ13" s="1552" t="s">
        <v>315</v>
      </c>
      <c r="BA13" s="1558" t="s">
        <v>119</v>
      </c>
      <c r="BB13" s="1558" t="s">
        <v>122</v>
      </c>
      <c r="BC13" s="1558" t="s">
        <v>123</v>
      </c>
      <c r="BD13" s="1558" t="s">
        <v>124</v>
      </c>
      <c r="BE13" s="1561" t="s">
        <v>21</v>
      </c>
      <c r="BF13" s="1561" t="s">
        <v>22</v>
      </c>
      <c r="BG13" s="1561" t="s">
        <v>23</v>
      </c>
      <c r="BH13" s="1561" t="s">
        <v>24</v>
      </c>
    </row>
    <row r="14" spans="2:60"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13.2"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0" ht="90">
      <c r="B16" s="1540" t="str">
        <f>+'01-FR-03 POA INSTITUCIONAL'!B40</f>
        <v>3. Vigilar la conducta oficial de los(as) servidores(as) públicos(as) del Distrito Capital, mediante acciones preventivas y correctivas, que permitan un adecuado cumplimiento de los principios de la Función Pública</v>
      </c>
      <c r="C16" s="1540" t="str">
        <f>+'01-FR-03 POA INSTITUCIONAL'!C40</f>
        <v>3.1. Descongestionar 6.700 procesos disciplinarios con criterios de calidad, efectividad y garantía del debido proceso.</v>
      </c>
      <c r="D16" s="27" t="str">
        <f>+'01-FR-03 POA INSTITUCIONAL'!D40</f>
        <v xml:space="preserve">3.1.1 Identificar y decidir de fondo 6,700  procesos, priorizando aquellos que se encuentren con riesgo de prescripción y/o vencidos en su etapa procesal (indagación, investigación y juzgamiento). </v>
      </c>
      <c r="E16" s="38">
        <f>+'01-FR-03 POA INSTITUCIONAL'!E40</f>
        <v>0.8</v>
      </c>
      <c r="F16" s="225">
        <f>+'01-FR-03 POA INSTITUCIONAL'!F40</f>
        <v>6700</v>
      </c>
      <c r="G16" s="225">
        <f>+'01-FR-03 POA INSTITUCIONAL'!L40</f>
        <v>1800</v>
      </c>
      <c r="H16" s="225">
        <f>+'01-FR-03 POA INSTITUCIONAL'!G40</f>
        <v>6287</v>
      </c>
      <c r="I16" s="1030" t="str">
        <f>+'01-FR-03 POA INSTITUCIONAL'!H40</f>
        <v>Procesos priorizados identificados y decididos de fondo</v>
      </c>
      <c r="J16" s="185" t="s">
        <v>304</v>
      </c>
      <c r="K16" s="400" t="s">
        <v>316</v>
      </c>
      <c r="L16" s="187" t="s">
        <v>293</v>
      </c>
      <c r="M16" s="187" t="s">
        <v>321</v>
      </c>
      <c r="N16" s="187" t="s">
        <v>311</v>
      </c>
      <c r="O16" s="401" t="str">
        <f>+'01-FR-03 POA INSTITUCIONAL'!J40</f>
        <v>Personería Delegada para la Coordinación de Potestad Disciplinaria</v>
      </c>
      <c r="P16" s="785">
        <v>80</v>
      </c>
      <c r="Q16" s="785">
        <v>78</v>
      </c>
      <c r="R16" s="785">
        <v>100</v>
      </c>
      <c r="S16" s="785">
        <v>81</v>
      </c>
      <c r="T16" s="785">
        <v>120</v>
      </c>
      <c r="U16" s="785">
        <v>159</v>
      </c>
      <c r="V16" s="46">
        <f>P16+R16+T16</f>
        <v>300</v>
      </c>
      <c r="W16" s="46">
        <f>Q16+S16+U16</f>
        <v>318</v>
      </c>
      <c r="X16" s="785">
        <v>150</v>
      </c>
      <c r="Y16" s="785">
        <v>81</v>
      </c>
      <c r="Z16" s="785">
        <v>170</v>
      </c>
      <c r="AA16" s="785">
        <v>110</v>
      </c>
      <c r="AB16" s="785">
        <v>170</v>
      </c>
      <c r="AC16" s="785">
        <v>175</v>
      </c>
      <c r="AD16" s="46">
        <f>X16+Z16+AB16</f>
        <v>490</v>
      </c>
      <c r="AE16" s="46">
        <f>Y16+AA16+AC16</f>
        <v>366</v>
      </c>
      <c r="AF16" s="785">
        <v>210</v>
      </c>
      <c r="AG16" s="785">
        <v>113</v>
      </c>
      <c r="AH16" s="785">
        <v>210</v>
      </c>
      <c r="AI16" s="785">
        <v>164</v>
      </c>
      <c r="AJ16" s="839">
        <v>210</v>
      </c>
      <c r="AK16" s="839">
        <v>173</v>
      </c>
      <c r="AL16" s="46">
        <f>AF16+AH16+AJ16</f>
        <v>630</v>
      </c>
      <c r="AM16" s="46">
        <f>AG16+AI16+AK16</f>
        <v>450</v>
      </c>
      <c r="AN16" s="785">
        <v>150</v>
      </c>
      <c r="AO16" s="785">
        <v>171</v>
      </c>
      <c r="AP16" s="785">
        <v>140</v>
      </c>
      <c r="AQ16" s="785">
        <v>222</v>
      </c>
      <c r="AR16" s="785">
        <v>90</v>
      </c>
      <c r="AS16" s="785">
        <v>212</v>
      </c>
      <c r="AT16" s="46">
        <f>AN16+AP16+AR16</f>
        <v>380</v>
      </c>
      <c r="AU16" s="46">
        <f>AO16+AQ16+AS16</f>
        <v>605</v>
      </c>
      <c r="AV16" s="206">
        <f>V16+AD16+AL16+AT16</f>
        <v>1800</v>
      </c>
      <c r="AW16" s="57">
        <f>+W16</f>
        <v>318</v>
      </c>
      <c r="AX16" s="57">
        <f>+W16+AE16</f>
        <v>684</v>
      </c>
      <c r="AY16" s="57">
        <f>+W16+AE16+AM16</f>
        <v>1134</v>
      </c>
      <c r="AZ16" s="57">
        <f>+W16+AE16+AM16+AU16</f>
        <v>1739</v>
      </c>
      <c r="BA16" s="281">
        <f>IF(AND(AW16&gt;0,$AV16&gt;0),AW16/$AV16,0)</f>
        <v>0.17666666666666667</v>
      </c>
      <c r="BB16" s="281">
        <f t="shared" ref="BB16:BD23" si="0">IF(AND(AX16&gt;0,$AV16&gt;0),AX16/$AV16,0)</f>
        <v>0.38</v>
      </c>
      <c r="BC16" s="281">
        <f t="shared" si="0"/>
        <v>0.63</v>
      </c>
      <c r="BD16" s="281">
        <f t="shared" si="0"/>
        <v>0.96611111111111114</v>
      </c>
      <c r="BE16" s="304">
        <f>(IF(AND(AW16&gt;0,$F16&gt;0),AW16/$F16,0))</f>
        <v>4.7462686567164181E-2</v>
      </c>
      <c r="BF16" s="304">
        <f t="shared" ref="BF16:BH16" si="1">(IF(AND(AX16&gt;0,$F16&gt;0),AX16/$F16,0))</f>
        <v>0.10208955223880598</v>
      </c>
      <c r="BG16" s="304">
        <f t="shared" ref="BG16:BG18" si="2">(IF(AND(AY16&gt;0,$F16&gt;0),AY16/$F16,0))</f>
        <v>0.16925373134328359</v>
      </c>
      <c r="BH16" s="304">
        <f t="shared" si="1"/>
        <v>0.25955223880597017</v>
      </c>
    </row>
    <row r="17" spans="2:60" ht="90" customHeight="1">
      <c r="B17" s="1541"/>
      <c r="C17" s="1582"/>
      <c r="D17" s="27" t="str">
        <f>+'01-FR-03 POA INSTITUCIONAL'!D41</f>
        <v>3.1.2 Evaluar y dar impulso procesal al 100% las noticias disciplinarias (quejas) puestas en conocimiento de la Entidad.</v>
      </c>
      <c r="E17" s="38">
        <f>+'01-FR-03 POA INSTITUCIONAL'!E41</f>
        <v>0.2</v>
      </c>
      <c r="F17" s="146">
        <f>+'01-FR-03 POA INSTITUCIONAL'!F41</f>
        <v>1</v>
      </c>
      <c r="G17" s="146">
        <f>+'01-FR-03 POA INSTITUCIONAL'!L41</f>
        <v>1</v>
      </c>
      <c r="H17" s="146">
        <f>+'01-FR-03 POA INSTITUCIONAL'!G41</f>
        <v>0.98</v>
      </c>
      <c r="I17" s="1030" t="str">
        <f>+'01-FR-03 POA INSTITUCIONAL'!H41</f>
        <v>Noticias disciplinarias  evaluadas y con impulso procesal</v>
      </c>
      <c r="J17" s="185" t="s">
        <v>312</v>
      </c>
      <c r="K17" s="400" t="s">
        <v>294</v>
      </c>
      <c r="L17" s="187" t="s">
        <v>295</v>
      </c>
      <c r="M17" s="187" t="s">
        <v>321</v>
      </c>
      <c r="N17" s="187" t="s">
        <v>311</v>
      </c>
      <c r="O17" s="401" t="str">
        <f>+'01-FR-03 POA INSTITUCIONAL'!J41</f>
        <v>Personería Delegada para la Coordinación de Potestad Disciplinaria</v>
      </c>
      <c r="P17" s="834">
        <v>1</v>
      </c>
      <c r="Q17" s="837">
        <v>0.88900000000000001</v>
      </c>
      <c r="R17" s="834">
        <v>1</v>
      </c>
      <c r="S17" s="837">
        <v>0.753</v>
      </c>
      <c r="T17" s="834">
        <v>1</v>
      </c>
      <c r="U17" s="837">
        <v>0.73</v>
      </c>
      <c r="V17" s="62">
        <f>AVERAGE(P17,R17,T17)</f>
        <v>1</v>
      </c>
      <c r="W17" s="865">
        <f>IFERROR(AVERAGE(Q17,S17,U17),0)</f>
        <v>0.79066666666666663</v>
      </c>
      <c r="X17" s="834">
        <v>1</v>
      </c>
      <c r="Y17" s="838">
        <v>0.97299999999999998</v>
      </c>
      <c r="Z17" s="834">
        <v>1</v>
      </c>
      <c r="AA17" s="838">
        <v>0.94799999999999995</v>
      </c>
      <c r="AB17" s="834">
        <v>1</v>
      </c>
      <c r="AC17" s="838">
        <v>0.82799999999999996</v>
      </c>
      <c r="AD17" s="62">
        <f>AVERAGE(X17,Z17,AB17)</f>
        <v>1</v>
      </c>
      <c r="AE17" s="280">
        <f>IFERROR(AVERAGE(Y17,AA17,AC17),0)</f>
        <v>0.91633333333333322</v>
      </c>
      <c r="AF17" s="834">
        <v>1</v>
      </c>
      <c r="AG17" s="838">
        <v>0.75600000000000001</v>
      </c>
      <c r="AH17" s="834">
        <v>1</v>
      </c>
      <c r="AI17" s="838">
        <v>0.94299999999999995</v>
      </c>
      <c r="AJ17" s="834">
        <v>1</v>
      </c>
      <c r="AK17" s="838">
        <v>1.0529999999999999</v>
      </c>
      <c r="AL17" s="62">
        <f>AVERAGE(AF17,AH17,AJ17)</f>
        <v>1</v>
      </c>
      <c r="AM17" s="62">
        <f>IFERROR(AVERAGE(AG17,AI17,AK17),0)</f>
        <v>0.91733333333333322</v>
      </c>
      <c r="AN17" s="834">
        <v>1</v>
      </c>
      <c r="AO17" s="838">
        <v>0.82299999999999995</v>
      </c>
      <c r="AP17" s="834">
        <v>1</v>
      </c>
      <c r="AQ17" s="838">
        <v>0.92100000000000004</v>
      </c>
      <c r="AR17" s="834">
        <v>1</v>
      </c>
      <c r="AS17" s="838">
        <v>2.016</v>
      </c>
      <c r="AT17" s="62">
        <f>AVERAGE(AN17,AP17,AR17)</f>
        <v>1</v>
      </c>
      <c r="AU17" s="62">
        <f>IFERROR(AVERAGE(AO17,AQ17,AS17),0)</f>
        <v>1.2533333333333332</v>
      </c>
      <c r="AV17" s="62">
        <f>AVERAGE(P17,R17,T17,X17,Z17,AB17,AF17,AH17,AJ17,AN17,AP17,AR17)</f>
        <v>1</v>
      </c>
      <c r="AW17" s="271">
        <f>IFERROR(IF(OR($AV$17="",$AV$17=0),0,ROUNDDOWN(AVERAGE($Q17,$S17,$U17),3)),0)</f>
        <v>0.79</v>
      </c>
      <c r="AX17" s="271">
        <f>IFERROR(IF(OR($AV$17="",$AV$17=0),0,ROUNDDOWN(AVERAGE($Q17,$S17,$U17,$Y17,$AA17,$AC17),3)),0)</f>
        <v>0.85299999999999998</v>
      </c>
      <c r="AY17" s="271">
        <f>IFERROR(IF(OR($AV$17="",$AV$17=0),0,ROUNDDOWN(AVERAGE($Q17,$S17,$U17,$Y17,$AA17,$AC17,$AG17,$AI17,$AK17),3)),0)</f>
        <v>0.874</v>
      </c>
      <c r="AZ17" s="271">
        <f>IFERROR(IF(OR($AV$17="",$AV$17=0),0,ROUNDDOWN(AVERAGE($Q17,$S17,$U17,$Y17,$AA17,$AC17,$AG17,$AI17,$AK17,$AO17,$AQ17,$AS17),3)),0)</f>
        <v>0.96899999999999997</v>
      </c>
      <c r="BA17" s="281">
        <f>IF(AND(AW17&gt;0,AV17&gt;0),AW17/AV17,0)*0.25</f>
        <v>0.19750000000000001</v>
      </c>
      <c r="BB17" s="281">
        <f>IF(AND(AX17&gt;0,$AV17&gt;0),AX17/$AV17,0)*0.5</f>
        <v>0.42649999999999999</v>
      </c>
      <c r="BC17" s="281">
        <f>IF(AND(AY17&gt;0,$AV17&gt;0),AY17/$AV17,0)*0.75</f>
        <v>0.65549999999999997</v>
      </c>
      <c r="BD17" s="281">
        <f>IF(AND(AZ17&gt;0,$AV17&gt;0),AZ17/$AV17,0)*1</f>
        <v>0.96899999999999997</v>
      </c>
      <c r="BE17" s="304">
        <f>((IF(AND(AW17&gt;0,$F17&gt;0),AW17/$F17,0))/4)*0.25</f>
        <v>4.9375000000000002E-2</v>
      </c>
      <c r="BF17" s="304">
        <f>((IF(AND(AX17&gt;0,$F17&gt;0),AX17/$F17,0))/4)*0.5</f>
        <v>0.106625</v>
      </c>
      <c r="BG17" s="304">
        <f>((IF(AND(AY17&gt;0,$F17&gt;0),AY17/$F17,0))/4)*0.75</f>
        <v>0.16387499999999999</v>
      </c>
      <c r="BH17" s="304">
        <f>((IF(AND(AZ17&gt;0,$F17&gt;0),AZ17/$F17,0))/4)</f>
        <v>0.24224999999999999</v>
      </c>
    </row>
    <row r="18" spans="2:60" ht="90" customHeight="1">
      <c r="B18" s="1541"/>
      <c r="C18" s="1540" t="str">
        <f>+'01-FR-03 POA INSTITUCIONAL'!C42</f>
        <v xml:space="preserve">3.2. Identificar el 100% de los hechos constitutivos de faltas disciplinarias para ejercer el poder preferente en las Oficinas de Control Interno Disciplinario, en temas de interés e impacto para el Distrito Capital. </v>
      </c>
      <c r="D18" s="27" t="str">
        <f>+'01-FR-03 POA INSTITUCIONAL'!D42</f>
        <v>3.2.1 Realizar una visita de seguimiento a las 51 Oficinas de Control Interno Disciplinario del Distrito e identificar hechos constitutivos de faltas relevantes en temas de interés e impacto en cada anualidad.</v>
      </c>
      <c r="E18" s="38">
        <f>+'01-FR-03 POA INSTITUCIONAL'!E42</f>
        <v>0.5</v>
      </c>
      <c r="F18" s="225">
        <f>+'01-FR-03 POA INSTITUCIONAL'!F42</f>
        <v>204</v>
      </c>
      <c r="G18" s="225">
        <f>+'01-FR-03 POA INSTITUCIONAL'!L42</f>
        <v>51</v>
      </c>
      <c r="H18" s="225">
        <f>+'01-FR-03 POA INSTITUCIONAL'!G42</f>
        <v>204</v>
      </c>
      <c r="I18" s="1030" t="str">
        <f>+'01-FR-03 POA INSTITUCIONAL'!H42</f>
        <v>Visitas de seguimiento a Oficinas de Control Interno Disciplinario realizadas</v>
      </c>
      <c r="J18" s="185" t="s">
        <v>296</v>
      </c>
      <c r="K18" s="400" t="s">
        <v>317</v>
      </c>
      <c r="L18" s="187" t="s">
        <v>297</v>
      </c>
      <c r="M18" s="187" t="s">
        <v>321</v>
      </c>
      <c r="N18" s="187" t="s">
        <v>311</v>
      </c>
      <c r="O18" s="401" t="str">
        <f>+'01-FR-03 POA INSTITUCIONAL'!J42</f>
        <v>Personería Delegada para la Coordinación de Potestad Disciplinaria</v>
      </c>
      <c r="P18" s="785">
        <v>0</v>
      </c>
      <c r="Q18" s="785">
        <v>0</v>
      </c>
      <c r="R18" s="785">
        <v>0</v>
      </c>
      <c r="S18" s="785">
        <v>0</v>
      </c>
      <c r="T18" s="785">
        <v>0</v>
      </c>
      <c r="U18" s="785">
        <v>0</v>
      </c>
      <c r="V18" s="46">
        <f t="shared" ref="V18:W23" si="3">P18+R18+T18</f>
        <v>0</v>
      </c>
      <c r="W18" s="46">
        <f t="shared" si="3"/>
        <v>0</v>
      </c>
      <c r="X18" s="785">
        <v>10</v>
      </c>
      <c r="Y18" s="785">
        <v>0</v>
      </c>
      <c r="Z18" s="785">
        <v>10</v>
      </c>
      <c r="AA18" s="785">
        <v>0</v>
      </c>
      <c r="AB18" s="785">
        <v>10</v>
      </c>
      <c r="AC18" s="785">
        <v>0</v>
      </c>
      <c r="AD18" s="46">
        <f t="shared" ref="AD18:AE23" si="4">X18+Z18+AB18</f>
        <v>30</v>
      </c>
      <c r="AE18" s="46">
        <f t="shared" si="4"/>
        <v>0</v>
      </c>
      <c r="AF18" s="785">
        <v>10</v>
      </c>
      <c r="AG18" s="785">
        <v>1</v>
      </c>
      <c r="AH18" s="785">
        <v>11</v>
      </c>
      <c r="AI18" s="785">
        <v>3</v>
      </c>
      <c r="AJ18" s="839">
        <v>0</v>
      </c>
      <c r="AK18" s="785">
        <v>5</v>
      </c>
      <c r="AL18" s="46">
        <f t="shared" ref="AL18:AM23" si="5">AF18+AH18+AJ18</f>
        <v>21</v>
      </c>
      <c r="AM18" s="46">
        <f t="shared" si="5"/>
        <v>9</v>
      </c>
      <c r="AN18" s="785">
        <v>0</v>
      </c>
      <c r="AO18" s="785">
        <v>20</v>
      </c>
      <c r="AP18" s="785">
        <v>0</v>
      </c>
      <c r="AQ18" s="785">
        <v>14</v>
      </c>
      <c r="AR18" s="785">
        <v>0</v>
      </c>
      <c r="AS18" s="785">
        <v>8</v>
      </c>
      <c r="AT18" s="46">
        <f t="shared" ref="AT18:AU23" si="6">AN18+AP18+AR18</f>
        <v>0</v>
      </c>
      <c r="AU18" s="46">
        <f t="shared" si="6"/>
        <v>42</v>
      </c>
      <c r="AV18" s="206">
        <f t="shared" ref="AV18:AV23" si="7">V18+AD18+AL18+AT18</f>
        <v>51</v>
      </c>
      <c r="AW18" s="57">
        <f t="shared" ref="AW18:AW23" si="8">+W18</f>
        <v>0</v>
      </c>
      <c r="AX18" s="57">
        <f t="shared" ref="AX18:AX23" si="9">+W18+AE18</f>
        <v>0</v>
      </c>
      <c r="AY18" s="57">
        <f t="shared" ref="AY18:AY23" si="10">+W18+AE18+AM18</f>
        <v>9</v>
      </c>
      <c r="AZ18" s="57">
        <f t="shared" ref="AZ18:AZ23" si="11">+W18+AE18+AM18+AU18</f>
        <v>51</v>
      </c>
      <c r="BA18" s="281">
        <f t="shared" ref="BA18:BA22" si="12">IF(AND(AW18&gt;0,AV18&gt;0),AW18/AV18,0)</f>
        <v>0</v>
      </c>
      <c r="BB18" s="281">
        <f t="shared" si="0"/>
        <v>0</v>
      </c>
      <c r="BC18" s="281">
        <f t="shared" si="0"/>
        <v>0.17647058823529413</v>
      </c>
      <c r="BD18" s="281">
        <f t="shared" si="0"/>
        <v>1</v>
      </c>
      <c r="BE18" s="304">
        <f>(IF(AND(AW18&gt;0,$F18&gt;0),AW18/$F18,0))</f>
        <v>0</v>
      </c>
      <c r="BF18" s="304">
        <f t="shared" ref="BF18" si="13">(IF(AND(AX18&gt;0,$F18&gt;0),AX18/$F18,0))</f>
        <v>0</v>
      </c>
      <c r="BG18" s="304">
        <f t="shared" si="2"/>
        <v>4.4117647058823532E-2</v>
      </c>
      <c r="BH18" s="304">
        <f t="shared" ref="BH18" si="14">(IF(AND(AZ18&gt;0,$F18&gt;0),AZ18/$F18,0))</f>
        <v>0.25</v>
      </c>
    </row>
    <row r="19" spans="2:60" ht="102" customHeight="1">
      <c r="B19" s="1541"/>
      <c r="C19" s="1582"/>
      <c r="D19" s="27" t="str">
        <f>+'01-FR-03 POA INSTITUCIONAL'!D43</f>
        <v>3.2.2 Asumir por competencia preferente el 100% de los procesos cuyos temas sean considerados de interés e impacto el Distrito Capital.</v>
      </c>
      <c r="E19" s="38">
        <f>+'01-FR-03 POA INSTITUCIONAL'!E43</f>
        <v>0.5</v>
      </c>
      <c r="F19" s="146">
        <f>+'01-FR-03 POA INSTITUCIONAL'!F43</f>
        <v>1</v>
      </c>
      <c r="G19" s="146">
        <f>+'01-FR-03 POA INSTITUCIONAL'!L43</f>
        <v>1</v>
      </c>
      <c r="H19" s="146">
        <f>+'01-FR-03 POA INSTITUCIONAL'!G43</f>
        <v>1</v>
      </c>
      <c r="I19" s="1030" t="str">
        <f>+'01-FR-03 POA INSTITUCIONAL'!H43</f>
        <v>Procesos de interés e impacto asumidos por competencia</v>
      </c>
      <c r="J19" s="185" t="s">
        <v>659</v>
      </c>
      <c r="K19" s="400" t="s">
        <v>308</v>
      </c>
      <c r="L19" s="187" t="s">
        <v>313</v>
      </c>
      <c r="M19" s="187" t="s">
        <v>321</v>
      </c>
      <c r="N19" s="187" t="s">
        <v>311</v>
      </c>
      <c r="O19" s="401" t="str">
        <f>+'01-FR-03 POA INSTITUCIONAL'!J43</f>
        <v>Personería Delegada para la Coordinación de Potestad Disciplinaria</v>
      </c>
      <c r="P19" s="834">
        <v>1</v>
      </c>
      <c r="Q19" s="828">
        <v>1</v>
      </c>
      <c r="R19" s="834">
        <v>1</v>
      </c>
      <c r="S19" s="828">
        <v>1</v>
      </c>
      <c r="T19" s="834">
        <v>1</v>
      </c>
      <c r="U19" s="834">
        <v>1</v>
      </c>
      <c r="V19" s="62">
        <f>AVERAGE(P19,R19,T19)</f>
        <v>1</v>
      </c>
      <c r="W19" s="62">
        <f>IFERROR(AVERAGE(S19,U19),0)</f>
        <v>1</v>
      </c>
      <c r="X19" s="834">
        <v>1</v>
      </c>
      <c r="Y19" s="828">
        <v>1</v>
      </c>
      <c r="Z19" s="834">
        <v>1</v>
      </c>
      <c r="AA19" s="828">
        <v>1</v>
      </c>
      <c r="AB19" s="834">
        <v>1</v>
      </c>
      <c r="AC19" s="828">
        <v>1</v>
      </c>
      <c r="AD19" s="62">
        <f>AVERAGE(X19,Z19,AB19)</f>
        <v>1</v>
      </c>
      <c r="AE19" s="62">
        <f>IFERROR(AVERAGE(Y19,AA19,AC19),0)</f>
        <v>1</v>
      </c>
      <c r="AF19" s="834">
        <v>1</v>
      </c>
      <c r="AG19" s="828">
        <v>1</v>
      </c>
      <c r="AH19" s="834">
        <v>1</v>
      </c>
      <c r="AI19" s="838">
        <v>0.875</v>
      </c>
      <c r="AJ19" s="834">
        <v>1</v>
      </c>
      <c r="AK19" s="838">
        <v>0.91400000000000003</v>
      </c>
      <c r="AL19" s="62">
        <f>AVERAGE(AF19,AH19,AJ19)</f>
        <v>1</v>
      </c>
      <c r="AM19" s="280">
        <f>IFERROR(AVERAGE(AG19,AI19,AK19),0)</f>
        <v>0.92966666666666675</v>
      </c>
      <c r="AN19" s="834">
        <v>1</v>
      </c>
      <c r="AO19" s="828">
        <v>1</v>
      </c>
      <c r="AP19" s="834">
        <v>1</v>
      </c>
      <c r="AQ19" s="828">
        <v>2</v>
      </c>
      <c r="AR19" s="834">
        <v>1</v>
      </c>
      <c r="AS19" s="838">
        <v>8.3000000000000004E-2</v>
      </c>
      <c r="AT19" s="62">
        <f>AVERAGE(AN19,AP19,AR19)</f>
        <v>1</v>
      </c>
      <c r="AU19" s="62">
        <f>IFERROR(AVERAGE(AO19,AQ19,AS19),0)</f>
        <v>1.0276666666666667</v>
      </c>
      <c r="AV19" s="62">
        <f>AVERAGE(X19,Z19,AB19,AF19,AH19,AJ19,AN19,AP19,AR19)</f>
        <v>1</v>
      </c>
      <c r="AW19" s="271">
        <f>IFERROR(IF(OR($AV$19="",$AV$19=0),0,ROUNDDOWN(AVERAGE($Q19,$S19,$U19),3)),0)</f>
        <v>1</v>
      </c>
      <c r="AX19" s="271">
        <f>IFERROR(IF(OR($AV$19="",$AV$19=0),0,ROUNDDOWN(AVERAGE($Q19,$S19,$U19,$Y19,$AA19,$AC19),3)),0)</f>
        <v>1</v>
      </c>
      <c r="AY19" s="271">
        <f>IFERROR(IF(OR($AV$19="",$AV$19=0),0,ROUNDDOWN(AVERAGE($Q19,$S19,$U19,$Y19,$AA19,$AC19,$AG19,$AI19,$AK19),3)),0)</f>
        <v>0.97599999999999998</v>
      </c>
      <c r="AZ19" s="271">
        <f>(IFERROR(IF(OR($AV$19="",$AV$19=0),0,ROUNDDOWN(AVERAGE($Q19,$S19,$U19,$Y19,$AA19,$AC19,$AG19,$AI19,$AK19,$AO19,$AQ19,$AS19),3)),0))-0.004</f>
        <v>0.98499999999999999</v>
      </c>
      <c r="BA19" s="281">
        <f>IF(AND(AW19&gt;0,AV19&gt;0),AW19/AV19,0)*0.25</f>
        <v>0.25</v>
      </c>
      <c r="BB19" s="281">
        <f>IF(AND(AX19&gt;0,$AV19&gt;0),AX19/$AV19,0)*0.5</f>
        <v>0.5</v>
      </c>
      <c r="BC19" s="281">
        <f>IF(AND(AY19&gt;0,$AV19&gt;0),AY19/$AV19,0)*0.75</f>
        <v>0.73199999999999998</v>
      </c>
      <c r="BD19" s="281">
        <f>IF(AND(AZ19&gt;0,$AV19&gt;0),AZ19/$AV19,0)*1</f>
        <v>0.98499999999999999</v>
      </c>
      <c r="BE19" s="304">
        <f>((IF(AND(AW19&gt;0,$F19&gt;0),AW19/$F19,0))/4)*0.25</f>
        <v>6.25E-2</v>
      </c>
      <c r="BF19" s="304">
        <f>((IF(AND(AX19&gt;0,$F19&gt;0),AX19/$F19,0))/4)*0.5</f>
        <v>0.125</v>
      </c>
      <c r="BG19" s="304">
        <f>((IF(AND(AY19&gt;0,$F19&gt;0),AY19/$F19,0))/4)*0.75</f>
        <v>0.183</v>
      </c>
      <c r="BH19" s="304">
        <f>((IF(AND(AZ19&gt;0,$F19&gt;0),AZ19/$F19,0))/4)</f>
        <v>0.24625</v>
      </c>
    </row>
    <row r="20" spans="2:60" ht="161.4" customHeight="1">
      <c r="B20" s="1541"/>
      <c r="C20" s="27" t="str">
        <f>+'01-FR-03 POA INSTITUCIONAL'!C44</f>
        <v>3.3. Generar 8 escenarios que fortalezcan el conocimiento y las competencias del operador disciplinario, que apoya el cumplimiento de la labor misional, extendiendo el alcance a los jueces naturales en el Distrito Capital.</v>
      </c>
      <c r="D20" s="27" t="str">
        <f>+'01-FR-03 POA INSTITUCIONAL'!D44</f>
        <v>3.3.1 Generar 8 escenarios de intercambio de conocimiento con los(as) servidores(as) públicos(as) para fortalecer el conocimiento en la sustanciación de procesos disciplinarios en el Distrito Capital.</v>
      </c>
      <c r="E20" s="38">
        <f>+'01-FR-03 POA INSTITUCIONAL'!E44</f>
        <v>1</v>
      </c>
      <c r="F20" s="225">
        <f>+'01-FR-03 POA INSTITUCIONAL'!F44</f>
        <v>8</v>
      </c>
      <c r="G20" s="225">
        <f>+'01-FR-03 POA INSTITUCIONAL'!L44</f>
        <v>2</v>
      </c>
      <c r="H20" s="225">
        <f>+'01-FR-03 POA INSTITUCIONAL'!G44</f>
        <v>8</v>
      </c>
      <c r="I20" s="1030" t="str">
        <f>+'01-FR-03 POA INSTITUCIONAL'!H44</f>
        <v>Escenarios de intercambio de conocimiento generados</v>
      </c>
      <c r="J20" s="185" t="s">
        <v>298</v>
      </c>
      <c r="K20" s="400" t="s">
        <v>309</v>
      </c>
      <c r="L20" s="187" t="s">
        <v>299</v>
      </c>
      <c r="M20" s="187" t="s">
        <v>321</v>
      </c>
      <c r="N20" s="187" t="s">
        <v>311</v>
      </c>
      <c r="O20" s="401" t="str">
        <f>+'01-FR-03 POA INSTITUCIONAL'!J44</f>
        <v>Personería Delegada para la Coordinación de Potestad Disciplinaria</v>
      </c>
      <c r="P20" s="785">
        <v>0</v>
      </c>
      <c r="Q20" s="785">
        <v>0</v>
      </c>
      <c r="R20" s="785">
        <v>0</v>
      </c>
      <c r="S20" s="785">
        <v>0</v>
      </c>
      <c r="T20" s="785">
        <v>0</v>
      </c>
      <c r="U20" s="785">
        <v>0</v>
      </c>
      <c r="V20" s="46">
        <f t="shared" si="3"/>
        <v>0</v>
      </c>
      <c r="W20" s="46">
        <f t="shared" si="3"/>
        <v>0</v>
      </c>
      <c r="X20" s="785">
        <v>0</v>
      </c>
      <c r="Y20" s="785">
        <v>1</v>
      </c>
      <c r="Z20" s="785">
        <v>0</v>
      </c>
      <c r="AA20" s="785">
        <v>0</v>
      </c>
      <c r="AB20" s="785">
        <v>0</v>
      </c>
      <c r="AC20" s="785">
        <v>0</v>
      </c>
      <c r="AD20" s="46">
        <f t="shared" si="4"/>
        <v>0</v>
      </c>
      <c r="AE20" s="46">
        <f t="shared" si="4"/>
        <v>1</v>
      </c>
      <c r="AF20" s="785">
        <v>0</v>
      </c>
      <c r="AG20" s="785">
        <v>0</v>
      </c>
      <c r="AH20" s="785">
        <v>1</v>
      </c>
      <c r="AI20" s="785">
        <v>0</v>
      </c>
      <c r="AJ20" s="839">
        <v>0</v>
      </c>
      <c r="AK20" s="839">
        <v>0</v>
      </c>
      <c r="AL20" s="46">
        <f t="shared" si="5"/>
        <v>1</v>
      </c>
      <c r="AM20" s="46">
        <f t="shared" si="5"/>
        <v>0</v>
      </c>
      <c r="AN20" s="785">
        <v>0</v>
      </c>
      <c r="AO20" s="785">
        <v>1</v>
      </c>
      <c r="AP20" s="785">
        <v>1</v>
      </c>
      <c r="AQ20" s="785">
        <v>0</v>
      </c>
      <c r="AR20" s="785">
        <v>0</v>
      </c>
      <c r="AS20" s="785">
        <v>0</v>
      </c>
      <c r="AT20" s="46">
        <f t="shared" si="6"/>
        <v>1</v>
      </c>
      <c r="AU20" s="46">
        <f t="shared" si="6"/>
        <v>1</v>
      </c>
      <c r="AV20" s="206">
        <f>V20+AD20+AL20+AT20</f>
        <v>2</v>
      </c>
      <c r="AW20" s="57">
        <f t="shared" si="8"/>
        <v>0</v>
      </c>
      <c r="AX20" s="57">
        <f t="shared" si="9"/>
        <v>1</v>
      </c>
      <c r="AY20" s="57">
        <f t="shared" si="10"/>
        <v>1</v>
      </c>
      <c r="AZ20" s="57">
        <f t="shared" si="11"/>
        <v>2</v>
      </c>
      <c r="BA20" s="281">
        <f t="shared" si="12"/>
        <v>0</v>
      </c>
      <c r="BB20" s="281">
        <f t="shared" si="0"/>
        <v>0.5</v>
      </c>
      <c r="BC20" s="281">
        <f t="shared" si="0"/>
        <v>0.5</v>
      </c>
      <c r="BD20" s="281">
        <f t="shared" si="0"/>
        <v>1</v>
      </c>
      <c r="BE20" s="304">
        <f>(IF(AND(AW20&gt;0,$F20&gt;0),AW20/$F20,0))</f>
        <v>0</v>
      </c>
      <c r="BF20" s="304">
        <f t="shared" ref="BF20:BF23" si="15">(IF(AND(AX20&gt;0,$F20&gt;0),AX20/$F20,0))</f>
        <v>0.125</v>
      </c>
      <c r="BG20" s="304">
        <f t="shared" ref="BG20:BG23" si="16">(IF(AND(AY20&gt;0,$F20&gt;0),AY20/$F20,0))</f>
        <v>0.125</v>
      </c>
      <c r="BH20" s="304">
        <f t="shared" ref="BH20:BH23" si="17">(IF(AND(AZ20&gt;0,$F20&gt;0),AZ20/$F20,0))</f>
        <v>0.25</v>
      </c>
    </row>
    <row r="21" spans="2:60" ht="90">
      <c r="B21" s="1541"/>
      <c r="C21" s="1540" t="str">
        <f>+'01-FR-03 POA INSTITUCIONAL'!C45</f>
        <v>3.4. Implementar al 100% tres soluciones informáticas propias para la ejecución y gestión de la Potestad Disciplinaria.</v>
      </c>
      <c r="D21" s="27" t="str">
        <f>+'01-FR-03 POA INSTITUCIONAL'!D45</f>
        <v>3.4.1 Implementar un sistema de comunicación efectiva y eficiente con las Oficinas de Control Interno del Distrito Capital.</v>
      </c>
      <c r="E21" s="38">
        <f>+'01-FR-03 POA INSTITUCIONAL'!E45</f>
        <v>0.2</v>
      </c>
      <c r="F21" s="225">
        <f>+'01-FR-03 POA INSTITUCIONAL'!F45</f>
        <v>1</v>
      </c>
      <c r="G21" s="226">
        <f>+'01-FR-03 POA INSTITUCIONAL'!L45</f>
        <v>0.5</v>
      </c>
      <c r="H21" s="225" t="str">
        <f>+'01-FR-03 POA INSTITUCIONAL'!G45</f>
        <v>S.I.</v>
      </c>
      <c r="I21" s="1030" t="str">
        <f>+'01-FR-03 POA INSTITUCIONAL'!H45</f>
        <v xml:space="preserve">Sistema de Comunicación con las Oficinas de Control Interno Disciplinario implementado </v>
      </c>
      <c r="J21" s="185" t="s">
        <v>305</v>
      </c>
      <c r="K21" s="400" t="s">
        <v>310</v>
      </c>
      <c r="L21" s="187" t="s">
        <v>300</v>
      </c>
      <c r="M21" s="187" t="s">
        <v>321</v>
      </c>
      <c r="N21" s="187" t="s">
        <v>311</v>
      </c>
      <c r="O21" s="401" t="str">
        <f>+'01-FR-03 POA INSTITUCIONAL'!J45</f>
        <v>Personería Delegada para la Coordinación de Potestad Disciplinaria</v>
      </c>
      <c r="P21" s="835">
        <v>0.05</v>
      </c>
      <c r="Q21" s="835">
        <v>0.05</v>
      </c>
      <c r="R21" s="835">
        <v>0.05</v>
      </c>
      <c r="S21" s="835">
        <v>0.05</v>
      </c>
      <c r="T21" s="835">
        <v>0.05</v>
      </c>
      <c r="U21" s="835">
        <v>0.05</v>
      </c>
      <c r="V21" s="224">
        <f t="shared" si="3"/>
        <v>0.15000000000000002</v>
      </c>
      <c r="W21" s="224">
        <f t="shared" si="3"/>
        <v>0.15000000000000002</v>
      </c>
      <c r="X21" s="835">
        <v>0.05</v>
      </c>
      <c r="Y21" s="835">
        <v>0.05</v>
      </c>
      <c r="Z21" s="835">
        <v>0.05</v>
      </c>
      <c r="AA21" s="835">
        <v>0.05</v>
      </c>
      <c r="AB21" s="835">
        <v>0.05</v>
      </c>
      <c r="AC21" s="835">
        <v>0.05</v>
      </c>
      <c r="AD21" s="224">
        <f t="shared" si="4"/>
        <v>0.15000000000000002</v>
      </c>
      <c r="AE21" s="224">
        <f t="shared" si="4"/>
        <v>0.15000000000000002</v>
      </c>
      <c r="AF21" s="835">
        <v>0.05</v>
      </c>
      <c r="AG21" s="835">
        <v>0.05</v>
      </c>
      <c r="AH21" s="835">
        <v>0.05</v>
      </c>
      <c r="AI21" s="835">
        <v>0.05</v>
      </c>
      <c r="AJ21" s="835">
        <v>0.05</v>
      </c>
      <c r="AK21" s="840">
        <v>0.05</v>
      </c>
      <c r="AL21" s="224">
        <f t="shared" si="5"/>
        <v>0.15000000000000002</v>
      </c>
      <c r="AM21" s="224">
        <f t="shared" si="5"/>
        <v>0.15000000000000002</v>
      </c>
      <c r="AN21" s="835">
        <v>0.05</v>
      </c>
      <c r="AO21" s="835">
        <v>0</v>
      </c>
      <c r="AP21" s="835">
        <v>0</v>
      </c>
      <c r="AQ21" s="835">
        <v>0.05</v>
      </c>
      <c r="AR21" s="835">
        <v>0</v>
      </c>
      <c r="AS21" s="835">
        <v>0</v>
      </c>
      <c r="AT21" s="224">
        <f t="shared" si="6"/>
        <v>0.05</v>
      </c>
      <c r="AU21" s="224">
        <f t="shared" si="6"/>
        <v>0.05</v>
      </c>
      <c r="AV21" s="227">
        <f t="shared" si="7"/>
        <v>0.50000000000000011</v>
      </c>
      <c r="AW21" s="282">
        <f t="shared" si="8"/>
        <v>0.15000000000000002</v>
      </c>
      <c r="AX21" s="282">
        <f t="shared" si="9"/>
        <v>0.30000000000000004</v>
      </c>
      <c r="AY21" s="282">
        <f t="shared" si="10"/>
        <v>0.45000000000000007</v>
      </c>
      <c r="AZ21" s="282">
        <f t="shared" si="11"/>
        <v>0.50000000000000011</v>
      </c>
      <c r="BA21" s="281">
        <f t="shared" si="12"/>
        <v>0.3</v>
      </c>
      <c r="BB21" s="281">
        <f t="shared" si="0"/>
        <v>0.6</v>
      </c>
      <c r="BC21" s="281">
        <f t="shared" si="0"/>
        <v>0.89999999999999991</v>
      </c>
      <c r="BD21" s="281">
        <f t="shared" si="0"/>
        <v>1</v>
      </c>
      <c r="BE21" s="304">
        <f>(IF(AND(AW21&gt;0,$F21&gt;0),AW21/$F21,0))</f>
        <v>0.15000000000000002</v>
      </c>
      <c r="BF21" s="304">
        <f t="shared" si="15"/>
        <v>0.30000000000000004</v>
      </c>
      <c r="BG21" s="304">
        <f t="shared" si="16"/>
        <v>0.45000000000000007</v>
      </c>
      <c r="BH21" s="304">
        <f t="shared" si="17"/>
        <v>0.50000000000000011</v>
      </c>
    </row>
    <row r="22" spans="2:60" ht="90">
      <c r="B22" s="1541"/>
      <c r="C22" s="1541"/>
      <c r="D22" s="27" t="str">
        <f>+'01-FR-03 POA INSTITUCIONAL'!D46</f>
        <v xml:space="preserve">3.4.2 Diseñar e implementar un sistema de información misional que generé el expediente electrónico  </v>
      </c>
      <c r="E22" s="38">
        <f>+'01-FR-03 POA INSTITUCIONAL'!E46</f>
        <v>0.7</v>
      </c>
      <c r="F22" s="225">
        <f>+'01-FR-03 POA INSTITUCIONAL'!F46</f>
        <v>1</v>
      </c>
      <c r="G22" s="226">
        <f>+'01-FR-03 POA INSTITUCIONAL'!L46</f>
        <v>0.4</v>
      </c>
      <c r="H22" s="225" t="str">
        <f>+'01-FR-03 POA INSTITUCIONAL'!G46</f>
        <v>S.I.</v>
      </c>
      <c r="I22" s="1030" t="str">
        <f>+'01-FR-03 POA INSTITUCIONAL'!H46</f>
        <v xml:space="preserve">Sistema de información misional implementado </v>
      </c>
      <c r="J22" s="185" t="s">
        <v>306</v>
      </c>
      <c r="K22" s="400" t="s">
        <v>318</v>
      </c>
      <c r="L22" s="187" t="s">
        <v>300</v>
      </c>
      <c r="M22" s="187" t="s">
        <v>321</v>
      </c>
      <c r="N22" s="187" t="s">
        <v>311</v>
      </c>
      <c r="O22" s="401" t="str">
        <f>+'01-FR-03 POA INSTITUCIONAL'!J46</f>
        <v>Personería Delegada para la Coordinación de Potestad Disciplinaria</v>
      </c>
      <c r="P22" s="836">
        <v>0</v>
      </c>
      <c r="Q22" s="836">
        <v>0</v>
      </c>
      <c r="R22" s="836">
        <v>0.02</v>
      </c>
      <c r="S22" s="836">
        <v>0</v>
      </c>
      <c r="T22" s="836">
        <v>0.03</v>
      </c>
      <c r="U22" s="835">
        <v>0</v>
      </c>
      <c r="V22" s="224">
        <f t="shared" si="3"/>
        <v>0.05</v>
      </c>
      <c r="W22" s="224">
        <f t="shared" si="3"/>
        <v>0</v>
      </c>
      <c r="X22" s="836">
        <v>0.03</v>
      </c>
      <c r="Y22" s="835">
        <v>0.03</v>
      </c>
      <c r="Z22" s="836">
        <v>0.03</v>
      </c>
      <c r="AA22" s="835">
        <v>0.03</v>
      </c>
      <c r="AB22" s="836">
        <v>0.05</v>
      </c>
      <c r="AC22" s="835">
        <v>0.05</v>
      </c>
      <c r="AD22" s="224">
        <f t="shared" si="4"/>
        <v>0.11</v>
      </c>
      <c r="AE22" s="224">
        <f t="shared" si="4"/>
        <v>0.11</v>
      </c>
      <c r="AF22" s="836">
        <v>0.05</v>
      </c>
      <c r="AG22" s="835">
        <v>0.05</v>
      </c>
      <c r="AH22" s="836">
        <v>0.05</v>
      </c>
      <c r="AI22" s="835">
        <v>0.05</v>
      </c>
      <c r="AJ22" s="836">
        <v>0.05</v>
      </c>
      <c r="AK22" s="840">
        <v>0.1</v>
      </c>
      <c r="AL22" s="224">
        <f t="shared" si="5"/>
        <v>0.15000000000000002</v>
      </c>
      <c r="AM22" s="224">
        <f t="shared" si="5"/>
        <v>0.2</v>
      </c>
      <c r="AN22" s="836">
        <v>0.05</v>
      </c>
      <c r="AO22" s="835">
        <v>0.05</v>
      </c>
      <c r="AP22" s="836">
        <v>0.04</v>
      </c>
      <c r="AQ22" s="835">
        <v>0.03</v>
      </c>
      <c r="AR22" s="835">
        <v>0</v>
      </c>
      <c r="AS22" s="835">
        <v>0.01</v>
      </c>
      <c r="AT22" s="224">
        <f>AN22+AP22+AR22</f>
        <v>0.09</v>
      </c>
      <c r="AU22" s="224">
        <f t="shared" si="6"/>
        <v>0.09</v>
      </c>
      <c r="AV22" s="228">
        <f t="shared" si="7"/>
        <v>0.4</v>
      </c>
      <c r="AW22" s="282">
        <f t="shared" si="8"/>
        <v>0</v>
      </c>
      <c r="AX22" s="282">
        <f t="shared" si="9"/>
        <v>0.11</v>
      </c>
      <c r="AY22" s="282">
        <f t="shared" si="10"/>
        <v>0.31</v>
      </c>
      <c r="AZ22" s="282">
        <f t="shared" si="11"/>
        <v>0.4</v>
      </c>
      <c r="BA22" s="281">
        <f t="shared" si="12"/>
        <v>0</v>
      </c>
      <c r="BB22" s="281">
        <f t="shared" si="0"/>
        <v>0.27499999999999997</v>
      </c>
      <c r="BC22" s="281">
        <f t="shared" si="0"/>
        <v>0.77499999999999991</v>
      </c>
      <c r="BD22" s="281">
        <f t="shared" si="0"/>
        <v>1</v>
      </c>
      <c r="BE22" s="304">
        <f>(IF(AND(AW22&gt;0,$F22&gt;0),AW22/$F22,0))</f>
        <v>0</v>
      </c>
      <c r="BF22" s="304">
        <f t="shared" si="15"/>
        <v>0.11</v>
      </c>
      <c r="BG22" s="304">
        <f t="shared" si="16"/>
        <v>0.31</v>
      </c>
      <c r="BH22" s="304">
        <f t="shared" si="17"/>
        <v>0.4</v>
      </c>
    </row>
    <row r="23" spans="2:60" ht="90">
      <c r="B23" s="1541"/>
      <c r="C23" s="1582"/>
      <c r="D23" s="27" t="str">
        <f>+'01-FR-03 POA INSTITUCIONAL'!D47</f>
        <v xml:space="preserve">3.4.3 Diseñar e implementar una relatoría de las decisiones de fondo adoptadas en ejercicio de la potestad disciplinaria  </v>
      </c>
      <c r="E23" s="38">
        <f>+'01-FR-03 POA INSTITUCIONAL'!E47</f>
        <v>0.1</v>
      </c>
      <c r="F23" s="225">
        <f>+'01-FR-03 POA INSTITUCIONAL'!F47</f>
        <v>1</v>
      </c>
      <c r="G23" s="226">
        <f>+'01-FR-03 POA INSTITUCIONAL'!L47</f>
        <v>0.3</v>
      </c>
      <c r="H23" s="225" t="str">
        <f>+'01-FR-03 POA INSTITUCIONAL'!G47</f>
        <v>S.I.</v>
      </c>
      <c r="I23" s="1030" t="str">
        <f>+'01-FR-03 POA INSTITUCIONAL'!H47</f>
        <v>Relatoría diseñada e implementada</v>
      </c>
      <c r="J23" s="185" t="s">
        <v>307</v>
      </c>
      <c r="K23" s="400" t="s">
        <v>319</v>
      </c>
      <c r="L23" s="187" t="s">
        <v>301</v>
      </c>
      <c r="M23" s="187" t="s">
        <v>321</v>
      </c>
      <c r="N23" s="187" t="s">
        <v>311</v>
      </c>
      <c r="O23" s="401" t="str">
        <f>+'01-FR-03 POA INSTITUCIONAL'!J47</f>
        <v>Personería Delegada para la Coordinación de Potestad Disciplinaria</v>
      </c>
      <c r="P23" s="835">
        <v>0</v>
      </c>
      <c r="Q23" s="835">
        <v>0</v>
      </c>
      <c r="R23" s="836">
        <v>0.03</v>
      </c>
      <c r="S23" s="835">
        <v>0.03</v>
      </c>
      <c r="T23" s="836">
        <v>0.03</v>
      </c>
      <c r="U23" s="835">
        <v>0.03</v>
      </c>
      <c r="V23" s="224">
        <f t="shared" si="3"/>
        <v>0.06</v>
      </c>
      <c r="W23" s="224">
        <f t="shared" si="3"/>
        <v>0.06</v>
      </c>
      <c r="X23" s="836">
        <v>0.03</v>
      </c>
      <c r="Y23" s="835">
        <v>0.03</v>
      </c>
      <c r="Z23" s="836">
        <v>0.03</v>
      </c>
      <c r="AA23" s="835">
        <v>0.03</v>
      </c>
      <c r="AB23" s="836">
        <v>0.03</v>
      </c>
      <c r="AC23" s="835">
        <v>0.03</v>
      </c>
      <c r="AD23" s="224">
        <f t="shared" si="4"/>
        <v>0.09</v>
      </c>
      <c r="AE23" s="224">
        <f t="shared" si="4"/>
        <v>0.09</v>
      </c>
      <c r="AF23" s="836">
        <v>0.03</v>
      </c>
      <c r="AG23" s="835">
        <v>0.03</v>
      </c>
      <c r="AH23" s="836">
        <v>0.03</v>
      </c>
      <c r="AI23" s="835">
        <v>0.03</v>
      </c>
      <c r="AJ23" s="836">
        <v>0.03</v>
      </c>
      <c r="AK23" s="840">
        <v>0.03</v>
      </c>
      <c r="AL23" s="224">
        <f t="shared" si="5"/>
        <v>0.09</v>
      </c>
      <c r="AM23" s="224">
        <f t="shared" si="5"/>
        <v>0.09</v>
      </c>
      <c r="AN23" s="836">
        <v>0.03</v>
      </c>
      <c r="AO23" s="835">
        <v>0.03</v>
      </c>
      <c r="AP23" s="836">
        <v>0.03</v>
      </c>
      <c r="AQ23" s="835">
        <v>0.02</v>
      </c>
      <c r="AR23" s="836">
        <v>0</v>
      </c>
      <c r="AS23" s="835">
        <v>0.01</v>
      </c>
      <c r="AT23" s="224">
        <f t="shared" si="6"/>
        <v>0.06</v>
      </c>
      <c r="AU23" s="224">
        <f t="shared" si="6"/>
        <v>6.0000000000000005E-2</v>
      </c>
      <c r="AV23" s="228">
        <f t="shared" si="7"/>
        <v>0.3</v>
      </c>
      <c r="AW23" s="282">
        <f t="shared" si="8"/>
        <v>0.06</v>
      </c>
      <c r="AX23" s="282">
        <f t="shared" si="9"/>
        <v>0.15</v>
      </c>
      <c r="AY23" s="282">
        <f t="shared" si="10"/>
        <v>0.24</v>
      </c>
      <c r="AZ23" s="282">
        <f t="shared" si="11"/>
        <v>0.3</v>
      </c>
      <c r="BA23" s="281">
        <f>IF(AND(AW23&gt;0,AV23&gt;0),AW23/AV23,0)</f>
        <v>0.2</v>
      </c>
      <c r="BB23" s="281">
        <f t="shared" si="0"/>
        <v>0.5</v>
      </c>
      <c r="BC23" s="281">
        <f t="shared" si="0"/>
        <v>0.8</v>
      </c>
      <c r="BD23" s="281">
        <f t="shared" si="0"/>
        <v>1</v>
      </c>
      <c r="BE23" s="304">
        <f>(IF(AND(AW23&gt;0,$F23&gt;0),AW23/$F23,0))</f>
        <v>0.06</v>
      </c>
      <c r="BF23" s="304">
        <f t="shared" si="15"/>
        <v>0.15</v>
      </c>
      <c r="BG23" s="304">
        <f t="shared" si="16"/>
        <v>0.24</v>
      </c>
      <c r="BH23" s="304">
        <f t="shared" si="17"/>
        <v>0.3</v>
      </c>
    </row>
    <row r="24" spans="2:60" ht="22.8">
      <c r="B24" s="1504"/>
      <c r="C24" s="1505"/>
      <c r="D24" s="1505"/>
      <c r="E24" s="1505"/>
      <c r="F24" s="1505"/>
      <c r="G24" s="1505"/>
      <c r="H24" s="1505"/>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05"/>
      <c r="AE24" s="1505"/>
      <c r="AF24" s="1505"/>
      <c r="AG24" s="1505"/>
      <c r="AH24" s="1505"/>
      <c r="AI24" s="1505"/>
      <c r="AJ24" s="1505"/>
      <c r="AK24" s="1505"/>
      <c r="AL24" s="1505"/>
      <c r="AM24" s="1505"/>
      <c r="AN24" s="1505"/>
      <c r="AO24" s="1505"/>
      <c r="AP24" s="1505"/>
      <c r="AQ24" s="1505"/>
      <c r="AR24" s="1505"/>
      <c r="AS24" s="1505"/>
      <c r="AT24" s="1505"/>
      <c r="AU24" s="1505"/>
      <c r="AV24" s="1505"/>
      <c r="AW24" s="1583"/>
      <c r="AX24" s="1538" t="s">
        <v>19</v>
      </c>
      <c r="AY24" s="1581"/>
      <c r="AZ24" s="1581"/>
      <c r="BA24" s="1037">
        <f t="shared" ref="BA24:BD24" si="18">AVERAGE(BA16:BA23)</f>
        <v>0.14052083333333332</v>
      </c>
      <c r="BB24" s="1037">
        <f t="shared" si="18"/>
        <v>0.39768749999999997</v>
      </c>
      <c r="BC24" s="1037">
        <f t="shared" si="18"/>
        <v>0.64612132352941176</v>
      </c>
      <c r="BD24" s="1037">
        <f t="shared" si="18"/>
        <v>0.99001388888888886</v>
      </c>
      <c r="BE24" s="1595"/>
      <c r="BF24" s="1596"/>
      <c r="BG24" s="1596"/>
      <c r="BH24" s="1597"/>
    </row>
    <row r="25" spans="2:60">
      <c r="B25" s="1500"/>
      <c r="C25" s="1500"/>
      <c r="D25" s="1500"/>
      <c r="E25" s="1500"/>
      <c r="F25" s="1500"/>
      <c r="G25" s="1500"/>
      <c r="H25" s="208"/>
      <c r="I25" s="209"/>
      <c r="J25" s="209"/>
      <c r="K25" s="209"/>
      <c r="L25" s="209"/>
      <c r="M25" s="209"/>
      <c r="N25" s="209"/>
      <c r="O25" s="209"/>
    </row>
    <row r="26" spans="2:60">
      <c r="B26" s="209"/>
      <c r="C26" s="209"/>
      <c r="D26" s="1520"/>
      <c r="E26" s="1520"/>
      <c r="F26" s="1520"/>
      <c r="G26" s="1520"/>
      <c r="H26" s="1520"/>
      <c r="I26" s="1520"/>
      <c r="J26" s="1520"/>
      <c r="K26" s="1520"/>
      <c r="L26" s="1520"/>
      <c r="M26" s="1520"/>
      <c r="N26" s="1520"/>
      <c r="O26" s="1520"/>
    </row>
    <row r="27" spans="2:60" ht="15.6" customHeight="1">
      <c r="B27" s="54" t="s">
        <v>26</v>
      </c>
      <c r="C27" s="210">
        <v>44224</v>
      </c>
      <c r="D27" s="211"/>
      <c r="E27" s="1510" t="s">
        <v>50</v>
      </c>
      <c r="F27" s="1588" t="s">
        <v>1190</v>
      </c>
      <c r="G27" s="1589"/>
      <c r="H27" s="1589"/>
      <c r="I27" s="1589"/>
      <c r="J27" s="1590"/>
      <c r="K27" s="212"/>
      <c r="L27" s="1567"/>
      <c r="M27" s="1567"/>
      <c r="N27" s="1567"/>
      <c r="O27" s="1587"/>
    </row>
    <row r="28" spans="2:60" ht="33" customHeight="1">
      <c r="B28" s="209"/>
      <c r="C28" s="209"/>
      <c r="D28" s="212"/>
      <c r="E28" s="1510"/>
      <c r="F28" s="1591"/>
      <c r="G28" s="1592"/>
      <c r="H28" s="1592"/>
      <c r="I28" s="1592"/>
      <c r="J28" s="1593"/>
      <c r="K28" s="209"/>
      <c r="L28" s="209"/>
      <c r="M28" s="209"/>
      <c r="N28" s="209"/>
      <c r="O28" s="209"/>
    </row>
    <row r="29" spans="2:60" ht="15.6">
      <c r="B29" s="54" t="s">
        <v>49</v>
      </c>
      <c r="C29" s="56">
        <v>44581</v>
      </c>
      <c r="D29" s="209"/>
      <c r="E29" s="209"/>
      <c r="F29" s="209"/>
      <c r="K29" s="209"/>
      <c r="L29" s="209"/>
      <c r="M29" s="209"/>
      <c r="N29" s="209"/>
      <c r="O29" s="209"/>
    </row>
    <row r="30" spans="2:60">
      <c r="B30" s="209"/>
      <c r="C30" s="209"/>
      <c r="D30" s="209"/>
      <c r="E30" s="209"/>
      <c r="F30" s="209"/>
      <c r="K30" s="209"/>
      <c r="L30" s="209"/>
      <c r="M30" s="209"/>
      <c r="N30" s="209"/>
      <c r="O30" s="209"/>
    </row>
    <row r="31" spans="2:60">
      <c r="B31" s="541" t="s">
        <v>916</v>
      </c>
      <c r="C31" s="209"/>
      <c r="D31" s="209"/>
      <c r="E31" s="209"/>
      <c r="F31" s="209"/>
      <c r="G31" s="208"/>
      <c r="H31" s="208"/>
      <c r="I31" s="1586"/>
      <c r="J31" s="1586"/>
      <c r="K31" s="1586"/>
      <c r="L31" s="1586"/>
      <c r="M31" s="1034"/>
      <c r="N31" s="1034"/>
      <c r="O31" s="1034"/>
    </row>
    <row r="32" spans="2:60">
      <c r="B32" s="209"/>
      <c r="C32" s="209"/>
      <c r="D32" s="209"/>
      <c r="E32" s="209"/>
      <c r="F32" s="209"/>
      <c r="G32" s="208"/>
      <c r="H32" s="208"/>
      <c r="I32" s="209"/>
      <c r="J32" s="209"/>
      <c r="K32" s="214"/>
      <c r="L32" s="209"/>
      <c r="M32" s="209"/>
      <c r="N32" s="209"/>
      <c r="O32" s="209"/>
    </row>
    <row r="33" spans="2:15">
      <c r="B33" s="209"/>
      <c r="C33" s="209"/>
      <c r="D33" s="209"/>
      <c r="E33" s="209"/>
      <c r="F33" s="209"/>
      <c r="G33" s="208"/>
      <c r="H33" s="208"/>
      <c r="I33" s="1586"/>
      <c r="J33" s="1586"/>
      <c r="K33" s="1586"/>
      <c r="L33" s="1586"/>
      <c r="M33" s="1034"/>
      <c r="N33" s="1034"/>
      <c r="O33" s="1034"/>
    </row>
    <row r="34" spans="2:15">
      <c r="B34" s="209"/>
      <c r="C34" s="209"/>
      <c r="D34" s="209"/>
      <c r="E34" s="209"/>
      <c r="F34" s="209"/>
      <c r="G34" s="208"/>
      <c r="H34" s="208"/>
      <c r="I34" s="209"/>
      <c r="J34" s="209"/>
      <c r="K34" s="214"/>
      <c r="L34" s="209"/>
      <c r="M34" s="209"/>
      <c r="N34" s="209"/>
      <c r="O34" s="209"/>
    </row>
    <row r="35" spans="2:15">
      <c r="B35" s="209"/>
      <c r="C35" s="209"/>
      <c r="D35" s="209"/>
      <c r="E35" s="209"/>
      <c r="F35" s="209"/>
      <c r="G35" s="208"/>
      <c r="H35" s="208"/>
      <c r="I35" s="1586"/>
      <c r="J35" s="1586"/>
      <c r="K35" s="1586"/>
      <c r="L35" s="1586"/>
      <c r="M35" s="1034"/>
      <c r="N35" s="1034"/>
      <c r="O35" s="1034"/>
    </row>
  </sheetData>
  <sheetProtection algorithmName="SHA-512" hashValue="sdBgIoFg2TCxZ+LhB5nawE0PeZMI3wwTqQ94ygILPXkI1Yp9CCmfYyMPQVbnWmYYCk8O7sGWpOxIR3xUict9Fg==" saltValue="20do71RbiNXxw9uaDG19PA==" spinCount="100000" sheet="1" objects="1" scenarios="1"/>
  <mergeCells count="73">
    <mergeCell ref="I33:L33"/>
    <mergeCell ref="I35:L35"/>
    <mergeCell ref="B25:G25"/>
    <mergeCell ref="B24:AW24"/>
    <mergeCell ref="D26:O26"/>
    <mergeCell ref="E27:E28"/>
    <mergeCell ref="L27:O27"/>
    <mergeCell ref="F27:J28"/>
    <mergeCell ref="I31:L31"/>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C9:D9"/>
    <mergeCell ref="C10:D10"/>
    <mergeCell ref="F12:F15"/>
    <mergeCell ref="B12:B15"/>
    <mergeCell ref="C12:C15"/>
    <mergeCell ref="D12:D15"/>
    <mergeCell ref="BE24:BH24"/>
    <mergeCell ref="I12:I15"/>
    <mergeCell ref="J12:J15"/>
    <mergeCell ref="K12:K15"/>
    <mergeCell ref="L12:L15"/>
    <mergeCell ref="AV12:AV15"/>
    <mergeCell ref="AW12:AZ12"/>
    <mergeCell ref="BA12:BD12"/>
    <mergeCell ref="BB13:BB15"/>
    <mergeCell ref="AX24:AZ24"/>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ignoredErrors>
    <ignoredError sqref="W17"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92D050"/>
  </sheetPr>
  <dimension ref="B1:BH35"/>
  <sheetViews>
    <sheetView showGridLines="0" zoomScale="50" zoomScaleNormal="50" workbookViewId="0">
      <selection activeCell="C7" sqref="C7"/>
    </sheetView>
  </sheetViews>
  <sheetFormatPr baseColWidth="10" defaultColWidth="17.33203125" defaultRowHeight="15"/>
  <cols>
    <col min="1" max="1" width="4.33203125" style="229" customWidth="1"/>
    <col min="2" max="2" width="50.44140625" style="229" customWidth="1"/>
    <col min="3" max="3" width="31.44140625" style="229" customWidth="1"/>
    <col min="4" max="4" width="49.6640625" style="229" customWidth="1"/>
    <col min="5" max="6" width="27.5546875" style="229" customWidth="1"/>
    <col min="7" max="8" width="29.33203125" style="230" customWidth="1"/>
    <col min="9" max="9" width="36.33203125" style="229" customWidth="1"/>
    <col min="10" max="10" width="31.88671875" style="229" customWidth="1"/>
    <col min="11" max="11" width="63.88671875" style="229" customWidth="1"/>
    <col min="12" max="12" width="48.44140625" style="229" customWidth="1"/>
    <col min="13" max="14" width="28.5546875" style="229" customWidth="1"/>
    <col min="15" max="15" width="50" style="229" customWidth="1"/>
    <col min="16" max="47" width="15.88671875" style="229" customWidth="1"/>
    <col min="48" max="48" width="24.5546875" style="229" customWidth="1"/>
    <col min="49" max="49" width="22.88671875" style="229" customWidth="1"/>
    <col min="50" max="50" width="19.33203125" style="229" customWidth="1"/>
    <col min="51" max="51" width="18.44140625" style="229" customWidth="1"/>
    <col min="52" max="52" width="19.44140625" style="229" customWidth="1"/>
    <col min="53" max="53" width="23.33203125" style="229" customWidth="1"/>
    <col min="54" max="55" width="25.109375" style="229" customWidth="1"/>
    <col min="56" max="56" width="26.6640625" style="229" customWidth="1"/>
    <col min="57" max="57" width="26.33203125" style="229" customWidth="1"/>
    <col min="58" max="58" width="26.5546875" style="229" customWidth="1"/>
    <col min="59" max="59" width="26.33203125" style="229" customWidth="1"/>
    <col min="60" max="60" width="27.33203125" style="229" customWidth="1"/>
    <col min="61" max="16384" width="17.33203125" style="229"/>
  </cols>
  <sheetData>
    <row r="1" spans="2:60" ht="15.6" thickBot="1"/>
    <row r="2" spans="2:60" ht="15.6" customHeight="1">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231" t="s">
        <v>403</v>
      </c>
      <c r="BH2" s="232"/>
    </row>
    <row r="3" spans="2:60" ht="15.6" customHeight="1">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233" t="s">
        <v>28</v>
      </c>
      <c r="BH3" s="234" t="s">
        <v>29</v>
      </c>
    </row>
    <row r="4" spans="2:60"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ustomHeight="1">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0">
      <c r="B7" s="184"/>
      <c r="C7" s="184"/>
      <c r="D7" s="184"/>
      <c r="E7" s="184"/>
      <c r="F7" s="184"/>
      <c r="G7" s="235"/>
      <c r="H7" s="235"/>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545"/>
      <c r="AX7" s="1567"/>
      <c r="AY7" s="1567"/>
      <c r="AZ7" s="1567"/>
      <c r="BA7" s="1547"/>
      <c r="BB7" s="1035"/>
      <c r="BC7" s="1035"/>
      <c r="BD7" s="1035"/>
      <c r="BE7" s="184"/>
      <c r="BF7" s="184"/>
    </row>
    <row r="8" spans="2:60" ht="15.6">
      <c r="B8" s="236" t="s">
        <v>45</v>
      </c>
      <c r="C8" s="1622" t="s">
        <v>91</v>
      </c>
      <c r="D8" s="1622"/>
      <c r="E8" s="184"/>
      <c r="F8" s="184"/>
      <c r="G8" s="184"/>
      <c r="H8" s="184"/>
      <c r="I8" s="184"/>
      <c r="J8" s="184"/>
      <c r="K8" s="184"/>
      <c r="L8" s="184"/>
      <c r="M8" s="184"/>
      <c r="N8" s="184"/>
      <c r="O8" s="184"/>
      <c r="AW8" s="1035"/>
      <c r="AX8" s="1035"/>
      <c r="AY8" s="1035"/>
      <c r="AZ8" s="1035"/>
      <c r="BA8" s="1035"/>
      <c r="BB8" s="1035"/>
      <c r="BC8" s="1035"/>
      <c r="BD8" s="1035"/>
    </row>
    <row r="9" spans="2:60" ht="95.25" customHeight="1">
      <c r="B9" s="236" t="s">
        <v>34</v>
      </c>
      <c r="C9" s="1621" t="s">
        <v>427</v>
      </c>
      <c r="D9" s="1535"/>
      <c r="E9" s="184"/>
      <c r="F9" s="184"/>
      <c r="G9" s="184"/>
      <c r="H9" s="184"/>
      <c r="I9" s="184"/>
      <c r="J9" s="184"/>
      <c r="K9" s="184"/>
      <c r="L9" s="184"/>
      <c r="M9" s="184"/>
      <c r="N9" s="184"/>
      <c r="O9" s="184"/>
      <c r="AW9" s="1035"/>
      <c r="AX9" s="1035"/>
      <c r="AY9" s="1035"/>
      <c r="AZ9" s="1035"/>
      <c r="BA9" s="1035"/>
      <c r="BB9" s="1035"/>
      <c r="BC9" s="1035"/>
      <c r="BD9" s="1035"/>
    </row>
    <row r="10" spans="2:60" ht="15.6">
      <c r="B10" s="236" t="s">
        <v>101</v>
      </c>
      <c r="C10" s="1623">
        <v>2022</v>
      </c>
      <c r="D10" s="1624"/>
      <c r="E10" s="184"/>
      <c r="F10" s="184"/>
      <c r="G10" s="184"/>
      <c r="H10" s="184"/>
      <c r="I10" s="184"/>
      <c r="J10" s="184"/>
      <c r="K10" s="184"/>
      <c r="L10" s="184"/>
      <c r="M10" s="184"/>
      <c r="N10" s="184"/>
      <c r="O10" s="184"/>
      <c r="AW10" s="1035"/>
      <c r="AX10" s="1035"/>
      <c r="AY10" s="1035"/>
      <c r="AZ10" s="1035"/>
      <c r="BA10" s="1035"/>
      <c r="BB10" s="1035"/>
      <c r="BC10" s="1035"/>
      <c r="BD10" s="1035"/>
    </row>
    <row r="11" spans="2:60">
      <c r="B11" s="184"/>
      <c r="C11" s="184"/>
      <c r="D11" s="184"/>
      <c r="E11" s="184"/>
      <c r="F11" s="184"/>
      <c r="G11" s="235"/>
      <c r="H11" s="235"/>
      <c r="I11" s="184"/>
      <c r="J11" s="184"/>
      <c r="K11" s="184"/>
      <c r="L11" s="184"/>
      <c r="M11" s="184"/>
      <c r="N11" s="184"/>
      <c r="O11" s="184"/>
      <c r="AW11" s="1035"/>
      <c r="AX11" s="1035"/>
      <c r="AY11" s="1035"/>
      <c r="AZ11" s="1035"/>
      <c r="BA11" s="1035"/>
      <c r="BB11" s="1035"/>
      <c r="BC11" s="1035"/>
      <c r="BD11" s="1035"/>
    </row>
    <row r="12" spans="2:60" ht="31.95" customHeight="1">
      <c r="B12" s="1430" t="s">
        <v>0</v>
      </c>
      <c r="C12" s="1430" t="s">
        <v>52</v>
      </c>
      <c r="D12" s="1430" t="s">
        <v>53</v>
      </c>
      <c r="E12" s="1430" t="s">
        <v>61</v>
      </c>
      <c r="F12" s="1202" t="s">
        <v>675</v>
      </c>
      <c r="G12" s="1430" t="s">
        <v>58</v>
      </c>
      <c r="H12" s="1430" t="s">
        <v>25</v>
      </c>
      <c r="I12" s="1430" t="s">
        <v>60</v>
      </c>
      <c r="J12" s="1430" t="s">
        <v>39</v>
      </c>
      <c r="K12" s="1430" t="s">
        <v>36</v>
      </c>
      <c r="L12" s="1430" t="s">
        <v>20</v>
      </c>
      <c r="M12" s="1430" t="s">
        <v>51</v>
      </c>
      <c r="N12" s="1430" t="s">
        <v>40</v>
      </c>
      <c r="O12" s="1430" t="s">
        <v>42</v>
      </c>
      <c r="P12" s="1614" t="s">
        <v>112</v>
      </c>
      <c r="Q12" s="1614"/>
      <c r="R12" s="1614"/>
      <c r="S12" s="1614"/>
      <c r="T12" s="1614"/>
      <c r="U12" s="1614"/>
      <c r="V12" s="1614"/>
      <c r="W12" s="1614"/>
      <c r="X12" s="1614"/>
      <c r="Y12" s="1614"/>
      <c r="Z12" s="1614"/>
      <c r="AA12" s="1614"/>
      <c r="AB12" s="1614"/>
      <c r="AC12" s="1614"/>
      <c r="AD12" s="1614"/>
      <c r="AE12" s="1614"/>
      <c r="AF12" s="1614"/>
      <c r="AG12" s="1614"/>
      <c r="AH12" s="1614"/>
      <c r="AI12" s="1614"/>
      <c r="AJ12" s="1614"/>
      <c r="AK12" s="1614"/>
      <c r="AL12" s="1614"/>
      <c r="AM12" s="1614"/>
      <c r="AN12" s="1614"/>
      <c r="AO12" s="1614"/>
      <c r="AP12" s="1614"/>
      <c r="AQ12" s="1614"/>
      <c r="AR12" s="1614"/>
      <c r="AS12" s="1614"/>
      <c r="AT12" s="1614"/>
      <c r="AU12" s="1614"/>
      <c r="AV12" s="1632" t="s">
        <v>62</v>
      </c>
      <c r="AW12" s="1549" t="s">
        <v>676</v>
      </c>
      <c r="AX12" s="1550"/>
      <c r="AY12" s="1550"/>
      <c r="AZ12" s="1551"/>
      <c r="BA12" s="1555" t="s">
        <v>677</v>
      </c>
      <c r="BB12" s="1556"/>
      <c r="BC12" s="1556"/>
      <c r="BD12" s="1557"/>
      <c r="BE12" s="1542" t="s">
        <v>678</v>
      </c>
      <c r="BF12" s="1543"/>
      <c r="BG12" s="1543"/>
      <c r="BH12" s="1544"/>
    </row>
    <row r="13" spans="2:60" ht="15.6">
      <c r="B13" s="1430"/>
      <c r="C13" s="1430"/>
      <c r="D13" s="1430"/>
      <c r="E13" s="1430"/>
      <c r="F13" s="1202"/>
      <c r="G13" s="1430"/>
      <c r="H13" s="1430"/>
      <c r="I13" s="1430"/>
      <c r="J13" s="1430"/>
      <c r="K13" s="1430"/>
      <c r="L13" s="1430"/>
      <c r="M13" s="1430"/>
      <c r="N13" s="1430"/>
      <c r="O13" s="1430"/>
      <c r="P13" s="1510" t="s">
        <v>21</v>
      </c>
      <c r="Q13" s="1510"/>
      <c r="R13" s="1510"/>
      <c r="S13" s="1510"/>
      <c r="T13" s="1510"/>
      <c r="U13" s="1510"/>
      <c r="V13" s="1510"/>
      <c r="W13" s="1510"/>
      <c r="X13" s="1510" t="s">
        <v>22</v>
      </c>
      <c r="Y13" s="1510"/>
      <c r="Z13" s="1510"/>
      <c r="AA13" s="1510"/>
      <c r="AB13" s="1510"/>
      <c r="AC13" s="1510"/>
      <c r="AD13" s="1510"/>
      <c r="AE13" s="1510"/>
      <c r="AF13" s="1510" t="s">
        <v>23</v>
      </c>
      <c r="AG13" s="1510"/>
      <c r="AH13" s="1510"/>
      <c r="AI13" s="1510"/>
      <c r="AJ13" s="1510"/>
      <c r="AK13" s="1510"/>
      <c r="AL13" s="1510"/>
      <c r="AM13" s="1510"/>
      <c r="AN13" s="1510" t="s">
        <v>24</v>
      </c>
      <c r="AO13" s="1510"/>
      <c r="AP13" s="1510"/>
      <c r="AQ13" s="1510"/>
      <c r="AR13" s="1510"/>
      <c r="AS13" s="1510"/>
      <c r="AT13" s="1510"/>
      <c r="AU13" s="1510"/>
      <c r="AV13" s="1632"/>
      <c r="AW13" s="1625" t="s">
        <v>119</v>
      </c>
      <c r="AX13" s="1625" t="s">
        <v>22</v>
      </c>
      <c r="AY13" s="1625" t="s">
        <v>120</v>
      </c>
      <c r="AZ13" s="1625" t="s">
        <v>121</v>
      </c>
      <c r="BA13" s="1616" t="s">
        <v>119</v>
      </c>
      <c r="BB13" s="1616" t="s">
        <v>122</v>
      </c>
      <c r="BC13" s="1616" t="s">
        <v>123</v>
      </c>
      <c r="BD13" s="1616" t="s">
        <v>124</v>
      </c>
      <c r="BE13" s="1611" t="s">
        <v>21</v>
      </c>
      <c r="BF13" s="1611" t="s">
        <v>22</v>
      </c>
      <c r="BG13" s="1611" t="s">
        <v>23</v>
      </c>
      <c r="BH13" s="1611" t="s">
        <v>24</v>
      </c>
    </row>
    <row r="14" spans="2:60" ht="15.6">
      <c r="B14" s="1430"/>
      <c r="C14" s="1430"/>
      <c r="D14" s="1430"/>
      <c r="E14" s="1430"/>
      <c r="F14" s="1202"/>
      <c r="G14" s="1430"/>
      <c r="H14" s="1430"/>
      <c r="I14" s="1430"/>
      <c r="J14" s="1430"/>
      <c r="K14" s="1430"/>
      <c r="L14" s="1430"/>
      <c r="M14" s="1430"/>
      <c r="N14" s="1430"/>
      <c r="O14" s="1430"/>
      <c r="P14" s="1615" t="s">
        <v>5</v>
      </c>
      <c r="Q14" s="1615"/>
      <c r="R14" s="1615" t="s">
        <v>6</v>
      </c>
      <c r="S14" s="1615"/>
      <c r="T14" s="1615" t="s">
        <v>7</v>
      </c>
      <c r="U14" s="1615"/>
      <c r="V14" s="1614" t="s">
        <v>8</v>
      </c>
      <c r="W14" s="1614"/>
      <c r="X14" s="1615" t="s">
        <v>27</v>
      </c>
      <c r="Y14" s="1615"/>
      <c r="Z14" s="1615" t="s">
        <v>9</v>
      </c>
      <c r="AA14" s="1615"/>
      <c r="AB14" s="1615" t="s">
        <v>10</v>
      </c>
      <c r="AC14" s="1615"/>
      <c r="AD14" s="1614" t="s">
        <v>8</v>
      </c>
      <c r="AE14" s="1614"/>
      <c r="AF14" s="1615" t="s">
        <v>11</v>
      </c>
      <c r="AG14" s="1615"/>
      <c r="AH14" s="1615" t="s">
        <v>12</v>
      </c>
      <c r="AI14" s="1615"/>
      <c r="AJ14" s="1615" t="s">
        <v>13</v>
      </c>
      <c r="AK14" s="1615"/>
      <c r="AL14" s="1614" t="s">
        <v>8</v>
      </c>
      <c r="AM14" s="1614"/>
      <c r="AN14" s="1615" t="s">
        <v>14</v>
      </c>
      <c r="AO14" s="1615"/>
      <c r="AP14" s="1615" t="s">
        <v>15</v>
      </c>
      <c r="AQ14" s="1615"/>
      <c r="AR14" s="1615" t="s">
        <v>16</v>
      </c>
      <c r="AS14" s="1615"/>
      <c r="AT14" s="1614" t="s">
        <v>8</v>
      </c>
      <c r="AU14" s="1614"/>
      <c r="AV14" s="1632"/>
      <c r="AW14" s="1626"/>
      <c r="AX14" s="1626"/>
      <c r="AY14" s="1626"/>
      <c r="AZ14" s="1626"/>
      <c r="BA14" s="1617"/>
      <c r="BB14" s="1617"/>
      <c r="BC14" s="1617"/>
      <c r="BD14" s="1617"/>
      <c r="BE14" s="1612"/>
      <c r="BF14" s="1612"/>
      <c r="BG14" s="1612"/>
      <c r="BH14" s="1612"/>
    </row>
    <row r="15" spans="2:60" ht="16.2" thickBot="1">
      <c r="B15" s="1430"/>
      <c r="C15" s="1430"/>
      <c r="D15" s="1430"/>
      <c r="E15" s="1430"/>
      <c r="F15" s="1202"/>
      <c r="G15" s="1430"/>
      <c r="H15" s="1430"/>
      <c r="I15" s="1430"/>
      <c r="J15" s="1430"/>
      <c r="K15" s="1430"/>
      <c r="L15" s="1430"/>
      <c r="M15" s="1430"/>
      <c r="N15" s="1430"/>
      <c r="O15" s="1430"/>
      <c r="P15" s="237" t="s">
        <v>17</v>
      </c>
      <c r="Q15" s="237" t="s">
        <v>18</v>
      </c>
      <c r="R15" s="237" t="s">
        <v>17</v>
      </c>
      <c r="S15" s="237" t="s">
        <v>18</v>
      </c>
      <c r="T15" s="237" t="s">
        <v>17</v>
      </c>
      <c r="U15" s="237" t="s">
        <v>18</v>
      </c>
      <c r="V15" s="238" t="s">
        <v>17</v>
      </c>
      <c r="W15" s="238" t="s">
        <v>18</v>
      </c>
      <c r="X15" s="237" t="s">
        <v>17</v>
      </c>
      <c r="Y15" s="237" t="s">
        <v>18</v>
      </c>
      <c r="Z15" s="237" t="s">
        <v>17</v>
      </c>
      <c r="AA15" s="237" t="s">
        <v>18</v>
      </c>
      <c r="AB15" s="237" t="s">
        <v>17</v>
      </c>
      <c r="AC15" s="237" t="s">
        <v>18</v>
      </c>
      <c r="AD15" s="238" t="s">
        <v>17</v>
      </c>
      <c r="AE15" s="238" t="s">
        <v>18</v>
      </c>
      <c r="AF15" s="237" t="s">
        <v>17</v>
      </c>
      <c r="AG15" s="237" t="s">
        <v>18</v>
      </c>
      <c r="AH15" s="237" t="s">
        <v>17</v>
      </c>
      <c r="AI15" s="237" t="s">
        <v>18</v>
      </c>
      <c r="AJ15" s="237" t="s">
        <v>17</v>
      </c>
      <c r="AK15" s="237" t="s">
        <v>18</v>
      </c>
      <c r="AL15" s="238" t="s">
        <v>17</v>
      </c>
      <c r="AM15" s="238" t="s">
        <v>18</v>
      </c>
      <c r="AN15" s="237" t="s">
        <v>17</v>
      </c>
      <c r="AO15" s="237" t="s">
        <v>18</v>
      </c>
      <c r="AP15" s="237" t="s">
        <v>17</v>
      </c>
      <c r="AQ15" s="237" t="s">
        <v>18</v>
      </c>
      <c r="AR15" s="237" t="s">
        <v>17</v>
      </c>
      <c r="AS15" s="237" t="s">
        <v>18</v>
      </c>
      <c r="AT15" s="238" t="s">
        <v>17</v>
      </c>
      <c r="AU15" s="238" t="s">
        <v>18</v>
      </c>
      <c r="AV15" s="1632"/>
      <c r="AW15" s="1627"/>
      <c r="AX15" s="1627"/>
      <c r="AY15" s="1627"/>
      <c r="AZ15" s="1627"/>
      <c r="BA15" s="1618"/>
      <c r="BB15" s="1618"/>
      <c r="BC15" s="1618"/>
      <c r="BD15" s="1618"/>
      <c r="BE15" s="1613"/>
      <c r="BF15" s="1613"/>
      <c r="BG15" s="1613"/>
      <c r="BH15" s="1613"/>
    </row>
    <row r="16" spans="2:60" ht="397.95" customHeight="1">
      <c r="B16" s="1629"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629" t="str">
        <f>+'01-FR-03 POA INSTITUCIONAL'!C61</f>
        <v xml:space="preserve">4.3. Realizar el 100% de las actividades relacionadas con la Gestión del Talento Humano, que permita su fortalecimiento y el desarrollo de sus conocimientos, su competencia y bienestar. </v>
      </c>
      <c r="D16" s="27" t="str">
        <f>+'01-FR-03 POA INSTITUCIONAL'!D61</f>
        <v xml:space="preserve">4.3.1 Gestionar el 100% de las novedades y situaciones administrativas de los servidores públicos de la Entidad.
</v>
      </c>
      <c r="E16" s="38">
        <f>+'01-FR-03 POA INSTITUCIONAL'!E61</f>
        <v>0.1</v>
      </c>
      <c r="F16" s="38">
        <f>+'01-FR-03 POA INSTITUCIONAL'!F61</f>
        <v>1</v>
      </c>
      <c r="G16" s="38">
        <f>+'01-FR-03 POA INSTITUCIONAL'!L61</f>
        <v>1</v>
      </c>
      <c r="H16" s="38">
        <f>+'01-FR-03 POA INSTITUCIONAL'!G61</f>
        <v>1</v>
      </c>
      <c r="I16" s="1030" t="str">
        <f>+'01-FR-03 POA INSTITUCIONAL'!H61</f>
        <v>Porcentaje de novedades y situaciones administrativas gestionadas</v>
      </c>
      <c r="J16" s="239" t="s">
        <v>404</v>
      </c>
      <c r="K16" s="240" t="s">
        <v>405</v>
      </c>
      <c r="L16" s="241" t="s">
        <v>406</v>
      </c>
      <c r="M16" s="187" t="s">
        <v>407</v>
      </c>
      <c r="N16" s="187" t="s">
        <v>408</v>
      </c>
      <c r="O16" s="400" t="str">
        <f>+'01-FR-03 POA INSTITUCIONAL'!J61</f>
        <v xml:space="preserve">
Dirección de Talento Humano
</v>
      </c>
      <c r="P16" s="834">
        <v>1</v>
      </c>
      <c r="Q16" s="834">
        <v>1</v>
      </c>
      <c r="R16" s="834">
        <v>1</v>
      </c>
      <c r="S16" s="834">
        <v>1</v>
      </c>
      <c r="T16" s="834">
        <v>1</v>
      </c>
      <c r="U16" s="834">
        <v>1</v>
      </c>
      <c r="V16" s="62">
        <f>AVERAGE(P16,R16,T16)</f>
        <v>1</v>
      </c>
      <c r="W16" s="62">
        <f>IFERROR(AVERAGE(Q16,S16,U16),0)</f>
        <v>1</v>
      </c>
      <c r="X16" s="834">
        <v>1</v>
      </c>
      <c r="Y16" s="675">
        <v>1</v>
      </c>
      <c r="Z16" s="834">
        <v>1</v>
      </c>
      <c r="AA16" s="675">
        <v>1</v>
      </c>
      <c r="AB16" s="834">
        <v>1</v>
      </c>
      <c r="AC16" s="675">
        <v>1</v>
      </c>
      <c r="AD16" s="62">
        <f>AVERAGE(X16,Z16,AB16)</f>
        <v>1</v>
      </c>
      <c r="AE16" s="62">
        <f>IFERROR(AVERAGE(Y16,AA16,AC16),0)</f>
        <v>1</v>
      </c>
      <c r="AF16" s="834">
        <v>1</v>
      </c>
      <c r="AG16" s="675">
        <v>1</v>
      </c>
      <c r="AH16" s="834">
        <v>1</v>
      </c>
      <c r="AI16" s="675">
        <v>1</v>
      </c>
      <c r="AJ16" s="834">
        <v>1</v>
      </c>
      <c r="AK16" s="675">
        <v>1</v>
      </c>
      <c r="AL16" s="62">
        <f>AVERAGE(AF16,AH16,AJ16)</f>
        <v>1</v>
      </c>
      <c r="AM16" s="62">
        <f>IFERROR(AVERAGE(AG16,AI16,AK16),0)</f>
        <v>1</v>
      </c>
      <c r="AN16" s="834">
        <v>1</v>
      </c>
      <c r="AO16" s="675">
        <v>1</v>
      </c>
      <c r="AP16" s="834">
        <v>1</v>
      </c>
      <c r="AQ16" s="675">
        <v>1</v>
      </c>
      <c r="AR16" s="834">
        <v>1</v>
      </c>
      <c r="AS16" s="675">
        <v>1</v>
      </c>
      <c r="AT16" s="62">
        <f>AVERAGE(AN16,AP16,AR16)</f>
        <v>1</v>
      </c>
      <c r="AU16" s="62">
        <f>IFERROR(AVERAGE(AO16,AQ16,AS16),0)</f>
        <v>1</v>
      </c>
      <c r="AV16" s="62">
        <f>AVERAGE(P16,R16,T16,X16,Z16,AB16,AF16,AH16,AJ16,AN16,AP16,AR16)</f>
        <v>1</v>
      </c>
      <c r="AW16" s="271">
        <f>IFERROR(IF(OR($AV$16="",$AV$16=0),0,ROUNDDOWN(AVERAGE($Q16,$S16,$U16),3)),0)</f>
        <v>1</v>
      </c>
      <c r="AX16" s="271">
        <f>IFERROR(IF(OR($AV$17="",$AV$17=0),0,ROUNDDOWN(AVERAGE($Q16,$S16,$U16,$Y16,$AA16,$AC16),3)),0)</f>
        <v>1</v>
      </c>
      <c r="AY16" s="271">
        <f>IFERROR(IF(OR($AV$16="",$AV$16=0),0,ROUNDDOWN(AVERAGE($Q16,$S16,$U16,$Y16,$AA16,$AC16,$AG16,$AI16,$AK16),3)),0)</f>
        <v>1</v>
      </c>
      <c r="AZ16" s="271">
        <f t="shared" ref="AZ16:AZ17" si="0">IFERROR(IF(OR($AV$16="",$AV$16=0),0,ROUNDDOWN(AVERAGE($Q16,$S16,$U16,$Y16,$AA16,$AC16,$AG16,$AI16,$AK16,$AO16,$AQ16,$AS16),3)),0)</f>
        <v>1</v>
      </c>
      <c r="BA16" s="299">
        <f>(IF(AND(AW16&gt;0,$AV16&gt;0),AW16/$AV16,0))*0.25</f>
        <v>0.25</v>
      </c>
      <c r="BB16" s="299">
        <f>(IF(AND(AX16&gt;0,$AV16&gt;0),AX16/$AV16,0))*0.5</f>
        <v>0.5</v>
      </c>
      <c r="BC16" s="299">
        <f>(IF(AND(AY16&gt;0,$AV16&gt;0),AY16/$AV16,0))*0.75</f>
        <v>0.75</v>
      </c>
      <c r="BD16" s="299">
        <f>(IF(AND(AZ16&gt;0,$AV16&gt;0),AZ16/$AV16,0))*1</f>
        <v>1</v>
      </c>
      <c r="BE16" s="304">
        <f t="shared" ref="BE16:BE18" si="1">((IF(AND(AW16&gt;0,$F16&gt;0),AW16/$F16,0))/4)*0.25</f>
        <v>6.25E-2</v>
      </c>
      <c r="BF16" s="304">
        <f t="shared" ref="BF16:BF18" si="2">((IF(AND(AX16&gt;0,$F16&gt;0),AX16/$F16,0))/4)*0.5</f>
        <v>0.125</v>
      </c>
      <c r="BG16" s="304">
        <f t="shared" ref="BG16:BG18" si="3">((IF(AND(AY16&gt;0,$F16&gt;0),AY16/$F16,0))/4)*0.75</f>
        <v>0.1875</v>
      </c>
      <c r="BH16" s="304">
        <f t="shared" ref="BH16:BH19" si="4">((IF(AND(AZ16&gt;0,$F16&gt;0),AZ16/$F16,0))/4)</f>
        <v>0.25</v>
      </c>
    </row>
    <row r="17" spans="2:60" ht="367.2" customHeight="1">
      <c r="B17" s="1630"/>
      <c r="C17" s="1630"/>
      <c r="D17" s="27" t="str">
        <f>+'01-FR-03 POA INSTITUCIONAL'!D62</f>
        <v xml:space="preserve">4.3.2 Incluir el 97,8% de las Novedades en la nómina oportunamente, para liquidación y pago </v>
      </c>
      <c r="E17" s="38">
        <f>+'01-FR-03 POA INSTITUCIONAL'!E62</f>
        <v>0.1</v>
      </c>
      <c r="F17" s="629">
        <f>+'01-FR-03 POA INSTITUCIONAL'!F62</f>
        <v>0.97799999999999998</v>
      </c>
      <c r="G17" s="629">
        <f>+'01-FR-03 POA INSTITUCIONAL'!L62</f>
        <v>0.98</v>
      </c>
      <c r="H17" s="38">
        <f>+'01-FR-03 POA INSTITUCIONAL'!G62</f>
        <v>0.97</v>
      </c>
      <c r="I17" s="1030" t="str">
        <f>+'01-FR-03 POA INSTITUCIONAL'!H62</f>
        <v xml:space="preserve">Novedades incluidas en la nómina  oportunamente  </v>
      </c>
      <c r="J17" s="242" t="s">
        <v>409</v>
      </c>
      <c r="K17" s="243" t="s">
        <v>410</v>
      </c>
      <c r="L17" s="244" t="s">
        <v>411</v>
      </c>
      <c r="M17" s="187" t="s">
        <v>407</v>
      </c>
      <c r="N17" s="187" t="s">
        <v>412</v>
      </c>
      <c r="O17" s="400" t="str">
        <f>+'01-FR-03 POA INSTITUCIONAL'!J62</f>
        <v>Dependencia Líder: 
Dirección de Talento Humano
Dependencia Operativa:
Subdirección de Gestión del Talento Humano</v>
      </c>
      <c r="P17" s="834">
        <v>0.98</v>
      </c>
      <c r="Q17" s="837">
        <v>0.995</v>
      </c>
      <c r="R17" s="834">
        <v>0.98</v>
      </c>
      <c r="S17" s="837">
        <v>0.97</v>
      </c>
      <c r="T17" s="834">
        <v>0.98</v>
      </c>
      <c r="U17" s="837">
        <v>0.998</v>
      </c>
      <c r="V17" s="45">
        <f>AVERAGE(P17,R17,T17)</f>
        <v>0.98</v>
      </c>
      <c r="W17" s="283">
        <f>IFERROR(AVERAGE(Q17,S17,U17),0)</f>
        <v>0.98766666666666669</v>
      </c>
      <c r="X17" s="834">
        <v>0.98</v>
      </c>
      <c r="Y17" s="675">
        <v>0.93</v>
      </c>
      <c r="Z17" s="834">
        <v>0.98</v>
      </c>
      <c r="AA17" s="902">
        <v>0.96299999999999997</v>
      </c>
      <c r="AB17" s="834">
        <v>0.98</v>
      </c>
      <c r="AC17" s="902">
        <v>0.97799999999999998</v>
      </c>
      <c r="AD17" s="45">
        <f>AVERAGE(X17,Z17,AB17)</f>
        <v>0.98</v>
      </c>
      <c r="AE17" s="283">
        <f>IFERROR(AVERAGE(Y17,AA17,AC17),0)</f>
        <v>0.95699999999999996</v>
      </c>
      <c r="AF17" s="834">
        <v>0.98</v>
      </c>
      <c r="AG17" s="675">
        <v>0.99</v>
      </c>
      <c r="AH17" s="834">
        <v>0.98</v>
      </c>
      <c r="AI17" s="902">
        <v>0.98099999999999998</v>
      </c>
      <c r="AJ17" s="834">
        <v>0.98</v>
      </c>
      <c r="AK17" s="675">
        <v>1</v>
      </c>
      <c r="AL17" s="283">
        <f>AVERAGE(AF17,AH17,AJ17)</f>
        <v>0.98</v>
      </c>
      <c r="AM17" s="283">
        <f>IFERROR(AVERAGE(AG17,AI17,AK17),0)</f>
        <v>0.9903333333333334</v>
      </c>
      <c r="AN17" s="834">
        <v>0.98</v>
      </c>
      <c r="AO17" s="902">
        <v>0.99299999999999999</v>
      </c>
      <c r="AP17" s="834">
        <v>0.98</v>
      </c>
      <c r="AQ17" s="675">
        <v>1</v>
      </c>
      <c r="AR17" s="834">
        <v>0.98</v>
      </c>
      <c r="AS17" s="902">
        <v>0.995</v>
      </c>
      <c r="AT17" s="45">
        <f>AVERAGE(AN17,AP17,AR17)</f>
        <v>0.98</v>
      </c>
      <c r="AU17" s="45">
        <f>IFERROR(AVERAGE(AO17,AQ17,AS17),0)</f>
        <v>0.996</v>
      </c>
      <c r="AV17" s="283">
        <f>AVERAGE(P17,R17,T17,X17,Z17,AB17,AF17,AH17,AJ17,AN17,AP17,AR17)</f>
        <v>0.98000000000000032</v>
      </c>
      <c r="AW17" s="271">
        <f>IFERROR(IF(OR($AV$16="",$AV$16=0),0,ROUNDDOWN(AVERAGE($Q17,$S17,$U17),3)),0)</f>
        <v>0.98699999999999999</v>
      </c>
      <c r="AX17" s="271">
        <f>IFERROR(IF(OR($AV$17="",$AV$17=0),0,ROUNDDOWN(AVERAGE($Q17,$S17,$U17,$Y17,$AA17,$AC17),3)),0)</f>
        <v>0.97199999999999998</v>
      </c>
      <c r="AY17" s="271">
        <f>IFERROR(IF(OR($AV$16="",$AV$16=0),0,ROUNDDOWN(AVERAGE($Q17,$S17,$U17,$Y17,$AA17,$AC17,$AG17,$AI17,$AK17),3)),0)</f>
        <v>0.97799999999999998</v>
      </c>
      <c r="AZ17" s="271">
        <f t="shared" si="0"/>
        <v>0.98199999999999998</v>
      </c>
      <c r="BA17" s="299">
        <f t="shared" ref="BA17" si="5">(IF(AND(AW17&gt;0,$AV17&gt;0),AW17/$AV17,0))*0.25</f>
        <v>0.25178571428571422</v>
      </c>
      <c r="BB17" s="299">
        <f t="shared" ref="BB17" si="6">(IF(AND(AX17&gt;0,$AV17&gt;0),AX17/$AV17,0))*0.5</f>
        <v>0.49591836734693862</v>
      </c>
      <c r="BC17" s="299">
        <f t="shared" ref="BC17" si="7">(IF(AND(AY17&gt;0,$AV17&gt;0),AY17/$AV17,0))*0.75</f>
        <v>0.74846938775510174</v>
      </c>
      <c r="BD17" s="299">
        <f t="shared" ref="BD17" si="8">(IF(AND(AZ17&gt;0,$AV17&gt;0),AZ17/$AV17,0))*1</f>
        <v>1.0020408163265302</v>
      </c>
      <c r="BE17" s="304">
        <f t="shared" si="1"/>
        <v>6.3075153374233126E-2</v>
      </c>
      <c r="BF17" s="304">
        <f t="shared" si="2"/>
        <v>0.12423312883435583</v>
      </c>
      <c r="BG17" s="304">
        <f t="shared" si="3"/>
        <v>0.1875</v>
      </c>
      <c r="BH17" s="304">
        <f t="shared" si="4"/>
        <v>0.25102249488752554</v>
      </c>
    </row>
    <row r="18" spans="2:60" ht="184.8">
      <c r="B18" s="1630"/>
      <c r="C18" s="1630"/>
      <c r="D18" s="27" t="str">
        <f>+'01-FR-03 POA INSTITUCIONAL'!D63</f>
        <v xml:space="preserve">4.3.3 Lograr el 94,5 % de usuarios internos  satisfechos con las solicitudes de servicios atendidas de la SGTH (Certificaciones laborales, bonos pensionales y autorizaciones de retiro de cesantías). </v>
      </c>
      <c r="E18" s="38">
        <f>+'01-FR-03 POA INSTITUCIONAL'!E63</f>
        <v>0.1</v>
      </c>
      <c r="F18" s="629">
        <f>+'01-FR-03 POA INSTITUCIONAL'!F63</f>
        <v>0.94499999999999995</v>
      </c>
      <c r="G18" s="629">
        <f>+'01-FR-03 POA INSTITUCIONAL'!L63</f>
        <v>0.96</v>
      </c>
      <c r="H18" s="38" t="str">
        <f>+'01-FR-03 POA INSTITUCIONAL'!G63</f>
        <v>S.I.</v>
      </c>
      <c r="I18" s="1030" t="str">
        <f>+'01-FR-03 POA INSTITUCIONAL'!H63</f>
        <v>Porcentaje de Usuarios internos satisfechos con las solicitudes de los servicios atendidas de la SGTH (Certificaciones laborales, bonos pensionales y autorizaciones de retiro de cesantías)</v>
      </c>
      <c r="J18" s="185" t="s">
        <v>413</v>
      </c>
      <c r="K18" s="243" t="s">
        <v>414</v>
      </c>
      <c r="L18" s="161" t="s">
        <v>415</v>
      </c>
      <c r="M18" s="187" t="s">
        <v>407</v>
      </c>
      <c r="N18" s="187" t="s">
        <v>408</v>
      </c>
      <c r="O18" s="400" t="str">
        <f>+'01-FR-03 POA INSTITUCIONAL'!J63</f>
        <v>Dependencia Líder: 
Dirección de Talento Humano
Dependencia Operativa:
Subdirección de Gestión del Talento Humano</v>
      </c>
      <c r="P18" s="834">
        <v>0.96</v>
      </c>
      <c r="Q18" s="837">
        <v>0.92</v>
      </c>
      <c r="R18" s="834">
        <v>0.96</v>
      </c>
      <c r="S18" s="837">
        <v>0.89300000000000002</v>
      </c>
      <c r="T18" s="834">
        <v>0.96</v>
      </c>
      <c r="U18" s="837">
        <v>0.97599999999999998</v>
      </c>
      <c r="V18" s="45">
        <f>IFERROR(AVERAGE(P18,R18,T18),0)</f>
        <v>0.96</v>
      </c>
      <c r="W18" s="283">
        <f>IFERROR(ROUNDDOWN(AVERAGE(Q18,S18,U18),3),0)</f>
        <v>0.92900000000000005</v>
      </c>
      <c r="X18" s="834">
        <v>0.96</v>
      </c>
      <c r="Y18" s="675">
        <v>1</v>
      </c>
      <c r="Z18" s="834">
        <v>0.96</v>
      </c>
      <c r="AA18" s="675">
        <v>1</v>
      </c>
      <c r="AB18" s="834">
        <v>0.96</v>
      </c>
      <c r="AC18" s="902">
        <v>0.97699999999999998</v>
      </c>
      <c r="AD18" s="45">
        <f>AVERAGE(X18,Z18,AB18)</f>
        <v>0.96</v>
      </c>
      <c r="AE18" s="283">
        <f>IFERROR(ROUNDDOWN(AVERAGE(Y18,AA18,AC18),3),0)</f>
        <v>0.99199999999999999</v>
      </c>
      <c r="AF18" s="834">
        <v>0.96</v>
      </c>
      <c r="AG18" s="940">
        <v>0.97099999999999997</v>
      </c>
      <c r="AH18" s="834">
        <v>0.96</v>
      </c>
      <c r="AI18" s="834">
        <v>0.94099999999999995</v>
      </c>
      <c r="AJ18" s="834">
        <v>0.96</v>
      </c>
      <c r="AK18" s="675">
        <v>1</v>
      </c>
      <c r="AL18" s="45">
        <f>AVERAGE(AF18,AH18,AJ18)</f>
        <v>0.96</v>
      </c>
      <c r="AM18" s="283">
        <f>IFERROR(ROUNDDOWN(AVERAGE(AG18,AI18,AK18),3),0)</f>
        <v>0.97</v>
      </c>
      <c r="AN18" s="834">
        <v>0.96</v>
      </c>
      <c r="AO18" s="940">
        <v>0.92800000000000005</v>
      </c>
      <c r="AP18" s="834">
        <v>0.96</v>
      </c>
      <c r="AQ18" s="834">
        <v>1</v>
      </c>
      <c r="AR18" s="834">
        <v>0.96</v>
      </c>
      <c r="AS18" s="834">
        <v>1</v>
      </c>
      <c r="AT18" s="45">
        <f>AVERAGE(AN18,AP18,AR18)</f>
        <v>0.96</v>
      </c>
      <c r="AU18" s="283">
        <f>IFERROR(ROUNDDOWN(AVERAGE(AO18,AQ18,AS18),3),0)</f>
        <v>0.97599999999999998</v>
      </c>
      <c r="AV18" s="283">
        <f>AVERAGE(X18,Z18,AB18,AF18,AH18,AJ18,AN18,AP18,AR18)</f>
        <v>0.96000000000000008</v>
      </c>
      <c r="AW18" s="271">
        <f>IFERROR(IF(OR($AV$16="",$AV$16=0),0,ROUNDDOWN(AVERAGE($Q18,$S18,$U18),3)),0)</f>
        <v>0.92900000000000005</v>
      </c>
      <c r="AX18" s="271">
        <f>IFERROR(IF(OR($AV$17="",$AV$17=0),0,ROUNDDOWN(AVERAGE($Q18,$S18,$U18,$Y18,$AA18,$AC18),3)),0)</f>
        <v>0.96099999999999997</v>
      </c>
      <c r="AY18" s="271">
        <f>IFERROR(IF(OR($AV$16="",$AV$16=0),0,ROUNDDOWN(AVERAGE($Q18,$S18,$U18,$Y18,$AA18,$AC18,$AG18,$AI18,$AK18),3)),0)</f>
        <v>0.96399999999999997</v>
      </c>
      <c r="AZ18" s="271">
        <f>IFERROR(IF(OR($AV$16="",$AV$16=0),0,ROUNDDOWN(AVERAGE($Y18,$AA18,$AC18,$AG18,$AI18,$AK18,$AO18,$AQ18,$AS18),3)),0)</f>
        <v>0.97899999999999998</v>
      </c>
      <c r="BA18" s="299">
        <f t="shared" ref="BA18" si="9">(IF(AND(AW18&gt;0,$AV18&gt;0),AW18/$AV18,0))*0.25</f>
        <v>0.24192708333333332</v>
      </c>
      <c r="BB18" s="299">
        <f t="shared" ref="BB18" si="10">(IF(AND(AX18&gt;0,$AV18&gt;0),AX18/$AV18,0))*0.5</f>
        <v>0.5005208333333333</v>
      </c>
      <c r="BC18" s="299">
        <f t="shared" ref="BC18" si="11">(IF(AND(AY18&gt;0,$AV18&gt;0),AY18/$AV18,0))*0.75</f>
        <v>0.75312500000000004</v>
      </c>
      <c r="BD18" s="299">
        <f t="shared" ref="BD18" si="12">(IF(AND(AZ18&gt;0,$AV18&gt;0),AZ18/$AV18,0))*1</f>
        <v>1.0197916666666667</v>
      </c>
      <c r="BE18" s="304">
        <f t="shared" si="1"/>
        <v>6.144179894179895E-2</v>
      </c>
      <c r="BF18" s="304">
        <f t="shared" si="2"/>
        <v>0.12711640211640213</v>
      </c>
      <c r="BG18" s="304">
        <f t="shared" si="3"/>
        <v>0.19126984126984128</v>
      </c>
      <c r="BH18" s="304">
        <f t="shared" si="4"/>
        <v>0.258994708994709</v>
      </c>
    </row>
    <row r="19" spans="2:60" ht="199.2" customHeight="1">
      <c r="B19" s="1630"/>
      <c r="C19" s="1630"/>
      <c r="D19" s="27" t="str">
        <f>+'01-FR-03 POA INSTITUCIONAL'!D64</f>
        <v xml:space="preserve">4.3.4 Formular e implementar el 100% del Plan Institucional de Capacitación de la vigencia.
</v>
      </c>
      <c r="E19" s="38">
        <f>+'01-FR-03 POA INSTITUCIONAL'!E64</f>
        <v>0.15</v>
      </c>
      <c r="F19" s="38">
        <f>+'01-FR-03 POA INSTITUCIONAL'!F64</f>
        <v>1</v>
      </c>
      <c r="G19" s="38">
        <f>+'01-FR-03 POA INSTITUCIONAL'!L64</f>
        <v>1</v>
      </c>
      <c r="H19" s="38">
        <f>+'01-FR-03 POA INSTITUCIONAL'!G64</f>
        <v>1</v>
      </c>
      <c r="I19" s="1030" t="str">
        <f>+'01-FR-03 POA INSTITUCIONAL'!H64</f>
        <v>Plan Institucional de Capacitación formulado y ejecutado</v>
      </c>
      <c r="J19" s="245" t="s">
        <v>428</v>
      </c>
      <c r="K19" s="246" t="s">
        <v>416</v>
      </c>
      <c r="L19" s="400" t="s">
        <v>417</v>
      </c>
      <c r="M19" s="187" t="s">
        <v>433</v>
      </c>
      <c r="N19" s="187" t="s">
        <v>418</v>
      </c>
      <c r="O19" s="400" t="str">
        <f>+'01-FR-03 POA INSTITUCIONAL'!J64</f>
        <v>Dependencia Líder: 
Dirección de Talento Humano
Dependencia Operativa:
Subdirección de Desarrollo del Talento Humano</v>
      </c>
      <c r="P19" s="841">
        <v>0.1</v>
      </c>
      <c r="Q19" s="841">
        <v>0.1</v>
      </c>
      <c r="R19" s="841">
        <f>10%+5%</f>
        <v>0.15000000000000002</v>
      </c>
      <c r="S19" s="842">
        <v>0.15</v>
      </c>
      <c r="T19" s="842">
        <v>0.05</v>
      </c>
      <c r="U19" s="842">
        <v>0.05</v>
      </c>
      <c r="V19" s="284">
        <f>+P19+R19+T19</f>
        <v>0.3</v>
      </c>
      <c r="W19" s="284">
        <f>+Q19+S19+U19</f>
        <v>0.3</v>
      </c>
      <c r="X19" s="842">
        <v>0.05</v>
      </c>
      <c r="Y19" s="903">
        <v>0.05</v>
      </c>
      <c r="Z19" s="842">
        <v>0.05</v>
      </c>
      <c r="AA19" s="903">
        <v>0.05</v>
      </c>
      <c r="AB19" s="842">
        <v>0.05</v>
      </c>
      <c r="AC19" s="903">
        <v>0.05</v>
      </c>
      <c r="AD19" s="283">
        <f>+X19+Z19+AB19</f>
        <v>0.15000000000000002</v>
      </c>
      <c r="AE19" s="283">
        <f>+Y19+AA19+AC19</f>
        <v>0.15000000000000002</v>
      </c>
      <c r="AF19" s="842">
        <v>0</v>
      </c>
      <c r="AG19" s="842">
        <v>0</v>
      </c>
      <c r="AH19" s="842">
        <v>0.1</v>
      </c>
      <c r="AI19" s="842">
        <v>0.05</v>
      </c>
      <c r="AJ19" s="846">
        <v>0.1</v>
      </c>
      <c r="AK19" s="846">
        <v>0.05</v>
      </c>
      <c r="AL19" s="284">
        <f>+AF19+AH19+AJ19</f>
        <v>0.2</v>
      </c>
      <c r="AM19" s="284">
        <f>+AG19+AI19+AK19</f>
        <v>0.1</v>
      </c>
      <c r="AN19" s="842">
        <v>0.1</v>
      </c>
      <c r="AO19" s="842">
        <v>0</v>
      </c>
      <c r="AP19" s="842">
        <v>0.1</v>
      </c>
      <c r="AQ19" s="842">
        <v>0.35</v>
      </c>
      <c r="AR19" s="842">
        <f>5%+10%</f>
        <v>0.15000000000000002</v>
      </c>
      <c r="AS19" s="842">
        <v>0.1</v>
      </c>
      <c r="AT19" s="283">
        <f>+AN19+AP19+AR19</f>
        <v>0.35000000000000003</v>
      </c>
      <c r="AU19" s="283">
        <f>+AO19+AQ19+AS19</f>
        <v>0.44999999999999996</v>
      </c>
      <c r="AV19" s="284">
        <f t="shared" ref="AV19:AV23" si="13">V19+AD19+AL19+AT19</f>
        <v>1</v>
      </c>
      <c r="AW19" s="271">
        <f t="shared" ref="AW19:AW22" si="14">+W19</f>
        <v>0.3</v>
      </c>
      <c r="AX19" s="288">
        <f t="shared" ref="AX19:AX22" si="15">+W19+AE19</f>
        <v>0.45</v>
      </c>
      <c r="AY19" s="271">
        <f t="shared" ref="AY19:AY22" si="16">+W19+AE19+AM19</f>
        <v>0.55000000000000004</v>
      </c>
      <c r="AZ19" s="288">
        <f t="shared" ref="AZ19:AZ22" si="17">+W19+AE19+AM19+AU19</f>
        <v>1</v>
      </c>
      <c r="BA19" s="299">
        <f t="shared" ref="BA19:BA23" si="18">IF(AND(AW19&gt;0,AV19&gt;0),AW19/AV19,0)</f>
        <v>0.3</v>
      </c>
      <c r="BB19" s="299">
        <f t="shared" ref="BB19:BD23" si="19">IF(AND(AX19&gt;0,$AV19&gt;0),AX19/$AV19,0)</f>
        <v>0.45</v>
      </c>
      <c r="BC19" s="299">
        <f t="shared" si="19"/>
        <v>0.55000000000000004</v>
      </c>
      <c r="BD19" s="336">
        <f t="shared" si="19"/>
        <v>1</v>
      </c>
      <c r="BE19" s="304">
        <f>((IF(AND(AW19&gt;0,$F19&gt;0),AW19/$F19,0))/4)</f>
        <v>7.4999999999999997E-2</v>
      </c>
      <c r="BF19" s="304">
        <f t="shared" ref="BF19:BG19" si="20">((IF(AND(AX19&gt;0,$F19&gt;0),AX19/$F19,0))/4)</f>
        <v>0.1125</v>
      </c>
      <c r="BG19" s="304">
        <f t="shared" si="20"/>
        <v>0.13750000000000001</v>
      </c>
      <c r="BH19" s="304">
        <f t="shared" si="4"/>
        <v>0.25</v>
      </c>
    </row>
    <row r="20" spans="2:60" ht="158.4">
      <c r="B20" s="1630"/>
      <c r="C20" s="1630"/>
      <c r="D20" s="27" t="str">
        <f>+'01-FR-03 POA INSTITUCIONAL'!D65</f>
        <v>4.3.5 Formular e implementar el 100% del Plan Institucional de Bienestar de la vigencia .</v>
      </c>
      <c r="E20" s="38">
        <f>+'01-FR-03 POA INSTITUCIONAL'!E65</f>
        <v>0.15</v>
      </c>
      <c r="F20" s="38">
        <f>+'01-FR-03 POA INSTITUCIONAL'!F65</f>
        <v>1</v>
      </c>
      <c r="G20" s="38">
        <f>+'01-FR-03 POA INSTITUCIONAL'!L65</f>
        <v>1</v>
      </c>
      <c r="H20" s="38">
        <f>+'01-FR-03 POA INSTITUCIONAL'!G65</f>
        <v>1</v>
      </c>
      <c r="I20" s="1030" t="str">
        <f>+'01-FR-03 POA INSTITUCIONAL'!H65</f>
        <v>Plan Institucional de Bienestar formulado y ejecutado</v>
      </c>
      <c r="J20" s="245" t="s">
        <v>429</v>
      </c>
      <c r="K20" s="247" t="s">
        <v>419</v>
      </c>
      <c r="L20" s="400" t="s">
        <v>420</v>
      </c>
      <c r="M20" s="187" t="s">
        <v>433</v>
      </c>
      <c r="N20" s="187" t="s">
        <v>418</v>
      </c>
      <c r="O20" s="400" t="str">
        <f>+'01-FR-03 POA INSTITUCIONAL'!J65</f>
        <v>Dependencia Líder: 
Dirección de Talento Humano
Dependencia Operativa:
Subdirección de Desarrollo del Talento Humano</v>
      </c>
      <c r="P20" s="841">
        <f>10%+0.97%</f>
        <v>0.10970000000000001</v>
      </c>
      <c r="Q20" s="841">
        <f>10%+0.97%</f>
        <v>0.10970000000000001</v>
      </c>
      <c r="R20" s="841">
        <f>10%+0.97%</f>
        <v>0.10970000000000001</v>
      </c>
      <c r="S20" s="841">
        <f>10%+0.97%</f>
        <v>0.10970000000000001</v>
      </c>
      <c r="T20" s="842">
        <v>3.8899999999999997E-2</v>
      </c>
      <c r="U20" s="842">
        <v>3.8899999999999997E-2</v>
      </c>
      <c r="V20" s="284">
        <f t="shared" ref="V20:V22" si="21">+P20+R20+T20</f>
        <v>0.25830000000000003</v>
      </c>
      <c r="W20" s="284">
        <f t="shared" ref="W20:W22" si="22">+Q20+S20+U20</f>
        <v>0.25830000000000003</v>
      </c>
      <c r="X20" s="842">
        <v>4.8599999999999997E-2</v>
      </c>
      <c r="Y20" s="903">
        <v>3.8899999999999997E-2</v>
      </c>
      <c r="Z20" s="842">
        <v>5.8299999999999998E-2</v>
      </c>
      <c r="AA20" s="903">
        <v>4.8599999999999997E-2</v>
      </c>
      <c r="AB20" s="842">
        <v>6.8099999999999994E-2</v>
      </c>
      <c r="AC20" s="842">
        <v>4.8599999999999997E-2</v>
      </c>
      <c r="AD20" s="284">
        <f t="shared" ref="AD20:AD22" si="23">+X20+Z20+AB20</f>
        <v>0.17499999999999999</v>
      </c>
      <c r="AE20" s="284">
        <f t="shared" ref="AE20:AE22" si="24">+Y20+AA20+AC20</f>
        <v>0.1361</v>
      </c>
      <c r="AF20" s="842">
        <v>6.8099999999999994E-2</v>
      </c>
      <c r="AG20" s="842">
        <v>7.7799999999999994E-2</v>
      </c>
      <c r="AH20" s="842">
        <v>7.7799999999999994E-2</v>
      </c>
      <c r="AI20" s="842">
        <v>7.7799999999999994E-2</v>
      </c>
      <c r="AJ20" s="842">
        <v>7.7799999999999994E-2</v>
      </c>
      <c r="AK20" s="842">
        <v>8.7499999999999994E-2</v>
      </c>
      <c r="AL20" s="284">
        <f t="shared" ref="AL20:AL22" si="25">+AF20+AH20+AJ20</f>
        <v>0.22369999999999995</v>
      </c>
      <c r="AM20" s="284">
        <f t="shared" ref="AM20:AM22" si="26">+AG20+AI20+AK20</f>
        <v>0.24309999999999998</v>
      </c>
      <c r="AN20" s="842">
        <v>0.1167</v>
      </c>
      <c r="AO20" s="842">
        <v>0.1069</v>
      </c>
      <c r="AP20" s="842">
        <v>6.8099999999999994E-2</v>
      </c>
      <c r="AQ20" s="842">
        <v>7.7799999999999994E-2</v>
      </c>
      <c r="AR20" s="842">
        <f>5.82%+10%</f>
        <v>0.15820000000000001</v>
      </c>
      <c r="AS20" s="842">
        <v>0.15820000000000001</v>
      </c>
      <c r="AT20" s="284">
        <f t="shared" ref="AT20:AT21" si="27">+AN20+AP20+AR20</f>
        <v>0.34299999999999997</v>
      </c>
      <c r="AU20" s="284">
        <f t="shared" ref="AU20:AU21" si="28">+AO20+AQ20+AS20</f>
        <v>0.34289999999999998</v>
      </c>
      <c r="AV20" s="284">
        <f t="shared" si="13"/>
        <v>1</v>
      </c>
      <c r="AW20" s="271">
        <f t="shared" si="14"/>
        <v>0.25830000000000003</v>
      </c>
      <c r="AX20" s="288">
        <f t="shared" si="15"/>
        <v>0.39440000000000003</v>
      </c>
      <c r="AY20" s="288">
        <f t="shared" si="16"/>
        <v>0.63749999999999996</v>
      </c>
      <c r="AZ20" s="288">
        <f t="shared" si="17"/>
        <v>0.98039999999999994</v>
      </c>
      <c r="BA20" s="299">
        <f t="shared" si="18"/>
        <v>0.25830000000000003</v>
      </c>
      <c r="BB20" s="299">
        <f t="shared" si="19"/>
        <v>0.39440000000000003</v>
      </c>
      <c r="BC20" s="299">
        <f t="shared" si="19"/>
        <v>0.63749999999999996</v>
      </c>
      <c r="BD20" s="299">
        <f t="shared" si="19"/>
        <v>0.98039999999999994</v>
      </c>
      <c r="BE20" s="304">
        <f t="shared" ref="BE20:BE22" si="29">((IF(AND(AW20&gt;0,$F20&gt;0),AW20/$F20,0))/4)</f>
        <v>6.4575000000000007E-2</v>
      </c>
      <c r="BF20" s="304">
        <f t="shared" ref="BF20:BF22" si="30">((IF(AND(AX20&gt;0,$F20&gt;0),AX20/$F20,0))/4)</f>
        <v>9.8600000000000007E-2</v>
      </c>
      <c r="BG20" s="304">
        <f t="shared" ref="BG20:BG22" si="31">((IF(AND(AY20&gt;0,$F20&gt;0),AY20/$F20,0))/4)</f>
        <v>0.15937499999999999</v>
      </c>
      <c r="BH20" s="304">
        <f t="shared" ref="BH20:BH22" si="32">((IF(AND(AZ20&gt;0,$F20&gt;0),AZ20/$F20,0))/4)</f>
        <v>0.24509999999999998</v>
      </c>
    </row>
    <row r="21" spans="2:60" ht="156.6" customHeight="1">
      <c r="B21" s="1630"/>
      <c r="C21" s="1630"/>
      <c r="D21" s="27" t="str">
        <f>+'01-FR-03 POA INSTITUCIONAL'!D66</f>
        <v>4.3.6 Formular e implementar el 100% del Plan Institucional de Incentivos de la vigencia.</v>
      </c>
      <c r="E21" s="38">
        <f>+'01-FR-03 POA INSTITUCIONAL'!E66</f>
        <v>0.15</v>
      </c>
      <c r="F21" s="38">
        <f>+'01-FR-03 POA INSTITUCIONAL'!F66</f>
        <v>1</v>
      </c>
      <c r="G21" s="38">
        <f>+'01-FR-03 POA INSTITUCIONAL'!L66</f>
        <v>1</v>
      </c>
      <c r="H21" s="38">
        <f>+'01-FR-03 POA INSTITUCIONAL'!G66</f>
        <v>1</v>
      </c>
      <c r="I21" s="1030" t="str">
        <f>+'01-FR-03 POA INSTITUCIONAL'!H66</f>
        <v>Plan Institucional de Incentivos formulado y ejecutado</v>
      </c>
      <c r="J21" s="245" t="s">
        <v>430</v>
      </c>
      <c r="K21" s="247" t="s">
        <v>421</v>
      </c>
      <c r="L21" s="400" t="s">
        <v>420</v>
      </c>
      <c r="M21" s="187" t="s">
        <v>433</v>
      </c>
      <c r="N21" s="187" t="s">
        <v>418</v>
      </c>
      <c r="O21" s="400" t="str">
        <f>+'01-FR-03 POA INSTITUCIONAL'!J66</f>
        <v>Dependencia Líder: 
Dirección de Talento Humano
Dependencia Operativa:
Subdirección de Desarrollo del Talento Humano</v>
      </c>
      <c r="P21" s="841">
        <v>0.1</v>
      </c>
      <c r="Q21" s="841">
        <v>0.1</v>
      </c>
      <c r="R21" s="841">
        <v>0.1</v>
      </c>
      <c r="S21" s="841">
        <v>0.1</v>
      </c>
      <c r="T21" s="843">
        <v>0.05</v>
      </c>
      <c r="U21" s="843">
        <v>0.05</v>
      </c>
      <c r="V21" s="284">
        <f t="shared" si="21"/>
        <v>0.25</v>
      </c>
      <c r="W21" s="284">
        <f t="shared" si="22"/>
        <v>0.25</v>
      </c>
      <c r="X21" s="843">
        <v>0.1</v>
      </c>
      <c r="Y21" s="903">
        <v>0.1</v>
      </c>
      <c r="Z21" s="842">
        <v>0</v>
      </c>
      <c r="AA21" s="903">
        <v>0</v>
      </c>
      <c r="AB21" s="842">
        <v>0</v>
      </c>
      <c r="AC21" s="842">
        <v>0</v>
      </c>
      <c r="AD21" s="284">
        <f t="shared" si="23"/>
        <v>0.1</v>
      </c>
      <c r="AE21" s="284">
        <f t="shared" si="24"/>
        <v>0.1</v>
      </c>
      <c r="AF21" s="843">
        <v>0</v>
      </c>
      <c r="AG21" s="842">
        <v>0</v>
      </c>
      <c r="AH21" s="843">
        <v>0.1</v>
      </c>
      <c r="AI21" s="842">
        <v>0.1</v>
      </c>
      <c r="AJ21" s="843">
        <v>0</v>
      </c>
      <c r="AK21" s="843">
        <v>0</v>
      </c>
      <c r="AL21" s="284">
        <f t="shared" si="25"/>
        <v>0.1</v>
      </c>
      <c r="AM21" s="284">
        <f t="shared" si="26"/>
        <v>0.1</v>
      </c>
      <c r="AN21" s="842">
        <v>0</v>
      </c>
      <c r="AO21" s="842">
        <v>0</v>
      </c>
      <c r="AP21" s="843">
        <v>0.1</v>
      </c>
      <c r="AQ21" s="842">
        <v>0.1</v>
      </c>
      <c r="AR21" s="842">
        <f>35%+10%</f>
        <v>0.44999999999999996</v>
      </c>
      <c r="AS21" s="842">
        <v>0.4</v>
      </c>
      <c r="AT21" s="284">
        <f t="shared" si="27"/>
        <v>0.54999999999999993</v>
      </c>
      <c r="AU21" s="284">
        <f t="shared" si="28"/>
        <v>0.5</v>
      </c>
      <c r="AV21" s="284">
        <f t="shared" si="13"/>
        <v>0.99999999999999989</v>
      </c>
      <c r="AW21" s="271">
        <f t="shared" si="14"/>
        <v>0.25</v>
      </c>
      <c r="AX21" s="288">
        <f t="shared" si="15"/>
        <v>0.35</v>
      </c>
      <c r="AY21" s="271">
        <f t="shared" si="16"/>
        <v>0.44999999999999996</v>
      </c>
      <c r="AZ21" s="288">
        <f t="shared" si="17"/>
        <v>0.95</v>
      </c>
      <c r="BA21" s="299">
        <f t="shared" si="18"/>
        <v>0.25</v>
      </c>
      <c r="BB21" s="336">
        <f t="shared" si="19"/>
        <v>0.35000000000000003</v>
      </c>
      <c r="BC21" s="336">
        <f t="shared" si="19"/>
        <v>0.45</v>
      </c>
      <c r="BD21" s="336">
        <f t="shared" si="19"/>
        <v>0.95000000000000007</v>
      </c>
      <c r="BE21" s="304">
        <f t="shared" si="29"/>
        <v>6.25E-2</v>
      </c>
      <c r="BF21" s="304">
        <f t="shared" si="30"/>
        <v>8.7499999999999994E-2</v>
      </c>
      <c r="BG21" s="304">
        <f t="shared" si="31"/>
        <v>0.11249999999999999</v>
      </c>
      <c r="BH21" s="304">
        <f t="shared" si="32"/>
        <v>0.23749999999999999</v>
      </c>
    </row>
    <row r="22" spans="2:60" ht="174" customHeight="1">
      <c r="B22" s="1630"/>
      <c r="C22" s="1630"/>
      <c r="D22" s="27" t="str">
        <f>+'01-FR-03 POA INSTITUCIONAL'!D67</f>
        <v>4.3.7 Diseñar e implementar el 100 % del Plan Anual de Trabajo del Sistema de Gestión de Seguridad y Salud en el Trabajo SG-SST de la vigencia.</v>
      </c>
      <c r="E22" s="38">
        <f>+'01-FR-03 POA INSTITUCIONAL'!E67</f>
        <v>0.15</v>
      </c>
      <c r="F22" s="38">
        <f>+'01-FR-03 POA INSTITUCIONAL'!F67</f>
        <v>1</v>
      </c>
      <c r="G22" s="38">
        <f>+'01-FR-03 POA INSTITUCIONAL'!L67</f>
        <v>1</v>
      </c>
      <c r="H22" s="38">
        <f>+'01-FR-03 POA INSTITUCIONAL'!G67</f>
        <v>0.99</v>
      </c>
      <c r="I22" s="1030" t="str">
        <f>+'01-FR-03 POA INSTITUCIONAL'!H67</f>
        <v>Plan Anual de Trabajo del Sistema de Gestión de Seguridad y Salud en el Trabajo SG-SST diseñado y ejecutado</v>
      </c>
      <c r="J22" s="245" t="s">
        <v>431</v>
      </c>
      <c r="K22" s="247" t="s">
        <v>422</v>
      </c>
      <c r="L22" s="400" t="s">
        <v>423</v>
      </c>
      <c r="M22" s="187" t="s">
        <v>433</v>
      </c>
      <c r="N22" s="187" t="s">
        <v>418</v>
      </c>
      <c r="O22" s="400" t="str">
        <f>+'01-FR-03 POA INSTITUCIONAL'!J67</f>
        <v>Dependencia Líder: 
Dirección de Talento Humano
Dependencia Operativa:
Subdirección de Desarrollo del Talento Humano</v>
      </c>
      <c r="P22" s="841">
        <f>10%+1.68%</f>
        <v>0.1168</v>
      </c>
      <c r="Q22" s="841">
        <f>10%+1.68%</f>
        <v>0.1168</v>
      </c>
      <c r="R22" s="841">
        <f>10%+7.84%</f>
        <v>0.1784</v>
      </c>
      <c r="S22" s="842">
        <v>0.17280000000000001</v>
      </c>
      <c r="T22" s="842">
        <v>0.10639999999999999</v>
      </c>
      <c r="U22" s="842">
        <v>0.112</v>
      </c>
      <c r="V22" s="284">
        <f t="shared" si="21"/>
        <v>0.40160000000000001</v>
      </c>
      <c r="W22" s="284">
        <f t="shared" si="22"/>
        <v>0.40160000000000001</v>
      </c>
      <c r="X22" s="842">
        <v>5.04E-2</v>
      </c>
      <c r="Y22" s="842">
        <v>5.04E-2</v>
      </c>
      <c r="Z22" s="842">
        <v>3.9199999999999999E-2</v>
      </c>
      <c r="AA22" s="842">
        <v>3.9199999999999999E-2</v>
      </c>
      <c r="AB22" s="842">
        <v>0.10639999999999999</v>
      </c>
      <c r="AC22" s="842">
        <v>0.10639999999999999</v>
      </c>
      <c r="AD22" s="284">
        <f t="shared" si="23"/>
        <v>0.19600000000000001</v>
      </c>
      <c r="AE22" s="284">
        <f t="shared" si="24"/>
        <v>0.19600000000000001</v>
      </c>
      <c r="AF22" s="842">
        <v>2.24E-2</v>
      </c>
      <c r="AG22" s="842">
        <v>2.24E-2</v>
      </c>
      <c r="AH22" s="842">
        <v>3.9199999999999999E-2</v>
      </c>
      <c r="AI22" s="842">
        <v>3.3599999999999998E-2</v>
      </c>
      <c r="AJ22" s="846">
        <v>6.1600000000000002E-2</v>
      </c>
      <c r="AK22" s="846">
        <v>6.7199999999999996E-2</v>
      </c>
      <c r="AL22" s="284">
        <f t="shared" si="25"/>
        <v>0.1232</v>
      </c>
      <c r="AM22" s="284">
        <f t="shared" si="26"/>
        <v>0.12319999999999999</v>
      </c>
      <c r="AN22" s="842">
        <v>2.24E-2</v>
      </c>
      <c r="AO22" s="842">
        <v>2.24E-2</v>
      </c>
      <c r="AP22" s="842">
        <v>3.9199999999999999E-2</v>
      </c>
      <c r="AQ22" s="842">
        <v>3.9199999999999999E-2</v>
      </c>
      <c r="AR22" s="842">
        <f>11.76%+10%</f>
        <v>0.21760000000000002</v>
      </c>
      <c r="AS22" s="842">
        <f>11.76%+10%</f>
        <v>0.21760000000000002</v>
      </c>
      <c r="AT22" s="284">
        <f>+AN22+AP22+AR22</f>
        <v>0.2792</v>
      </c>
      <c r="AU22" s="284">
        <f>+AO22+AQ22+AS22</f>
        <v>0.2792</v>
      </c>
      <c r="AV22" s="284">
        <f t="shared" si="13"/>
        <v>1</v>
      </c>
      <c r="AW22" s="271">
        <f t="shared" si="14"/>
        <v>0.40160000000000001</v>
      </c>
      <c r="AX22" s="288">
        <f t="shared" si="15"/>
        <v>0.59760000000000002</v>
      </c>
      <c r="AY22" s="288">
        <f t="shared" si="16"/>
        <v>0.7208</v>
      </c>
      <c r="AZ22" s="288">
        <f t="shared" si="17"/>
        <v>1</v>
      </c>
      <c r="BA22" s="299">
        <f t="shared" si="18"/>
        <v>0.40160000000000001</v>
      </c>
      <c r="BB22" s="336">
        <f t="shared" si="19"/>
        <v>0.59760000000000002</v>
      </c>
      <c r="BC22" s="336">
        <f t="shared" si="19"/>
        <v>0.7208</v>
      </c>
      <c r="BD22" s="336">
        <f t="shared" si="19"/>
        <v>1</v>
      </c>
      <c r="BE22" s="304">
        <f t="shared" si="29"/>
        <v>0.1004</v>
      </c>
      <c r="BF22" s="304">
        <f t="shared" si="30"/>
        <v>0.14940000000000001</v>
      </c>
      <c r="BG22" s="304">
        <f t="shared" si="31"/>
        <v>0.1802</v>
      </c>
      <c r="BH22" s="304">
        <f t="shared" si="32"/>
        <v>0.25</v>
      </c>
    </row>
    <row r="23" spans="2:60" ht="132">
      <c r="B23" s="1631"/>
      <c r="C23" s="1631"/>
      <c r="D23" s="27" t="str">
        <f>+'01-FR-03 POA INSTITUCIONAL'!D68</f>
        <v>4.3.8 Realizar 21 capacitaciones sobre los Sistemas de Gestión y Evaluación del Desempeño Laboral de la Entidad.</v>
      </c>
      <c r="E23" s="38">
        <f>+'01-FR-03 POA INSTITUCIONAL'!E68</f>
        <v>0.1</v>
      </c>
      <c r="F23" s="61">
        <f>+'01-FR-03 POA INSTITUCIONAL'!F68</f>
        <v>21</v>
      </c>
      <c r="G23" s="61">
        <f>+'01-FR-03 POA INSTITUCIONAL'!L68</f>
        <v>4</v>
      </c>
      <c r="H23" s="38" t="str">
        <f>+'01-FR-03 POA INSTITUCIONAL'!G68</f>
        <v>S.I.</v>
      </c>
      <c r="I23" s="1030" t="str">
        <f>+'01-FR-03 POA INSTITUCIONAL'!H68</f>
        <v>Capacitaciones realizadas sobre los Sistemas de Gestión y Evaluación del Desempeño Laboral de la Personería de Bogotá, D.C.</v>
      </c>
      <c r="J23" s="185" t="s">
        <v>432</v>
      </c>
      <c r="K23" s="247" t="s">
        <v>424</v>
      </c>
      <c r="L23" s="400" t="s">
        <v>425</v>
      </c>
      <c r="M23" s="187" t="s">
        <v>434</v>
      </c>
      <c r="N23" s="187" t="s">
        <v>426</v>
      </c>
      <c r="O23" s="400" t="str">
        <f>+'01-FR-03 POA INSTITUCIONAL'!J68</f>
        <v>Dirección de Talento Humano</v>
      </c>
      <c r="P23" s="844">
        <v>1</v>
      </c>
      <c r="Q23" s="844">
        <v>1</v>
      </c>
      <c r="R23" s="844">
        <v>1</v>
      </c>
      <c r="S23" s="844">
        <v>1</v>
      </c>
      <c r="T23" s="844">
        <v>0</v>
      </c>
      <c r="U23" s="844">
        <v>0</v>
      </c>
      <c r="V23" s="63">
        <f>+P23+R23+T23</f>
        <v>2</v>
      </c>
      <c r="W23" s="63">
        <f>+Q23+S23+U23</f>
        <v>2</v>
      </c>
      <c r="X23" s="845">
        <v>0</v>
      </c>
      <c r="Y23" s="845">
        <v>0</v>
      </c>
      <c r="Z23" s="845">
        <v>0</v>
      </c>
      <c r="AA23" s="845">
        <v>0</v>
      </c>
      <c r="AB23" s="845">
        <v>1</v>
      </c>
      <c r="AC23" s="845">
        <v>1</v>
      </c>
      <c r="AD23" s="63">
        <f>+X23+Z23+AB23</f>
        <v>1</v>
      </c>
      <c r="AE23" s="63">
        <f>+Y23+AA23+AC23</f>
        <v>1</v>
      </c>
      <c r="AF23" s="847">
        <v>1</v>
      </c>
      <c r="AG23" s="847">
        <v>1</v>
      </c>
      <c r="AH23" s="847">
        <v>0</v>
      </c>
      <c r="AI23" s="847">
        <v>0</v>
      </c>
      <c r="AJ23" s="848">
        <v>0</v>
      </c>
      <c r="AK23" s="848">
        <v>0</v>
      </c>
      <c r="AL23" s="63">
        <f>+AF23+AH23+AJ23</f>
        <v>1</v>
      </c>
      <c r="AM23" s="63">
        <f>+AG23+AI23+AK23</f>
        <v>1</v>
      </c>
      <c r="AN23" s="849">
        <v>0</v>
      </c>
      <c r="AO23" s="849">
        <v>0</v>
      </c>
      <c r="AP23" s="849">
        <v>0</v>
      </c>
      <c r="AQ23" s="849">
        <v>0</v>
      </c>
      <c r="AR23" s="849">
        <v>0</v>
      </c>
      <c r="AS23" s="849">
        <v>0</v>
      </c>
      <c r="AT23" s="63">
        <f>+AN23+AP23+AR23</f>
        <v>0</v>
      </c>
      <c r="AU23" s="63">
        <f>+AO23+AQ23+AS23</f>
        <v>0</v>
      </c>
      <c r="AV23" s="850">
        <f t="shared" si="13"/>
        <v>4</v>
      </c>
      <c r="AW23" s="57">
        <f>+W23</f>
        <v>2</v>
      </c>
      <c r="AX23" s="57">
        <f t="shared" ref="AX23" si="33">+W23+AE23</f>
        <v>3</v>
      </c>
      <c r="AY23" s="57">
        <f t="shared" ref="AY23" si="34">+W23+AE23+AM23</f>
        <v>4</v>
      </c>
      <c r="AZ23" s="57">
        <f t="shared" ref="AZ23" si="35">+W23+AE23+AM23+AU23</f>
        <v>4</v>
      </c>
      <c r="BA23" s="300">
        <f t="shared" si="18"/>
        <v>0.5</v>
      </c>
      <c r="BB23" s="336">
        <f t="shared" si="19"/>
        <v>0.75</v>
      </c>
      <c r="BC23" s="336">
        <f t="shared" si="19"/>
        <v>1</v>
      </c>
      <c r="BD23" s="336">
        <f t="shared" si="19"/>
        <v>1</v>
      </c>
      <c r="BE23" s="304">
        <f>(IF(AND(AW23&gt;0,$F23&gt;0),AW23/$F23,0))</f>
        <v>9.5238095238095233E-2</v>
      </c>
      <c r="BF23" s="304">
        <f t="shared" ref="BF23:BH23" si="36">(IF(AND(AX23&gt;0,$F23&gt;0),AX23/$F23,0))</f>
        <v>0.14285714285714285</v>
      </c>
      <c r="BG23" s="272">
        <f t="shared" si="36"/>
        <v>0.19047619047619047</v>
      </c>
      <c r="BH23" s="272">
        <f t="shared" si="36"/>
        <v>0.19047619047619047</v>
      </c>
    </row>
    <row r="24" spans="2:60" ht="15.6">
      <c r="B24" s="1633"/>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634"/>
      <c r="AM24" s="1634"/>
      <c r="AN24" s="1634"/>
      <c r="AO24" s="1634"/>
      <c r="AP24" s="1634"/>
      <c r="AQ24" s="1634"/>
      <c r="AR24" s="1634"/>
      <c r="AS24" s="1634"/>
      <c r="AT24" s="1634"/>
      <c r="AU24" s="1634"/>
      <c r="AV24" s="1634"/>
      <c r="AW24" s="1635"/>
      <c r="AX24" s="1619" t="s">
        <v>19</v>
      </c>
      <c r="AY24" s="1620"/>
      <c r="AZ24" s="1620"/>
      <c r="BA24" s="1041">
        <f t="shared" ref="BA24:BD24" si="37">AVERAGE(BA17:BA23)</f>
        <v>0.31480182823129249</v>
      </c>
      <c r="BB24" s="1041">
        <f t="shared" si="37"/>
        <v>0.50549131438289596</v>
      </c>
      <c r="BC24" s="1041">
        <f t="shared" si="37"/>
        <v>0.69427062682215734</v>
      </c>
      <c r="BD24" s="1041">
        <f t="shared" si="37"/>
        <v>0.99317606899902811</v>
      </c>
      <c r="BE24" s="1608"/>
      <c r="BF24" s="1609"/>
      <c r="BG24" s="1609"/>
      <c r="BH24" s="1610"/>
    </row>
    <row r="25" spans="2:60">
      <c r="B25" s="1500"/>
      <c r="C25" s="1500"/>
      <c r="D25" s="1500"/>
      <c r="E25" s="1500"/>
      <c r="F25" s="1500"/>
      <c r="G25" s="1500"/>
      <c r="H25" s="248"/>
      <c r="I25" s="1040"/>
      <c r="J25" s="1040"/>
      <c r="K25" s="1040"/>
      <c r="L25" s="1040"/>
      <c r="M25" s="1040"/>
      <c r="N25" s="1040"/>
      <c r="O25" s="1040"/>
    </row>
    <row r="26" spans="2:60">
      <c r="B26" s="1040"/>
      <c r="C26" s="1040"/>
      <c r="D26" s="1628"/>
      <c r="E26" s="1628"/>
      <c r="F26" s="1628"/>
      <c r="G26" s="1628"/>
      <c r="H26" s="1628"/>
      <c r="I26" s="1628"/>
      <c r="J26" s="1628"/>
      <c r="K26" s="1628"/>
      <c r="L26" s="1628"/>
      <c r="M26" s="1628"/>
      <c r="N26" s="1628"/>
      <c r="O26" s="1628"/>
    </row>
    <row r="27" spans="2:60" ht="15.6" customHeight="1">
      <c r="B27" s="54" t="s">
        <v>26</v>
      </c>
      <c r="C27" s="210">
        <v>44224</v>
      </c>
      <c r="D27" s="211"/>
      <c r="E27" s="1510" t="s">
        <v>50</v>
      </c>
      <c r="F27" s="1588" t="s">
        <v>666</v>
      </c>
      <c r="G27" s="1589"/>
      <c r="H27" s="1589"/>
      <c r="I27" s="1589"/>
      <c r="J27" s="1590"/>
      <c r="K27" s="212"/>
      <c r="L27" s="1567"/>
      <c r="M27" s="1567"/>
      <c r="N27" s="1567"/>
      <c r="O27" s="1587"/>
    </row>
    <row r="28" spans="2:60" ht="15.6">
      <c r="B28" s="1040"/>
      <c r="C28" s="1040"/>
      <c r="D28" s="212"/>
      <c r="E28" s="1510"/>
      <c r="F28" s="1591"/>
      <c r="G28" s="1592"/>
      <c r="H28" s="1592"/>
      <c r="I28" s="1592"/>
      <c r="J28" s="1593"/>
      <c r="K28" s="1040"/>
      <c r="L28" s="1040"/>
      <c r="M28" s="1040"/>
      <c r="N28" s="1040"/>
      <c r="O28" s="1040"/>
    </row>
    <row r="29" spans="2:60" ht="15.6">
      <c r="B29" s="54" t="s">
        <v>49</v>
      </c>
      <c r="C29" s="56">
        <v>44581</v>
      </c>
      <c r="D29" s="1040"/>
      <c r="E29" s="1040"/>
      <c r="F29" s="1040"/>
      <c r="K29" s="1040"/>
      <c r="L29" s="1040"/>
      <c r="M29" s="1040"/>
      <c r="N29" s="1040"/>
      <c r="O29" s="1040"/>
    </row>
    <row r="30" spans="2:60">
      <c r="B30" s="1040"/>
      <c r="C30" s="1040"/>
      <c r="D30" s="1040"/>
      <c r="E30" s="1040"/>
      <c r="F30" s="1040"/>
      <c r="K30" s="1040"/>
      <c r="L30" s="1040"/>
      <c r="M30" s="1040"/>
      <c r="N30" s="1040"/>
      <c r="O30" s="1040"/>
    </row>
    <row r="31" spans="2:60">
      <c r="B31" s="541" t="s">
        <v>916</v>
      </c>
      <c r="C31" s="1040"/>
      <c r="D31" s="1040"/>
      <c r="E31" s="1040"/>
      <c r="F31" s="1040"/>
      <c r="G31" s="248"/>
      <c r="H31" s="248"/>
      <c r="I31" s="1567"/>
      <c r="J31" s="1567"/>
      <c r="K31" s="1567"/>
      <c r="L31" s="1567"/>
      <c r="M31" s="1035"/>
      <c r="N31" s="1035"/>
      <c r="O31" s="1035"/>
    </row>
    <row r="32" spans="2:60">
      <c r="B32" s="1040"/>
      <c r="C32" s="1040"/>
      <c r="D32" s="1040"/>
      <c r="E32" s="1040"/>
      <c r="F32" s="1040"/>
      <c r="G32" s="248"/>
      <c r="H32" s="248"/>
      <c r="I32" s="1040"/>
      <c r="J32" s="1040"/>
      <c r="K32" s="249"/>
      <c r="L32" s="1040"/>
      <c r="M32" s="1040"/>
      <c r="N32" s="1040"/>
      <c r="O32" s="1040"/>
    </row>
    <row r="33" spans="2:15">
      <c r="B33" s="1040"/>
      <c r="C33" s="1040"/>
      <c r="D33" s="1040"/>
      <c r="E33" s="1040"/>
      <c r="F33" s="1040"/>
      <c r="G33" s="248"/>
      <c r="H33" s="248"/>
      <c r="I33" s="1567"/>
      <c r="J33" s="1567"/>
      <c r="K33" s="1567"/>
      <c r="L33" s="1567"/>
      <c r="M33" s="1035"/>
      <c r="N33" s="1035"/>
      <c r="O33" s="1035"/>
    </row>
    <row r="34" spans="2:15">
      <c r="B34" s="1040"/>
      <c r="C34" s="1040"/>
      <c r="D34" s="1040"/>
      <c r="E34" s="1040"/>
      <c r="F34" s="1040"/>
      <c r="G34" s="248"/>
      <c r="H34" s="248"/>
      <c r="I34" s="1040"/>
      <c r="J34" s="1040"/>
      <c r="K34" s="249"/>
      <c r="L34" s="1040"/>
      <c r="M34" s="1040"/>
      <c r="N34" s="1040"/>
      <c r="O34" s="1040"/>
    </row>
    <row r="35" spans="2:15">
      <c r="B35" s="1040"/>
      <c r="C35" s="1040"/>
      <c r="D35" s="1040"/>
      <c r="E35" s="1040"/>
      <c r="F35" s="1040"/>
      <c r="G35" s="248"/>
      <c r="H35" s="248"/>
      <c r="I35" s="1567"/>
      <c r="J35" s="1567"/>
      <c r="K35" s="1567"/>
      <c r="L35" s="1567"/>
      <c r="M35" s="1035"/>
      <c r="N35" s="1035"/>
      <c r="O35" s="1035"/>
    </row>
  </sheetData>
  <sheetProtection algorithmName="SHA-512" hashValue="0B6X/HSZwl7ovUELcEX/MzvJnUvRoh3JsNBhB5eMf/rEupUmfvuwzQ8kqX7dEnaTmpjPbDZFl1E7yeploZYrag==" saltValue="LUnvGvC6ZukmV+euqpZ7HQ==" spinCount="100000" sheet="1" objects="1" scenarios="1"/>
  <mergeCells count="71">
    <mergeCell ref="E27:E28"/>
    <mergeCell ref="L27:O27"/>
    <mergeCell ref="I31:L31"/>
    <mergeCell ref="I33:L33"/>
    <mergeCell ref="F27:J28"/>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BC13:BC15"/>
    <mergeCell ref="AV12:AV15"/>
    <mergeCell ref="AW12:AZ12"/>
    <mergeCell ref="BA12:BD12"/>
    <mergeCell ref="BB13:BB15"/>
    <mergeCell ref="D26:O26"/>
    <mergeCell ref="B25:G25"/>
    <mergeCell ref="B16:B23"/>
    <mergeCell ref="C16:C23"/>
    <mergeCell ref="P14:Q14"/>
    <mergeCell ref="E12:E15"/>
    <mergeCell ref="G12:G15"/>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C9:D9"/>
    <mergeCell ref="B2:B6"/>
    <mergeCell ref="C2:BF6"/>
    <mergeCell ref="BG6:BH6"/>
    <mergeCell ref="AW7:BA7"/>
    <mergeCell ref="C8:D8"/>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92D050"/>
  </sheetPr>
  <dimension ref="B1:BI29"/>
  <sheetViews>
    <sheetView showGridLines="0" zoomScale="55" zoomScaleNormal="55"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6" width="27.5546875" style="105" customWidth="1"/>
    <col min="7" max="8" width="29.33203125" style="106" customWidth="1"/>
    <col min="9" max="9" width="21.44140625" style="105" customWidth="1"/>
    <col min="10" max="10" width="31.88671875" style="105" customWidth="1"/>
    <col min="11" max="11" width="55.88671875" style="105" customWidth="1"/>
    <col min="12" max="12" width="48.44140625" style="105" customWidth="1"/>
    <col min="13" max="13" width="28.5546875" style="105" customWidth="1"/>
    <col min="14" max="14" width="33.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1" ht="15.6" thickBot="1"/>
    <row r="2" spans="2:61" ht="15.6">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1" ht="15.6">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1"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1" ht="15.6">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1"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1">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1" ht="21">
      <c r="B8" s="183" t="s">
        <v>45</v>
      </c>
      <c r="C8" s="1594" t="s">
        <v>92</v>
      </c>
      <c r="D8" s="1594"/>
      <c r="E8" s="184"/>
      <c r="F8" s="184"/>
      <c r="G8" s="184"/>
      <c r="H8" s="184"/>
      <c r="I8" s="184"/>
      <c r="J8" s="184"/>
      <c r="K8" s="184"/>
      <c r="L8" s="184"/>
      <c r="M8" s="184"/>
      <c r="N8" s="184"/>
      <c r="O8" s="184"/>
      <c r="AW8" s="1035"/>
      <c r="AX8" s="1035"/>
      <c r="AY8" s="1035"/>
      <c r="AZ8" s="1035"/>
      <c r="BA8" s="1035"/>
      <c r="BB8" s="1035"/>
      <c r="BC8" s="1035"/>
      <c r="BD8" s="1035"/>
    </row>
    <row r="9" spans="2:61" ht="63" customHeight="1">
      <c r="B9" s="183" t="s">
        <v>34</v>
      </c>
      <c r="C9" s="1621" t="s">
        <v>439</v>
      </c>
      <c r="D9" s="1535"/>
      <c r="E9" s="1638"/>
      <c r="F9" s="1639"/>
      <c r="G9" s="1639"/>
      <c r="H9" s="184"/>
      <c r="I9" s="184"/>
      <c r="J9" s="184"/>
      <c r="K9" s="184"/>
      <c r="L9" s="184"/>
      <c r="M9" s="184"/>
      <c r="N9" s="184"/>
      <c r="O9" s="184"/>
      <c r="AW9" s="1035"/>
      <c r="AX9" s="1035"/>
      <c r="AY9" s="1035"/>
      <c r="AZ9" s="1035"/>
      <c r="BA9" s="1035"/>
      <c r="BB9" s="1035"/>
      <c r="BC9" s="1035"/>
      <c r="BD9" s="1035"/>
    </row>
    <row r="10" spans="2:61" ht="24.6">
      <c r="B10" s="183" t="s">
        <v>101</v>
      </c>
      <c r="C10" s="1536">
        <v>2022</v>
      </c>
      <c r="D10" s="1537"/>
      <c r="E10" s="250"/>
      <c r="F10" s="250"/>
      <c r="G10" s="184"/>
      <c r="H10" s="184"/>
      <c r="I10" s="184"/>
      <c r="J10" s="184"/>
      <c r="K10" s="184"/>
      <c r="L10" s="184"/>
      <c r="M10" s="184"/>
      <c r="N10" s="184"/>
      <c r="O10" s="184"/>
      <c r="AW10" s="1035"/>
      <c r="AX10" s="1035"/>
      <c r="AY10" s="1035"/>
      <c r="AZ10" s="1035"/>
      <c r="BA10" s="1035"/>
      <c r="BB10" s="1035"/>
      <c r="BC10" s="1035"/>
      <c r="BD10" s="1035"/>
    </row>
    <row r="11" spans="2:61">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1" ht="28.2"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2:61"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314</v>
      </c>
      <c r="AZ13" s="1552" t="s">
        <v>315</v>
      </c>
      <c r="BA13" s="1558" t="s">
        <v>119</v>
      </c>
      <c r="BB13" s="1558" t="s">
        <v>122</v>
      </c>
      <c r="BC13" s="1558" t="s">
        <v>123</v>
      </c>
      <c r="BD13" s="1558" t="s">
        <v>124</v>
      </c>
      <c r="BE13" s="1561" t="s">
        <v>21</v>
      </c>
      <c r="BF13" s="1561" t="s">
        <v>22</v>
      </c>
      <c r="BG13" s="1561" t="s">
        <v>23</v>
      </c>
      <c r="BH13" s="1561" t="s">
        <v>24</v>
      </c>
    </row>
    <row r="14" spans="2:61"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1" ht="13.2"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1" ht="244.2" customHeight="1">
      <c r="B16" s="154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0" t="str">
        <f>+'01-FR-03 POA INSTITUCIONAL'!C69</f>
        <v>4.4. Implementar el 100% de las acciones necesarias para la modernización de la gestión institucional a través de los procesos de apoyo, que permita una mejor prestación del servicio.</v>
      </c>
      <c r="D16" s="216" t="str">
        <f>+'01-FR-03 POA INSTITUCIONAL'!D69</f>
        <v>4.4.1 Atender el 100% de los servicios de mantenimiento, almacén, transporte. Aseo y cafetería</v>
      </c>
      <c r="E16" s="38">
        <f>+'01-FR-03 POA INSTITUCIONAL'!E69</f>
        <v>0.1</v>
      </c>
      <c r="F16" s="38">
        <f>+'01-FR-03 POA INSTITUCIONAL'!F69</f>
        <v>1</v>
      </c>
      <c r="G16" s="132">
        <f>+'01-FR-03 POA INSTITUCIONAL'!L69</f>
        <v>1</v>
      </c>
      <c r="H16" s="251">
        <f>+'01-FR-03 POA INSTITUCIONAL'!G69</f>
        <v>0.99199999999999999</v>
      </c>
      <c r="I16" s="47" t="str">
        <f>+'[6]POA Anualizado (Pág 1 de 3)'!H13</f>
        <v>Porcentaje de servicios atendidos</v>
      </c>
      <c r="J16" s="185" t="s">
        <v>440</v>
      </c>
      <c r="K16" s="252" t="s">
        <v>441</v>
      </c>
      <c r="L16" s="205" t="s">
        <v>449</v>
      </c>
      <c r="M16" s="205" t="s">
        <v>442</v>
      </c>
      <c r="N16" s="205" t="s">
        <v>450</v>
      </c>
      <c r="O16" s="253" t="str">
        <f>+'01-FR-03 POA INSTITUCIONAL'!J69</f>
        <v>Subdirección de Gestión Documental y Recursos Físicos
Dirección Administrativa y Financiera</v>
      </c>
      <c r="P16" s="286">
        <v>1</v>
      </c>
      <c r="Q16" s="286">
        <v>1</v>
      </c>
      <c r="R16" s="287">
        <v>1</v>
      </c>
      <c r="S16" s="286">
        <v>1</v>
      </c>
      <c r="T16" s="287">
        <v>1</v>
      </c>
      <c r="U16" s="286">
        <v>1</v>
      </c>
      <c r="V16" s="283">
        <f>AVERAGE(P16,R16,T16)</f>
        <v>1</v>
      </c>
      <c r="W16" s="283">
        <f>IFERROR(AVERAGE(Q16,S16,U16),0)</f>
        <v>1</v>
      </c>
      <c r="X16" s="287">
        <v>1</v>
      </c>
      <c r="Y16" s="287">
        <v>1</v>
      </c>
      <c r="Z16" s="287">
        <v>1</v>
      </c>
      <c r="AA16" s="287">
        <v>1</v>
      </c>
      <c r="AB16" s="287">
        <v>1</v>
      </c>
      <c r="AC16" s="287">
        <v>1</v>
      </c>
      <c r="AD16" s="283">
        <f>AVERAGE(X16,Z16,AB16)</f>
        <v>1</v>
      </c>
      <c r="AE16" s="283">
        <f>IFERROR(AVERAGE(Y16,AA16,AC16),0)</f>
        <v>1</v>
      </c>
      <c r="AF16" s="287">
        <v>1</v>
      </c>
      <c r="AG16" s="287">
        <v>1</v>
      </c>
      <c r="AH16" s="287">
        <v>1</v>
      </c>
      <c r="AI16" s="287">
        <v>1</v>
      </c>
      <c r="AJ16" s="287">
        <v>1</v>
      </c>
      <c r="AK16" s="287">
        <v>1</v>
      </c>
      <c r="AL16" s="283">
        <f>AVERAGE(AF16,AH16,AJ16)</f>
        <v>1</v>
      </c>
      <c r="AM16" s="283">
        <f>IFERROR(AVERAGE(AG16,AI16,AK16),0)</f>
        <v>1</v>
      </c>
      <c r="AN16" s="287">
        <v>1</v>
      </c>
      <c r="AO16" s="287">
        <v>1</v>
      </c>
      <c r="AP16" s="287">
        <v>1</v>
      </c>
      <c r="AQ16" s="959">
        <v>1</v>
      </c>
      <c r="AR16" s="287">
        <v>1</v>
      </c>
      <c r="AS16" s="287">
        <v>1</v>
      </c>
      <c r="AT16" s="283">
        <f>AVERAGE(AN16,AP16,AR16)</f>
        <v>1</v>
      </c>
      <c r="AU16" s="283">
        <f>IFERROR(AVERAGE(AO16,AQ16,AS16),0)</f>
        <v>1</v>
      </c>
      <c r="AV16" s="283">
        <f>AVERAGE(P16,R16,T16,X16,Z16,AB16,AF16,AH16,AJ16,AN16,AP16,AR16)</f>
        <v>1</v>
      </c>
      <c r="AW16" s="271">
        <f>IFERROR(IF(OR($AV$16="",$AV$16=0),0,ROUNDDOWN(AVERAGE($Q16,$S16,$U16),3)),0)</f>
        <v>1</v>
      </c>
      <c r="AX16" s="271">
        <f>IFERROR(IF(OR($AV$17="",$AV$17=0),0,ROUNDDOWN(AVERAGE($Q16,$S16,$U16,$Y16,$AA16,$AC16),3)),0)</f>
        <v>1</v>
      </c>
      <c r="AY16" s="271">
        <f>IFERROR(IF(OR($AV$17="",$AV$17=0),0,ROUNDDOWN(AVERAGE($Q16,$S16,$U16,$Y16,$AA16,$AC16,$AG16,$AI16,$AK16),3)),0)</f>
        <v>1</v>
      </c>
      <c r="AZ16" s="271">
        <f>IFERROR(IF(OR($AV$17="",$AV$17=0),0,ROUNDDOWN(AVERAGE($Q16,$S16,$U16,$Y16,$AA16,$AC16,$AG16,$AI16,$AK16,$AO16,$AQ16,$AS16),3)),0)</f>
        <v>1</v>
      </c>
      <c r="BA16" s="299">
        <f>(IF(AND(AW16&gt;0,$AV16&gt;0),AW16/$AV16,0))*0.25</f>
        <v>0.25</v>
      </c>
      <c r="BB16" s="299">
        <f>(IF(AND(AX16&gt;0,$AV16&gt;0),AX16/$AV16,0))*0.5</f>
        <v>0.5</v>
      </c>
      <c r="BC16" s="299">
        <f>(IF(AND(AY16&gt;0,$AV16&gt;0),AY16/$AV16,0))*0.75</f>
        <v>0.75</v>
      </c>
      <c r="BD16" s="299">
        <f>(IF(AND(AZ16&gt;0,$AV16&gt;0),AZ16/$AV16,0))*1</f>
        <v>1</v>
      </c>
      <c r="BE16" s="304">
        <f>((IF(AND(AW16&gt;0,$F16&gt;0),AW16/$F16,0))/4)*0.25</f>
        <v>6.25E-2</v>
      </c>
      <c r="BF16" s="904">
        <f>((IF(AND(AX16&gt;0,$F16&gt;0),AX16/$F16,0))/4)*0.5</f>
        <v>0.125</v>
      </c>
      <c r="BG16" s="904">
        <f>((IF(AND(AY16&gt;0,$F16&gt;0),AY16/$F16,0))/4)*0.75</f>
        <v>0.1875</v>
      </c>
      <c r="BH16" s="904">
        <f>((IF(AND(AZ16&gt;0,$F16&gt;0),AZ16/$F16,0))/4)</f>
        <v>0.25</v>
      </c>
      <c r="BI16" s="254"/>
    </row>
    <row r="17" spans="2:60" ht="60">
      <c r="B17" s="1582"/>
      <c r="C17" s="1582"/>
      <c r="D17" s="216" t="str">
        <f>+'01-FR-03 POA INSTITUCIONAL'!D70</f>
        <v>4.4.2 Ejecutar el 97% de las actividades del Plan Estratégico de Seguridad Vial (PESV)</v>
      </c>
      <c r="E17" s="38">
        <f>+'01-FR-03 POA INSTITUCIONAL'!E70</f>
        <v>0.1</v>
      </c>
      <c r="F17" s="38">
        <f>+'01-FR-03 POA INSTITUCIONAL'!F70</f>
        <v>0.97</v>
      </c>
      <c r="G17" s="132">
        <f>+'01-FR-03 POA INSTITUCIONAL'!L70</f>
        <v>0.97</v>
      </c>
      <c r="H17" s="251">
        <f>+'01-FR-03 POA INSTITUCIONAL'!G70</f>
        <v>0.96599999999999997</v>
      </c>
      <c r="I17" s="47" t="str">
        <f>+'[6]POA Anualizado (Pág 1 de 3)'!H14</f>
        <v>Porcentaje de actividades del PESV ejecutadas</v>
      </c>
      <c r="J17" s="255" t="s">
        <v>443</v>
      </c>
      <c r="K17" s="252" t="s">
        <v>444</v>
      </c>
      <c r="L17" s="205" t="s">
        <v>445</v>
      </c>
      <c r="M17" s="205" t="s">
        <v>446</v>
      </c>
      <c r="N17" s="205" t="s">
        <v>447</v>
      </c>
      <c r="O17" s="253" t="str">
        <f>+'01-FR-03 POA INSTITUCIONAL'!J70</f>
        <v>Subdirección de Gestión Documental y Recursos Físicos
Dirección Administrativa y Financiera</v>
      </c>
      <c r="P17" s="286">
        <v>0.97</v>
      </c>
      <c r="Q17" s="286">
        <v>1.111</v>
      </c>
      <c r="R17" s="286">
        <v>0.97</v>
      </c>
      <c r="S17" s="287">
        <v>1.1659999999999999</v>
      </c>
      <c r="T17" s="286">
        <v>0.97</v>
      </c>
      <c r="U17" s="287">
        <v>1</v>
      </c>
      <c r="V17" s="283">
        <f>AVERAGE(P17,R17,T17)</f>
        <v>0.97000000000000008</v>
      </c>
      <c r="W17" s="283">
        <f>IFERROR(AVERAGE(Q17,S17,U17),0)</f>
        <v>1.0923333333333334</v>
      </c>
      <c r="X17" s="286">
        <v>0.97</v>
      </c>
      <c r="Y17" s="287">
        <v>1</v>
      </c>
      <c r="Z17" s="286">
        <v>0.97</v>
      </c>
      <c r="AA17" s="287">
        <v>1.1419999999999999</v>
      </c>
      <c r="AB17" s="286">
        <v>0.97</v>
      </c>
      <c r="AC17" s="287">
        <v>1.1419999999999999</v>
      </c>
      <c r="AD17" s="283">
        <f>AVERAGE(X17,Z17,AB17)</f>
        <v>0.97000000000000008</v>
      </c>
      <c r="AE17" s="283">
        <f>IFERROR(AVERAGE(Y17,AA17,AC17),0)</f>
        <v>1.0946666666666667</v>
      </c>
      <c r="AF17" s="286">
        <v>0.97</v>
      </c>
      <c r="AG17" s="287">
        <v>1.4</v>
      </c>
      <c r="AH17" s="286">
        <v>0.97</v>
      </c>
      <c r="AI17" s="287">
        <v>1.333</v>
      </c>
      <c r="AJ17" s="286">
        <v>0.97</v>
      </c>
      <c r="AK17" s="287">
        <v>1.083</v>
      </c>
      <c r="AL17" s="283">
        <f>AVERAGE(AF17,AH17,AJ17)</f>
        <v>0.97000000000000008</v>
      </c>
      <c r="AM17" s="283">
        <f>IFERROR(AVERAGE(AG17,AI17,AK17),0)</f>
        <v>1.272</v>
      </c>
      <c r="AN17" s="286">
        <v>0.97</v>
      </c>
      <c r="AO17" s="287">
        <v>1</v>
      </c>
      <c r="AP17" s="286">
        <v>0.97</v>
      </c>
      <c r="AQ17" s="959">
        <v>1.2</v>
      </c>
      <c r="AR17" s="286">
        <v>0.97</v>
      </c>
      <c r="AS17" s="287">
        <v>1</v>
      </c>
      <c r="AT17" s="283">
        <f>AVERAGE(AN17,AP17,AR17)</f>
        <v>0.97000000000000008</v>
      </c>
      <c r="AU17" s="283">
        <f>IFERROR(AVERAGE(AO17,AQ17,AS17),0)</f>
        <v>1.0666666666666667</v>
      </c>
      <c r="AV17" s="283">
        <f>AVERAGE(P17,R17,T17,X17,Z17,AB17,AF17,AH17,AJ17,AN17,AP17,AR17)</f>
        <v>0.97000000000000008</v>
      </c>
      <c r="AW17" s="271">
        <f>IFERROR(IF(OR($AV$17="",$AV$17=0),0,ROUNDDOWN(AVERAGE($Q17,$S17,$U17),3)),0)</f>
        <v>1.0920000000000001</v>
      </c>
      <c r="AX17" s="271">
        <f>IFERROR(IF(OR($AV$17="",$AV$17=0),0,ROUNDDOWN(AVERAGE($Q17,$S17,$U17,$Y17,$AA17,$AC17),3)),0)</f>
        <v>1.093</v>
      </c>
      <c r="AY17" s="271">
        <f>IFERROR(IF(OR($AV$17="",$AV$17=0),0,ROUNDDOWN(AVERAGE($Q17,$S17,$U17,$Y17,$AA17,$AC17,$AG17,$AI17,$AK17),3)),0)</f>
        <v>1.153</v>
      </c>
      <c r="AZ17" s="271">
        <f>IFERROR(IF(OR($AV$17="",$AV$17=0),0,ROUNDDOWN(AVERAGE($Q17,$S17,$U17,$Y17,$AA17,$AC17,$AG17,$AI17,$AK17,$AO17,$AQ17,$AS17),3)),0)</f>
        <v>1.131</v>
      </c>
      <c r="BA17" s="299">
        <f>(IF(AND(AW17&gt;0,$AV17&gt;0),AW17/$AV17,0))*0.25</f>
        <v>0.28144329896907216</v>
      </c>
      <c r="BB17" s="299">
        <f>(IF(AND(AX17&gt;0,$AV17&gt;0),AX17/$AV17,0))*0.5</f>
        <v>0.56340206185566999</v>
      </c>
      <c r="BC17" s="299">
        <f>(IF(AND(AY17&gt;0,$AV17&gt;0),AY17/$AV17,0))*0.75</f>
        <v>0.89149484536082468</v>
      </c>
      <c r="BD17" s="307">
        <f>(IF(AND(AZ17&gt;0,$AV17&gt;0),AZ17/$AV17,0))*1</f>
        <v>1.1659793814432988</v>
      </c>
      <c r="BE17" s="304">
        <f>((IF(AND(AW17&gt;0,$F17&gt;0),AW17/$F17,0))*0.25)*0.25</f>
        <v>7.0360824742268055E-2</v>
      </c>
      <c r="BF17" s="904">
        <f>((IF(AND(AX17&gt;0,$F17&gt;0),AX17/$F17,0))/4)*0.5</f>
        <v>0.14085051546391752</v>
      </c>
      <c r="BG17" s="904">
        <f>((IF(AND(AY17&gt;0,$F17&gt;0),AY17/$F17,0))/4)*0.75</f>
        <v>0.22287371134020617</v>
      </c>
      <c r="BH17" s="904">
        <f>((IF(AND(AZ17&gt;0,$F17&gt;0),AZ17/$F17,0))/4)</f>
        <v>0.29149484536082476</v>
      </c>
    </row>
    <row r="18" spans="2:60" ht="22.8">
      <c r="B18" s="1504"/>
      <c r="C18" s="1505"/>
      <c r="D18" s="1505"/>
      <c r="E18" s="1505"/>
      <c r="F18" s="1505"/>
      <c r="G18" s="1505"/>
      <c r="H18" s="1505"/>
      <c r="I18" s="1505"/>
      <c r="J18" s="1505"/>
      <c r="K18" s="1505"/>
      <c r="L18" s="1505"/>
      <c r="M18" s="1505"/>
      <c r="N18" s="1505"/>
      <c r="O18" s="1505"/>
      <c r="P18" s="1505"/>
      <c r="Q18" s="1505"/>
      <c r="R18" s="1505"/>
      <c r="S18" s="1505"/>
      <c r="T18" s="1505"/>
      <c r="U18" s="1505"/>
      <c r="V18" s="1505"/>
      <c r="W18" s="1505"/>
      <c r="X18" s="1505"/>
      <c r="Y18" s="1505"/>
      <c r="Z18" s="1505"/>
      <c r="AA18" s="1505"/>
      <c r="AB18" s="1505"/>
      <c r="AC18" s="1505"/>
      <c r="AD18" s="1505"/>
      <c r="AE18" s="1505"/>
      <c r="AF18" s="1505"/>
      <c r="AG18" s="1505"/>
      <c r="AH18" s="1505"/>
      <c r="AI18" s="1505"/>
      <c r="AJ18" s="1505"/>
      <c r="AK18" s="1505"/>
      <c r="AL18" s="1505"/>
      <c r="AM18" s="1505"/>
      <c r="AN18" s="1505"/>
      <c r="AO18" s="1505"/>
      <c r="AP18" s="1505"/>
      <c r="AQ18" s="1505"/>
      <c r="AR18" s="1505"/>
      <c r="AS18" s="1505"/>
      <c r="AT18" s="1505"/>
      <c r="AU18" s="1505"/>
      <c r="AV18" s="1505"/>
      <c r="AW18" s="1583"/>
      <c r="AX18" s="1538" t="s">
        <v>19</v>
      </c>
      <c r="AY18" s="1581"/>
      <c r="AZ18" s="1581"/>
      <c r="BA18" s="1037">
        <f t="shared" ref="BA18:BD18" si="0">AVERAGE(BA16:BA17)</f>
        <v>0.26572164948453608</v>
      </c>
      <c r="BB18" s="1037">
        <f t="shared" si="0"/>
        <v>0.53170103092783494</v>
      </c>
      <c r="BC18" s="1037">
        <f t="shared" si="0"/>
        <v>0.82074742268041234</v>
      </c>
      <c r="BD18" s="1037">
        <f t="shared" si="0"/>
        <v>1.0829896907216494</v>
      </c>
      <c r="BE18" s="1595"/>
      <c r="BF18" s="1636"/>
      <c r="BG18" s="1636"/>
      <c r="BH18" s="1637"/>
    </row>
    <row r="19" spans="2:60">
      <c r="B19" s="1500"/>
      <c r="C19" s="1500"/>
      <c r="D19" s="1500"/>
      <c r="E19" s="1500"/>
      <c r="F19" s="1500"/>
      <c r="G19" s="1500"/>
      <c r="H19" s="208"/>
      <c r="I19" s="209"/>
      <c r="J19" s="209"/>
      <c r="K19" s="209"/>
      <c r="L19" s="209"/>
      <c r="M19" s="209"/>
      <c r="N19" s="209"/>
      <c r="O19" s="209"/>
    </row>
    <row r="20" spans="2:60">
      <c r="B20" s="209"/>
      <c r="C20" s="209"/>
      <c r="D20" s="1520"/>
      <c r="E20" s="1520"/>
      <c r="F20" s="1520"/>
      <c r="G20" s="1520"/>
      <c r="H20" s="1520"/>
      <c r="I20" s="1520"/>
      <c r="J20" s="1520"/>
      <c r="K20" s="1520"/>
      <c r="L20" s="1520"/>
      <c r="M20" s="1520"/>
      <c r="N20" s="1520"/>
      <c r="O20" s="1520"/>
    </row>
    <row r="21" spans="2:60" ht="15.6">
      <c r="B21" s="54" t="s">
        <v>26</v>
      </c>
      <c r="C21" s="210">
        <v>44224</v>
      </c>
      <c r="D21" s="211"/>
      <c r="E21" s="1510" t="s">
        <v>50</v>
      </c>
      <c r="F21" s="1032"/>
      <c r="G21" s="1511" t="s">
        <v>448</v>
      </c>
      <c r="H21" s="1511"/>
      <c r="I21" s="1511"/>
      <c r="J21" s="1511"/>
      <c r="K21" s="212"/>
      <c r="L21" s="1567"/>
      <c r="M21" s="1567"/>
      <c r="N21" s="1567"/>
      <c r="O21" s="1587"/>
    </row>
    <row r="22" spans="2:60" ht="15.6">
      <c r="B22" s="209"/>
      <c r="C22" s="209"/>
      <c r="D22" s="212"/>
      <c r="E22" s="1510"/>
      <c r="F22" s="1032"/>
      <c r="G22" s="1511"/>
      <c r="H22" s="1511"/>
      <c r="I22" s="1511"/>
      <c r="J22" s="1511"/>
      <c r="K22" s="209"/>
      <c r="L22" s="209"/>
      <c r="M22" s="209"/>
      <c r="N22" s="209"/>
      <c r="O22" s="209"/>
    </row>
    <row r="23" spans="2:60" ht="15.6">
      <c r="B23" s="54" t="s">
        <v>49</v>
      </c>
      <c r="C23" s="56">
        <v>44581</v>
      </c>
      <c r="D23" s="209"/>
      <c r="E23" s="209"/>
      <c r="F23" s="209"/>
      <c r="K23" s="209"/>
      <c r="L23" s="209"/>
      <c r="M23" s="209"/>
      <c r="N23" s="209"/>
      <c r="O23" s="209"/>
    </row>
    <row r="24" spans="2:60">
      <c r="B24" s="209"/>
      <c r="C24" s="209"/>
      <c r="D24" s="209"/>
      <c r="E24" s="209"/>
      <c r="F24" s="209"/>
      <c r="K24" s="209"/>
      <c r="L24" s="209"/>
      <c r="M24" s="209"/>
      <c r="N24" s="209"/>
      <c r="O24" s="209"/>
    </row>
    <row r="25" spans="2:60">
      <c r="B25" s="541" t="s">
        <v>916</v>
      </c>
      <c r="C25" s="209"/>
      <c r="D25" s="209"/>
      <c r="E25" s="209"/>
      <c r="F25" s="209"/>
      <c r="G25" s="208"/>
      <c r="H25" s="208"/>
      <c r="I25" s="1586"/>
      <c r="J25" s="1586"/>
      <c r="K25" s="1586"/>
      <c r="L25" s="1586"/>
      <c r="M25" s="1034"/>
      <c r="N25" s="1034"/>
      <c r="O25" s="1034"/>
    </row>
    <row r="26" spans="2:60">
      <c r="B26" s="209"/>
      <c r="C26" s="209"/>
      <c r="D26" s="209"/>
      <c r="E26" s="209"/>
      <c r="F26" s="209"/>
      <c r="G26" s="208"/>
      <c r="H26" s="208"/>
      <c r="I26" s="209"/>
      <c r="J26" s="209"/>
      <c r="K26" s="214"/>
      <c r="L26" s="209"/>
      <c r="M26" s="209"/>
      <c r="N26" s="209"/>
      <c r="O26" s="209"/>
    </row>
    <row r="27" spans="2:60">
      <c r="B27" s="209"/>
      <c r="C27" s="209"/>
      <c r="D27" s="209"/>
      <c r="E27" s="209"/>
      <c r="F27" s="209"/>
      <c r="G27" s="208"/>
      <c r="H27" s="208"/>
      <c r="I27" s="1586"/>
      <c r="J27" s="1586"/>
      <c r="K27" s="1586"/>
      <c r="L27" s="1586"/>
      <c r="M27" s="1034"/>
      <c r="N27" s="1034"/>
      <c r="O27" s="1034"/>
    </row>
    <row r="28" spans="2:60">
      <c r="B28" s="209"/>
      <c r="C28" s="209"/>
      <c r="D28" s="209"/>
      <c r="E28" s="209"/>
      <c r="F28" s="209"/>
      <c r="G28" s="208"/>
      <c r="H28" s="208"/>
      <c r="I28" s="209"/>
      <c r="J28" s="209"/>
      <c r="K28" s="214"/>
      <c r="L28" s="209"/>
      <c r="M28" s="209"/>
      <c r="N28" s="209"/>
      <c r="O28" s="209"/>
    </row>
    <row r="29" spans="2:60">
      <c r="B29" s="209"/>
      <c r="C29" s="209"/>
      <c r="D29" s="209"/>
      <c r="E29" s="209"/>
      <c r="F29" s="209"/>
      <c r="G29" s="208"/>
      <c r="H29" s="208"/>
      <c r="I29" s="1586"/>
      <c r="J29" s="1586"/>
      <c r="K29" s="1586"/>
      <c r="L29" s="1586"/>
      <c r="M29" s="1034"/>
      <c r="N29" s="1034"/>
      <c r="O29" s="1034"/>
    </row>
  </sheetData>
  <sheetProtection algorithmName="SHA-512" hashValue="lZJMbGWzOvbhCsI+kt2NsZU/YfXJAiDY2qlsLLXUsTUxHap3mVJAoPCtUEmC2D5t32+nmFv+wNv/yCd71QcStA==" saltValue="mF/3kiG3Z0bixG04r3Ib6A==" spinCount="100000" sheet="1" objects="1" scenarios="1"/>
  <mergeCells count="72">
    <mergeCell ref="I27:L27"/>
    <mergeCell ref="I29:L29"/>
    <mergeCell ref="B19:G19"/>
    <mergeCell ref="AX18:AZ18"/>
    <mergeCell ref="D20:O20"/>
    <mergeCell ref="E21:E22"/>
    <mergeCell ref="G21:J22"/>
    <mergeCell ref="L21:O21"/>
    <mergeCell ref="I25:L25"/>
    <mergeCell ref="B18:AW18"/>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92D050"/>
  </sheetPr>
  <dimension ref="B1:BH30"/>
  <sheetViews>
    <sheetView showGridLines="0" zoomScale="70" zoomScaleNormal="70"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6" width="27.5546875" style="105" customWidth="1"/>
    <col min="7" max="7" width="27" style="106" customWidth="1"/>
    <col min="8" max="8" width="23.88671875" style="106" customWidth="1"/>
    <col min="9" max="9" width="44" style="105" customWidth="1"/>
    <col min="10" max="10" width="31.88671875" style="105" customWidth="1"/>
    <col min="11" max="11" width="55.88671875" style="105" customWidth="1"/>
    <col min="12" max="12" width="33.5546875" style="105" customWidth="1"/>
    <col min="13" max="13" width="49.44140625" style="105" customWidth="1"/>
    <col min="14"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0" ht="15.6" thickBot="1"/>
    <row r="2" spans="2:60" ht="15.6">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5.6">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1">
      <c r="B8" s="183" t="s">
        <v>45</v>
      </c>
      <c r="C8" s="1594" t="s">
        <v>93</v>
      </c>
      <c r="D8" s="1594"/>
      <c r="E8" s="184"/>
      <c r="F8" s="184"/>
      <c r="G8" s="184"/>
      <c r="H8" s="184"/>
      <c r="I8" s="184"/>
      <c r="J8" s="184"/>
      <c r="K8" s="184"/>
      <c r="L8" s="184"/>
      <c r="M8" s="184"/>
      <c r="N8" s="184"/>
      <c r="O8" s="184"/>
      <c r="AW8" s="1035"/>
      <c r="AX8" s="1035"/>
      <c r="AY8" s="1035"/>
      <c r="AZ8" s="1035"/>
      <c r="BA8" s="1035"/>
      <c r="BB8" s="1035"/>
      <c r="BC8" s="1035"/>
      <c r="BD8" s="1035"/>
    </row>
    <row r="9" spans="2:60" ht="73.5" customHeight="1">
      <c r="B9" s="183" t="s">
        <v>34</v>
      </c>
      <c r="C9" s="1534" t="s">
        <v>469</v>
      </c>
      <c r="D9" s="1535"/>
      <c r="E9" s="184"/>
      <c r="F9" s="184"/>
      <c r="G9" s="184"/>
      <c r="H9" s="184"/>
      <c r="I9" s="184"/>
      <c r="J9" s="184"/>
      <c r="K9" s="184"/>
      <c r="L9" s="184"/>
      <c r="M9" s="184"/>
      <c r="N9" s="184"/>
      <c r="O9" s="184"/>
      <c r="AW9" s="1035"/>
      <c r="AX9" s="1035"/>
      <c r="AY9" s="1035"/>
      <c r="AZ9" s="1035"/>
      <c r="BA9" s="1035"/>
      <c r="BB9" s="1035"/>
      <c r="BC9" s="1035"/>
      <c r="BD9" s="1035"/>
    </row>
    <row r="10" spans="2:60"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15.6"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2:60"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13.2"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0" ht="159" customHeight="1">
      <c r="B16" s="147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77" t="str">
        <f>+'01-FR-03 POA INSTITUCIONAL'!C69</f>
        <v>4.4. Implementar el 100% de las acciones necesarias para la modernización de la gestión institucional a través de los procesos de apoyo, que permita una mejor prestación del servicio.</v>
      </c>
      <c r="D16" s="194" t="str">
        <f>+'01-FR-03 POA INSTITUCIONAL'!D71</f>
        <v>4.4.3 Ejecutar el 95% del presupuesto aprobado para la Entidad</v>
      </c>
      <c r="E16" s="1014">
        <f>+'01-FR-03 POA INSTITUCIONAL'!E71</f>
        <v>7.0000000000000007E-2</v>
      </c>
      <c r="F16" s="1014">
        <f>+'01-FR-03 POA INSTITUCIONAL'!F71</f>
        <v>0.95</v>
      </c>
      <c r="G16" s="1014">
        <f>+'01-FR-03 POA INSTITUCIONAL'!L71</f>
        <v>0.95</v>
      </c>
      <c r="H16" s="1030" t="str">
        <f>+'01-FR-03 POA INSTITUCIONAL'!G71</f>
        <v>S.I.</v>
      </c>
      <c r="I16" s="1030" t="str">
        <f>+'01-FR-03 POA INSTITUCIONAL'!H71</f>
        <v>Porcentaje del presupuesto aprobado y ejecutado.</v>
      </c>
      <c r="J16" s="256" t="s">
        <v>470</v>
      </c>
      <c r="K16" s="244" t="s">
        <v>471</v>
      </c>
      <c r="L16" s="187" t="s">
        <v>472</v>
      </c>
      <c r="M16" s="205" t="s">
        <v>484</v>
      </c>
      <c r="N16" s="187" t="s">
        <v>473</v>
      </c>
      <c r="O16" s="257" t="str">
        <f>+'01-FR-03 POA INSTITUCIONAL'!J71</f>
        <v>Subdirección de Gestión Financiera
Dirección Administrativa y Financiera</v>
      </c>
      <c r="P16" s="838">
        <v>7.0000000000000007E-2</v>
      </c>
      <c r="Q16" s="838">
        <v>0.15</v>
      </c>
      <c r="R16" s="838">
        <v>7.0000000000000007E-2</v>
      </c>
      <c r="S16" s="838">
        <v>5.3999999999999999E-2</v>
      </c>
      <c r="T16" s="838">
        <v>0.08</v>
      </c>
      <c r="U16" s="838">
        <v>6.7000000000000004E-2</v>
      </c>
      <c r="V16" s="283">
        <f>P16+R16+T16</f>
        <v>0.22000000000000003</v>
      </c>
      <c r="W16" s="283">
        <f>Q16+S16+U16</f>
        <v>0.27100000000000002</v>
      </c>
      <c r="X16" s="838">
        <v>0.08</v>
      </c>
      <c r="Y16" s="838">
        <v>6.4000000000000001E-2</v>
      </c>
      <c r="Z16" s="838">
        <v>0.08</v>
      </c>
      <c r="AA16" s="838">
        <v>5.8999999999999997E-2</v>
      </c>
      <c r="AB16" s="838">
        <v>0.09</v>
      </c>
      <c r="AC16" s="838">
        <v>0.11600000000000001</v>
      </c>
      <c r="AD16" s="283">
        <f>X16+Z16+AB16</f>
        <v>0.25</v>
      </c>
      <c r="AE16" s="283">
        <f>Y16+AA16+AC16</f>
        <v>0.23899999999999999</v>
      </c>
      <c r="AF16" s="838">
        <v>0.08</v>
      </c>
      <c r="AG16" s="838">
        <v>7.2999999999999995E-2</v>
      </c>
      <c r="AH16" s="838">
        <v>0.08</v>
      </c>
      <c r="AI16" s="838">
        <v>6.4000000000000001E-2</v>
      </c>
      <c r="AJ16" s="851">
        <v>0.09</v>
      </c>
      <c r="AK16" s="851">
        <v>7.9000000000000001E-2</v>
      </c>
      <c r="AL16" s="283">
        <f>AF16+AH16+AJ16</f>
        <v>0.25</v>
      </c>
      <c r="AM16" s="283">
        <f>AG16+AI16+AK16</f>
        <v>0.21600000000000003</v>
      </c>
      <c r="AN16" s="838">
        <v>0.08</v>
      </c>
      <c r="AO16" s="838">
        <v>5.5E-2</v>
      </c>
      <c r="AP16" s="838">
        <v>0.08</v>
      </c>
      <c r="AQ16" s="838">
        <v>6.8000000000000005E-2</v>
      </c>
      <c r="AR16" s="838">
        <v>7.0000000000000007E-2</v>
      </c>
      <c r="AS16" s="838">
        <v>0.16400000000000001</v>
      </c>
      <c r="AT16" s="283">
        <f>AN16+AP16+AR16</f>
        <v>0.23</v>
      </c>
      <c r="AU16" s="283">
        <f>AO16+AQ16+AS16</f>
        <v>0.28700000000000003</v>
      </c>
      <c r="AV16" s="283">
        <f>V16+AD16+AL16+AT16</f>
        <v>0.95</v>
      </c>
      <c r="AW16" s="271">
        <f>+W16</f>
        <v>0.27100000000000002</v>
      </c>
      <c r="AX16" s="271">
        <f>+W16+AE16</f>
        <v>0.51</v>
      </c>
      <c r="AY16" s="271">
        <f>+W16+AE16+AM16</f>
        <v>0.72599999999999998</v>
      </c>
      <c r="AZ16" s="271">
        <f>+W16+AE16+AM16+AU16</f>
        <v>1.0129999999999999</v>
      </c>
      <c r="BA16" s="306">
        <f>IF(AND(AW16&gt;0,$AV16&gt;0),AW16/$AV16,0)</f>
        <v>0.28526315789473689</v>
      </c>
      <c r="BB16" s="299">
        <f t="shared" ref="BB16:BD16" si="0">IF(AND(AX16&gt;0,$AV16&gt;0),AX16/$AV16,0)</f>
        <v>0.5368421052631579</v>
      </c>
      <c r="BC16" s="299">
        <f t="shared" si="0"/>
        <v>0.76421052631578945</v>
      </c>
      <c r="BD16" s="299">
        <f t="shared" si="0"/>
        <v>1.0663157894736841</v>
      </c>
      <c r="BE16" s="304">
        <f>((IF(AND(AW16&gt;0,$F16&gt;0),AW16/$F16,0))/4)</f>
        <v>7.1315789473684221E-2</v>
      </c>
      <c r="BF16" s="304">
        <f>((IF(AND(AX16&gt;0,$F16&gt;0),AX16/$F16,0))/4)</f>
        <v>0.13421052631578947</v>
      </c>
      <c r="BG16" s="304">
        <f>((IF(AND(AY16&gt;0,$F16&gt;0),AY16/$F16,0))/4)</f>
        <v>0.19105263157894736</v>
      </c>
      <c r="BH16" s="304">
        <f>((IF(AND(AZ16&gt;0,$F16&gt;0),AZ16/$F16,0))/4)</f>
        <v>0.26657894736842103</v>
      </c>
    </row>
    <row r="17" spans="2:60" ht="118.95" customHeight="1">
      <c r="B17" s="1478"/>
      <c r="C17" s="1478"/>
      <c r="D17" s="194" t="str">
        <f>+'01-FR-03 POA INSTITUCIONAL'!D72</f>
        <v>4.4.4 Programar y ejecutar el 95% de los compromisos de pago adquiridos por la Entidad</v>
      </c>
      <c r="E17" s="1014">
        <f>+'01-FR-03 POA INSTITUCIONAL'!E72</f>
        <v>7.0000000000000007E-2</v>
      </c>
      <c r="F17" s="1014">
        <f>+'01-FR-03 POA INSTITUCIONAL'!F72</f>
        <v>0.95</v>
      </c>
      <c r="G17" s="1014">
        <f>+'01-FR-03 POA INSTITUCIONAL'!L72</f>
        <v>0.95</v>
      </c>
      <c r="H17" s="1030" t="str">
        <f>+'01-FR-03 POA INSTITUCIONAL'!G72</f>
        <v>S.I.</v>
      </c>
      <c r="I17" s="1030" t="str">
        <f>+'01-FR-03 POA INSTITUCIONAL'!H72</f>
        <v>Porcentaje de los compromisos de pago programados y ejecutados.</v>
      </c>
      <c r="J17" s="256" t="s">
        <v>474</v>
      </c>
      <c r="K17" s="244" t="s">
        <v>475</v>
      </c>
      <c r="L17" s="187" t="s">
        <v>476</v>
      </c>
      <c r="M17" s="205" t="s">
        <v>482</v>
      </c>
      <c r="N17" s="187" t="s">
        <v>477</v>
      </c>
      <c r="O17" s="257" t="str">
        <f>+'01-FR-03 POA INSTITUCIONAL'!J72</f>
        <v>Subdirección de Gestión Financiera
Dirección Administrativa y Financiera</v>
      </c>
      <c r="P17" s="843">
        <v>0.03</v>
      </c>
      <c r="Q17" s="843">
        <v>7.7000000000000002E-3</v>
      </c>
      <c r="R17" s="843">
        <v>0.05</v>
      </c>
      <c r="S17" s="843">
        <v>5.3800000000000001E-2</v>
      </c>
      <c r="T17" s="843">
        <v>0.06</v>
      </c>
      <c r="U17" s="843">
        <v>7.0099999999999996E-2</v>
      </c>
      <c r="V17" s="284">
        <f t="shared" ref="V17:W18" si="1">P17+R17+T17</f>
        <v>0.14000000000000001</v>
      </c>
      <c r="W17" s="284">
        <f t="shared" si="1"/>
        <v>0.13159999999999999</v>
      </c>
      <c r="X17" s="843">
        <v>7.0000000000000007E-2</v>
      </c>
      <c r="Y17" s="907">
        <v>7.1199999999999999E-2</v>
      </c>
      <c r="Z17" s="843">
        <v>0.08</v>
      </c>
      <c r="AA17" s="843">
        <v>9.5899999999999999E-2</v>
      </c>
      <c r="AB17" s="843">
        <v>0.1</v>
      </c>
      <c r="AC17" s="972">
        <v>0.1115</v>
      </c>
      <c r="AD17" s="284">
        <f t="shared" ref="AD17:AE18" si="2">X17+Z17+AB17</f>
        <v>0.25</v>
      </c>
      <c r="AE17" s="284">
        <f t="shared" si="2"/>
        <v>0.27860000000000001</v>
      </c>
      <c r="AF17" s="843">
        <v>7.0000000000000007E-2</v>
      </c>
      <c r="AG17" s="843">
        <v>7.5899999999999995E-2</v>
      </c>
      <c r="AH17" s="843">
        <v>0.08</v>
      </c>
      <c r="AI17" s="843">
        <v>8.3430000000000004E-2</v>
      </c>
      <c r="AJ17" s="843">
        <v>0.08</v>
      </c>
      <c r="AK17" s="843">
        <v>7.1099999999999997E-2</v>
      </c>
      <c r="AL17" s="284">
        <f t="shared" ref="AL17:AM18" si="3">AF17+AH17+AJ17</f>
        <v>0.23000000000000004</v>
      </c>
      <c r="AM17" s="284">
        <f t="shared" si="3"/>
        <v>0.23043</v>
      </c>
      <c r="AN17" s="843">
        <v>0.08</v>
      </c>
      <c r="AO17" s="843">
        <v>0.10974</v>
      </c>
      <c r="AP17" s="843">
        <v>0.09</v>
      </c>
      <c r="AQ17" s="961">
        <v>9.4331694283742898E-2</v>
      </c>
      <c r="AR17" s="843">
        <v>0.16</v>
      </c>
      <c r="AS17" s="961">
        <v>0.18079000000000001</v>
      </c>
      <c r="AT17" s="284">
        <f t="shared" ref="AT17:AU18" si="4">AN17+AP17+AR17</f>
        <v>0.32999999999999996</v>
      </c>
      <c r="AU17" s="284">
        <f t="shared" si="4"/>
        <v>0.38486169428374289</v>
      </c>
      <c r="AV17" s="284">
        <f t="shared" ref="AV17:AV18" si="5">V17+AD17+AL17+AT17</f>
        <v>0.95000000000000007</v>
      </c>
      <c r="AW17" s="288">
        <f t="shared" ref="AW17:AW18" si="6">+W17</f>
        <v>0.13159999999999999</v>
      </c>
      <c r="AX17" s="288">
        <f t="shared" ref="AX17:AX18" si="7">+W17+AE17</f>
        <v>0.41020000000000001</v>
      </c>
      <c r="AY17" s="288">
        <f t="shared" ref="AY17:AY18" si="8">+W17+AE17+AM17</f>
        <v>0.64063000000000003</v>
      </c>
      <c r="AZ17" s="288">
        <f>+W17+AE17+AM17+AU17</f>
        <v>1.0254916942837429</v>
      </c>
      <c r="BA17" s="308">
        <f t="shared" ref="BA17:BA18" si="9">IF(AND(AW17&gt;0,$AV17&gt;0),AW17/$AV17,0)</f>
        <v>0.13852631578947366</v>
      </c>
      <c r="BB17" s="309">
        <f t="shared" ref="BB17:BB18" si="10">IF(AND(AX17&gt;0,$AV17&gt;0),AX17/$AV17,0)</f>
        <v>0.4317894736842105</v>
      </c>
      <c r="BC17" s="336">
        <f t="shared" ref="BC17:BC18" si="11">IF(AND(AY17&gt;0,$AV17&gt;0),AY17/$AV17,0)</f>
        <v>0.67434736842105258</v>
      </c>
      <c r="BD17" s="336">
        <f t="shared" ref="BD17:BD18" si="12">IF(AND(AZ17&gt;0,$AV17&gt;0),AZ17/$AV17,0)</f>
        <v>1.0794649413513082</v>
      </c>
      <c r="BE17" s="304">
        <f>((IF(AND(AW17&gt;0,$F17&gt;0),AW17/$F17,0))/4)</f>
        <v>3.4631578947368423E-2</v>
      </c>
      <c r="BF17" s="304">
        <f t="shared" ref="BF17:BH18" si="13">((IF(AND(AX17&gt;0,$F17&gt;0),AX17/$F17,0))/4)</f>
        <v>0.10794736842105264</v>
      </c>
      <c r="BG17" s="304">
        <f t="shared" si="13"/>
        <v>0.16858684210526317</v>
      </c>
      <c r="BH17" s="304">
        <f t="shared" si="13"/>
        <v>0.26986623533782711</v>
      </c>
    </row>
    <row r="18" spans="2:60" ht="120.6" customHeight="1">
      <c r="B18" s="1478"/>
      <c r="C18" s="1478"/>
      <c r="D18" s="194" t="str">
        <f>+'01-FR-03 POA INSTITUCIONAL'!D73</f>
        <v>4.4.5 Elaborar y presentar el 100% de los estados financieros de la Entidad</v>
      </c>
      <c r="E18" s="1014">
        <f>+'01-FR-03 POA INSTITUCIONAL'!E73</f>
        <v>0.06</v>
      </c>
      <c r="F18" s="1014">
        <f>+'01-FR-03 POA INSTITUCIONAL'!F73</f>
        <v>1</v>
      </c>
      <c r="G18" s="1014">
        <f>+'01-FR-03 POA INSTITUCIONAL'!L73</f>
        <v>1</v>
      </c>
      <c r="H18" s="1030" t="str">
        <f>+'01-FR-03 POA INSTITUCIONAL'!G73</f>
        <v>S.I.</v>
      </c>
      <c r="I18" s="1030" t="str">
        <f>+'01-FR-03 POA INSTITUCIONAL'!H73</f>
        <v>Porcentaje de estados financieros de la Entidad elaborados y presentados.</v>
      </c>
      <c r="J18" s="256" t="s">
        <v>478</v>
      </c>
      <c r="K18" s="244" t="s">
        <v>479</v>
      </c>
      <c r="L18" s="187" t="s">
        <v>480</v>
      </c>
      <c r="M18" s="205" t="s">
        <v>483</v>
      </c>
      <c r="N18" s="187" t="s">
        <v>481</v>
      </c>
      <c r="O18" s="257" t="str">
        <f>+'01-FR-03 POA INSTITUCIONAL'!J73</f>
        <v>Subdirección de Gestión Financiera
Dirección Administrativa y Financiera</v>
      </c>
      <c r="P18" s="838">
        <v>0.08</v>
      </c>
      <c r="Q18" s="838">
        <v>0.08</v>
      </c>
      <c r="R18" s="838">
        <v>0.08</v>
      </c>
      <c r="S18" s="838">
        <v>0.08</v>
      </c>
      <c r="T18" s="838">
        <v>0.09</v>
      </c>
      <c r="U18" s="828">
        <v>0.09</v>
      </c>
      <c r="V18" s="283">
        <f t="shared" si="1"/>
        <v>0.25</v>
      </c>
      <c r="W18" s="283">
        <f t="shared" si="1"/>
        <v>0.25</v>
      </c>
      <c r="X18" s="838">
        <v>0.08</v>
      </c>
      <c r="Y18" s="838">
        <v>0.08</v>
      </c>
      <c r="Z18" s="838">
        <v>0.08</v>
      </c>
      <c r="AA18" s="838">
        <v>0.08</v>
      </c>
      <c r="AB18" s="838">
        <v>0.09</v>
      </c>
      <c r="AC18" s="828">
        <v>0.09</v>
      </c>
      <c r="AD18" s="283">
        <f t="shared" si="2"/>
        <v>0.25</v>
      </c>
      <c r="AE18" s="283">
        <f t="shared" si="2"/>
        <v>0.25</v>
      </c>
      <c r="AF18" s="838">
        <v>0.08</v>
      </c>
      <c r="AG18" s="838">
        <v>0.08</v>
      </c>
      <c r="AH18" s="838">
        <v>0.08</v>
      </c>
      <c r="AI18" s="838">
        <v>0.08</v>
      </c>
      <c r="AJ18" s="838">
        <v>0.09</v>
      </c>
      <c r="AK18" s="843">
        <v>0.09</v>
      </c>
      <c r="AL18" s="283">
        <f t="shared" si="3"/>
        <v>0.25</v>
      </c>
      <c r="AM18" s="283">
        <f t="shared" si="3"/>
        <v>0.25</v>
      </c>
      <c r="AN18" s="838">
        <v>0.08</v>
      </c>
      <c r="AO18" s="838">
        <v>0.08</v>
      </c>
      <c r="AP18" s="838">
        <v>0.08</v>
      </c>
      <c r="AQ18" s="838">
        <v>0.08</v>
      </c>
      <c r="AR18" s="838">
        <v>0.09</v>
      </c>
      <c r="AS18" s="828">
        <v>0.09</v>
      </c>
      <c r="AT18" s="283">
        <f t="shared" si="4"/>
        <v>0.25</v>
      </c>
      <c r="AU18" s="283">
        <f t="shared" si="4"/>
        <v>0.25</v>
      </c>
      <c r="AV18" s="283">
        <f t="shared" si="5"/>
        <v>1</v>
      </c>
      <c r="AW18" s="271">
        <f t="shared" si="6"/>
        <v>0.25</v>
      </c>
      <c r="AX18" s="271">
        <f t="shared" si="7"/>
        <v>0.5</v>
      </c>
      <c r="AY18" s="271">
        <f t="shared" si="8"/>
        <v>0.75</v>
      </c>
      <c r="AZ18" s="271">
        <f t="shared" ref="AZ18" si="14">+W18+AE18+AM18+AU18</f>
        <v>1</v>
      </c>
      <c r="BA18" s="306">
        <f t="shared" si="9"/>
        <v>0.25</v>
      </c>
      <c r="BB18" s="307">
        <f t="shared" si="10"/>
        <v>0.5</v>
      </c>
      <c r="BC18" s="299">
        <f t="shared" si="11"/>
        <v>0.75</v>
      </c>
      <c r="BD18" s="299">
        <f t="shared" si="12"/>
        <v>1</v>
      </c>
      <c r="BE18" s="304">
        <f>((IF(AND(AW18&gt;0,$F18&gt;0),AW18/$F18,0))/4)</f>
        <v>6.25E-2</v>
      </c>
      <c r="BF18" s="304">
        <f t="shared" si="13"/>
        <v>0.125</v>
      </c>
      <c r="BG18" s="304">
        <f t="shared" si="13"/>
        <v>0.1875</v>
      </c>
      <c r="BH18" s="304">
        <f t="shared" si="13"/>
        <v>0.25</v>
      </c>
    </row>
    <row r="19" spans="2:60" ht="22.8">
      <c r="B19" s="1504"/>
      <c r="C19" s="1505"/>
      <c r="D19" s="1505"/>
      <c r="E19" s="1505"/>
      <c r="F19" s="1505"/>
      <c r="G19" s="1505"/>
      <c r="H19" s="1505"/>
      <c r="I19" s="1505"/>
      <c r="J19" s="1505"/>
      <c r="K19" s="1505"/>
      <c r="L19" s="1505"/>
      <c r="M19" s="1505"/>
      <c r="N19" s="1505"/>
      <c r="O19" s="1505"/>
      <c r="P19" s="1505"/>
      <c r="Q19" s="1505"/>
      <c r="R19" s="1505"/>
      <c r="S19" s="1505"/>
      <c r="T19" s="1505"/>
      <c r="U19" s="1505"/>
      <c r="V19" s="1505"/>
      <c r="W19" s="1505"/>
      <c r="X19" s="1505"/>
      <c r="Y19" s="1505"/>
      <c r="Z19" s="1505"/>
      <c r="AA19" s="1505"/>
      <c r="AB19" s="1505"/>
      <c r="AC19" s="1505"/>
      <c r="AD19" s="1505"/>
      <c r="AE19" s="1505"/>
      <c r="AF19" s="1505"/>
      <c r="AG19" s="1505"/>
      <c r="AH19" s="1505"/>
      <c r="AI19" s="1505"/>
      <c r="AJ19" s="1505"/>
      <c r="AK19" s="1505"/>
      <c r="AL19" s="1505"/>
      <c r="AM19" s="1505"/>
      <c r="AN19" s="1505"/>
      <c r="AO19" s="1505"/>
      <c r="AP19" s="1505"/>
      <c r="AQ19" s="1505"/>
      <c r="AR19" s="1505"/>
      <c r="AS19" s="1505"/>
      <c r="AT19" s="1505"/>
      <c r="AU19" s="1505"/>
      <c r="AV19" s="1505"/>
      <c r="AW19" s="1583"/>
      <c r="AX19" s="1538" t="s">
        <v>19</v>
      </c>
      <c r="AY19" s="1581"/>
      <c r="AZ19" s="1581"/>
      <c r="BA19" s="1037">
        <f t="shared" ref="BA19:BD19" si="15">AVERAGE(BA16:BA18)</f>
        <v>0.22459649122807016</v>
      </c>
      <c r="BB19" s="1037">
        <f t="shared" si="15"/>
        <v>0.48954385964912284</v>
      </c>
      <c r="BC19" s="1037">
        <f t="shared" si="15"/>
        <v>0.72951929824561412</v>
      </c>
      <c r="BD19" s="1037">
        <f t="shared" si="15"/>
        <v>1.0485935769416641</v>
      </c>
      <c r="BE19" s="1595"/>
      <c r="BF19" s="1596"/>
      <c r="BG19" s="1596"/>
      <c r="BH19" s="1597"/>
    </row>
    <row r="20" spans="2:60">
      <c r="B20" s="1500"/>
      <c r="C20" s="1500"/>
      <c r="D20" s="1500"/>
      <c r="E20" s="1500"/>
      <c r="F20" s="1500"/>
      <c r="G20" s="1500"/>
      <c r="H20" s="208"/>
      <c r="I20" s="209"/>
      <c r="J20" s="209"/>
      <c r="K20" s="209"/>
      <c r="L20" s="209"/>
      <c r="M20" s="209"/>
      <c r="N20" s="209"/>
      <c r="O20" s="209"/>
    </row>
    <row r="21" spans="2:60">
      <c r="B21" s="209"/>
      <c r="C21" s="209"/>
      <c r="D21" s="1520"/>
      <c r="E21" s="1520"/>
      <c r="F21" s="1520"/>
      <c r="G21" s="1520"/>
      <c r="H21" s="1520"/>
      <c r="I21" s="1520"/>
      <c r="J21" s="1520"/>
      <c r="K21" s="1520"/>
      <c r="L21" s="1520"/>
      <c r="M21" s="1520"/>
      <c r="N21" s="1520"/>
      <c r="O21" s="1520"/>
    </row>
    <row r="22" spans="2:60" ht="15.6" customHeight="1">
      <c r="B22" s="54" t="s">
        <v>26</v>
      </c>
      <c r="C22" s="210">
        <v>44224</v>
      </c>
      <c r="D22" s="211"/>
      <c r="E22" s="1510" t="s">
        <v>50</v>
      </c>
      <c r="F22" s="1640" t="s">
        <v>1189</v>
      </c>
      <c r="G22" s="1641"/>
      <c r="H22" s="1641"/>
      <c r="I22" s="1641"/>
      <c r="J22" s="1642"/>
      <c r="K22" s="212"/>
      <c r="L22" s="1567"/>
      <c r="M22" s="1567"/>
      <c r="N22" s="1567"/>
      <c r="O22" s="1587"/>
    </row>
    <row r="23" spans="2:60" ht="15.6">
      <c r="B23" s="209"/>
      <c r="C23" s="209"/>
      <c r="D23" s="212"/>
      <c r="E23" s="1510"/>
      <c r="F23" s="1643"/>
      <c r="G23" s="1644"/>
      <c r="H23" s="1644"/>
      <c r="I23" s="1644"/>
      <c r="J23" s="1645"/>
      <c r="K23" s="209"/>
      <c r="L23" s="209"/>
      <c r="M23" s="209"/>
      <c r="N23" s="209"/>
      <c r="O23" s="209"/>
    </row>
    <row r="24" spans="2:60" ht="15.6">
      <c r="B24" s="54" t="s">
        <v>49</v>
      </c>
      <c r="C24" s="56">
        <v>44581</v>
      </c>
      <c r="D24" s="209"/>
      <c r="E24" s="209"/>
      <c r="F24" s="209"/>
      <c r="K24" s="209"/>
      <c r="L24" s="209"/>
      <c r="M24" s="209"/>
      <c r="N24" s="209"/>
      <c r="O24" s="209"/>
    </row>
    <row r="25" spans="2:60">
      <c r="B25" s="209"/>
      <c r="C25" s="209"/>
      <c r="D25" s="209"/>
      <c r="E25" s="209"/>
      <c r="F25" s="209"/>
      <c r="K25" s="209"/>
      <c r="L25" s="209"/>
      <c r="M25" s="209"/>
      <c r="N25" s="209"/>
      <c r="O25" s="209"/>
    </row>
    <row r="26" spans="2:60">
      <c r="B26" s="541" t="s">
        <v>916</v>
      </c>
      <c r="C26" s="209"/>
      <c r="D26" s="209"/>
      <c r="E26" s="209"/>
      <c r="F26" s="209"/>
      <c r="G26" s="208"/>
      <c r="H26" s="208"/>
      <c r="I26" s="1586"/>
      <c r="J26" s="1586"/>
      <c r="K26" s="1586"/>
      <c r="L26" s="1586"/>
      <c r="M26" s="1034"/>
      <c r="N26" s="1034"/>
      <c r="O26" s="1034"/>
    </row>
    <row r="27" spans="2:60">
      <c r="B27" s="209"/>
      <c r="C27" s="209"/>
      <c r="D27" s="209"/>
      <c r="E27" s="209"/>
      <c r="F27" s="209"/>
      <c r="G27" s="208"/>
      <c r="H27" s="208"/>
      <c r="I27" s="209"/>
      <c r="J27" s="209"/>
      <c r="K27" s="214"/>
      <c r="L27" s="209"/>
      <c r="M27" s="209"/>
      <c r="N27" s="209"/>
      <c r="O27" s="209"/>
    </row>
    <row r="28" spans="2:60">
      <c r="B28" s="209"/>
      <c r="C28" s="209"/>
      <c r="D28" s="209"/>
      <c r="E28" s="209"/>
      <c r="F28" s="209"/>
      <c r="G28" s="208"/>
      <c r="H28" s="208"/>
      <c r="I28" s="1586"/>
      <c r="J28" s="1586"/>
      <c r="K28" s="1586"/>
      <c r="L28" s="1586"/>
      <c r="M28" s="1034"/>
      <c r="N28" s="1034"/>
      <c r="O28" s="1034"/>
    </row>
    <row r="29" spans="2:60">
      <c r="B29" s="209"/>
      <c r="C29" s="209"/>
      <c r="D29" s="209"/>
      <c r="E29" s="209"/>
      <c r="F29" s="209"/>
      <c r="G29" s="208"/>
      <c r="H29" s="208"/>
      <c r="I29" s="209"/>
      <c r="J29" s="209"/>
      <c r="K29" s="214"/>
      <c r="L29" s="209"/>
      <c r="M29" s="209"/>
      <c r="N29" s="209"/>
      <c r="O29" s="209"/>
    </row>
    <row r="30" spans="2:60">
      <c r="B30" s="209"/>
      <c r="C30" s="209"/>
      <c r="D30" s="209"/>
      <c r="E30" s="209"/>
      <c r="F30" s="209"/>
      <c r="G30" s="208"/>
      <c r="H30" s="208"/>
      <c r="I30" s="1586"/>
      <c r="J30" s="1586"/>
      <c r="K30" s="1586"/>
      <c r="L30" s="1586"/>
      <c r="M30" s="1034"/>
      <c r="N30" s="1034"/>
      <c r="O30" s="1034"/>
    </row>
  </sheetData>
  <sheetProtection algorithmName="SHA-512" hashValue="lo/AHzmt7fU7NnP/YYZZWndu/o8dM2q6n71FOmZOFV/c4CqEFQ5Pe847UE8sJCADxCy3/la8UU59tcJOEleeIw==" saltValue="uUf8B5VAeBSGr/a4lZ3IAQ==" spinCount="100000" sheet="1" objects="1" scenarios="1"/>
  <mergeCells count="71">
    <mergeCell ref="I28:L28"/>
    <mergeCell ref="I30:L30"/>
    <mergeCell ref="B20:G20"/>
    <mergeCell ref="AX19:AZ19"/>
    <mergeCell ref="D21:O21"/>
    <mergeCell ref="E22:E23"/>
    <mergeCell ref="L22:O22"/>
    <mergeCell ref="I26:L26"/>
    <mergeCell ref="B19:AW19"/>
    <mergeCell ref="F22:J23"/>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92D050"/>
  </sheetPr>
  <dimension ref="B1:BH37"/>
  <sheetViews>
    <sheetView showGridLines="0" zoomScale="55" zoomScaleNormal="55" workbookViewId="0">
      <selection activeCell="C7" sqref="C7"/>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6" width="27.5546875" style="105" customWidth="1"/>
    <col min="7" max="8" width="29.33203125" style="106" customWidth="1"/>
    <col min="9" max="9" width="26" style="105" customWidth="1"/>
    <col min="10" max="10" width="37"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0" ht="15.6" thickBot="1"/>
    <row r="2" spans="2:60" ht="15.6">
      <c r="B2" s="1496"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5.6">
      <c r="B3" s="1497"/>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5" customHeight="1">
      <c r="B4" s="1497"/>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 r="B5" s="1497"/>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498"/>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487">
        <v>44306</v>
      </c>
      <c r="BH6" s="1488"/>
    </row>
    <row r="7" spans="2: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1">
      <c r="B8" s="183" t="s">
        <v>45</v>
      </c>
      <c r="C8" s="1594" t="s">
        <v>94</v>
      </c>
      <c r="D8" s="1594"/>
      <c r="E8" s="184"/>
      <c r="F8" s="184"/>
      <c r="G8" s="184"/>
      <c r="H8" s="184"/>
      <c r="I8" s="184"/>
      <c r="J8" s="184"/>
      <c r="K8" s="184"/>
      <c r="L8" s="184"/>
      <c r="M8" s="184"/>
      <c r="N8" s="184"/>
      <c r="O8" s="184"/>
      <c r="AW8" s="1035"/>
      <c r="AX8" s="1035"/>
      <c r="AY8" s="1035"/>
      <c r="AZ8" s="1035"/>
      <c r="BA8" s="1035"/>
      <c r="BB8" s="1035"/>
      <c r="BC8" s="1035"/>
      <c r="BD8" s="1035"/>
    </row>
    <row r="9" spans="2:60" ht="79.5" customHeight="1">
      <c r="B9" s="183" t="s">
        <v>34</v>
      </c>
      <c r="C9" s="1534" t="s">
        <v>1188</v>
      </c>
      <c r="D9" s="1535"/>
      <c r="E9" s="184"/>
      <c r="F9" s="184"/>
      <c r="G9" s="184"/>
      <c r="H9" s="184"/>
      <c r="I9" s="184"/>
      <c r="J9" s="184"/>
      <c r="K9" s="184"/>
      <c r="L9" s="184"/>
      <c r="M9" s="184"/>
      <c r="N9" s="184"/>
      <c r="O9" s="184"/>
      <c r="AW9" s="1035"/>
      <c r="AX9" s="1035"/>
      <c r="AY9" s="1035"/>
      <c r="AZ9" s="1035"/>
      <c r="BA9" s="1035"/>
      <c r="BB9" s="1035"/>
      <c r="BC9" s="1035"/>
      <c r="BD9" s="1035"/>
    </row>
    <row r="10" spans="2:60" ht="24.6">
      <c r="B10" s="183" t="s">
        <v>101</v>
      </c>
      <c r="C10" s="1536">
        <v>2021</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15.6" customHeight="1">
      <c r="B12" s="1430" t="s">
        <v>0</v>
      </c>
      <c r="C12" s="1430" t="s">
        <v>52</v>
      </c>
      <c r="D12" s="1430" t="s">
        <v>704</v>
      </c>
      <c r="E12" s="1430" t="s">
        <v>61</v>
      </c>
      <c r="F12" s="1430"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75" t="s">
        <v>676</v>
      </c>
      <c r="AX12" s="1576"/>
      <c r="AY12" s="1576"/>
      <c r="AZ12" s="1577"/>
      <c r="BA12" s="1578" t="s">
        <v>677</v>
      </c>
      <c r="BB12" s="1579"/>
      <c r="BC12" s="1579"/>
      <c r="BD12" s="1580"/>
      <c r="BE12" s="1569" t="s">
        <v>678</v>
      </c>
      <c r="BF12" s="1570"/>
      <c r="BG12" s="1570"/>
      <c r="BH12" s="1571"/>
    </row>
    <row r="13" spans="2:60" ht="15.6">
      <c r="B13" s="1430"/>
      <c r="C13" s="1430"/>
      <c r="D13" s="1430"/>
      <c r="E13" s="1430"/>
      <c r="F13" s="1430"/>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15.6">
      <c r="B14" s="1430"/>
      <c r="C14" s="1430"/>
      <c r="D14" s="1430"/>
      <c r="E14" s="1430"/>
      <c r="F14" s="1430"/>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13.2" customHeight="1">
      <c r="B15" s="1430"/>
      <c r="C15" s="1430"/>
      <c r="D15" s="1430"/>
      <c r="E15" s="1430"/>
      <c r="F15" s="1430"/>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0" ht="135">
      <c r="B16" s="154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0" t="str">
        <f>+'01-FR-03 POA INSTITUCIONAL'!C69</f>
        <v>4.4. Implementar el 100% de las acciones necesarias para la modernización de la gestión institucional a través de los procesos de apoyo, que permita una mejor prestación del servicio.</v>
      </c>
      <c r="D16" s="1030" t="str">
        <f>+'01-FR-03 POA INSTITUCIONAL'!D74</f>
        <v>4.4.6 Ejecutar el 95% del Plan Anual de Adquisiciones respecto de gastos generales</v>
      </c>
      <c r="E16" s="146">
        <f>+'01-FR-03 POA INSTITUCIONAL'!E74</f>
        <v>0.1</v>
      </c>
      <c r="F16" s="1014">
        <f>+'01-FR-03 POA INSTITUCIONAL'!F74</f>
        <v>0.95</v>
      </c>
      <c r="G16" s="258">
        <f>+'01-FR-03 POA INSTITUCIONAL'!L74</f>
        <v>0.95</v>
      </c>
      <c r="H16" s="1030" t="str">
        <f>+'01-FR-03 POA INSTITUCIONAL'!G74</f>
        <v>S.I.</v>
      </c>
      <c r="I16" s="1030" t="str">
        <f>+'01-FR-03 POA INSTITUCIONAL'!H74</f>
        <v xml:space="preserve">Porcentaje del Plan Anual de Adquisiciones ejecutado </v>
      </c>
      <c r="J16" s="256" t="s">
        <v>454</v>
      </c>
      <c r="K16" s="168" t="s">
        <v>455</v>
      </c>
      <c r="L16" s="535" t="s">
        <v>456</v>
      </c>
      <c r="M16" s="536" t="s">
        <v>457</v>
      </c>
      <c r="N16" s="536" t="s">
        <v>458</v>
      </c>
      <c r="O16" s="257" t="str">
        <f>+'01-FR-03 POA INSTITUCIONAL'!J74</f>
        <v>Subdirección de Gestión Contractual
Dirección Administrativa y Financiera</v>
      </c>
      <c r="P16" s="828">
        <v>0.2</v>
      </c>
      <c r="Q16" s="828">
        <v>0.26</v>
      </c>
      <c r="R16" s="828">
        <v>0.08</v>
      </c>
      <c r="S16" s="828">
        <v>0.04</v>
      </c>
      <c r="T16" s="828">
        <v>0.08</v>
      </c>
      <c r="U16" s="828">
        <v>0.08</v>
      </c>
      <c r="V16" s="45">
        <f>P16+R16+T16</f>
        <v>0.36000000000000004</v>
      </c>
      <c r="W16" s="45">
        <f>Q16+S16+U16</f>
        <v>0.38</v>
      </c>
      <c r="X16" s="828">
        <v>0.08</v>
      </c>
      <c r="Y16" s="828">
        <v>0.08</v>
      </c>
      <c r="Z16" s="828">
        <v>7.0000000000000007E-2</v>
      </c>
      <c r="AA16" s="852">
        <v>0.05</v>
      </c>
      <c r="AB16" s="828">
        <v>7.0000000000000007E-2</v>
      </c>
      <c r="AC16" s="828">
        <v>0.03</v>
      </c>
      <c r="AD16" s="45">
        <f>X16+Z16+AB16</f>
        <v>0.22000000000000003</v>
      </c>
      <c r="AE16" s="45">
        <f>Y16+AA16+AC16</f>
        <v>0.16</v>
      </c>
      <c r="AF16" s="828">
        <v>0.12</v>
      </c>
      <c r="AG16" s="828">
        <v>0.04</v>
      </c>
      <c r="AH16" s="828">
        <v>0.05</v>
      </c>
      <c r="AI16" s="828">
        <v>0.09</v>
      </c>
      <c r="AJ16" s="852">
        <v>0.05</v>
      </c>
      <c r="AK16" s="852">
        <v>0.06</v>
      </c>
      <c r="AL16" s="45">
        <f>AF16+AH16+AJ16</f>
        <v>0.21999999999999997</v>
      </c>
      <c r="AM16" s="45">
        <f>AG16+AI16+AK16</f>
        <v>0.19</v>
      </c>
      <c r="AN16" s="828">
        <v>0.05</v>
      </c>
      <c r="AO16" s="828">
        <v>0.02</v>
      </c>
      <c r="AP16" s="828">
        <v>0.05</v>
      </c>
      <c r="AQ16" s="828">
        <v>0.12</v>
      </c>
      <c r="AR16" s="828">
        <v>0.05</v>
      </c>
      <c r="AS16" s="828">
        <v>0.11</v>
      </c>
      <c r="AT16" s="45">
        <f>AN16+AP16+AR16</f>
        <v>0.15000000000000002</v>
      </c>
      <c r="AU16" s="45">
        <f>AO16+AQ16+AS16</f>
        <v>0.25</v>
      </c>
      <c r="AV16" s="853">
        <f>V16+AD16+AL16+AT16</f>
        <v>0.95000000000000007</v>
      </c>
      <c r="AW16" s="271">
        <f>+W16</f>
        <v>0.38</v>
      </c>
      <c r="AX16" s="271">
        <f>+W16+AE16</f>
        <v>0.54</v>
      </c>
      <c r="AY16" s="271">
        <f>+W16+AE16+AM16</f>
        <v>0.73</v>
      </c>
      <c r="AZ16" s="271">
        <f>+W16+AE16+AM16+AU16</f>
        <v>0.98</v>
      </c>
      <c r="BA16" s="306">
        <f>IF(AND(AW16&gt;0,$AV16&gt;0),AW16/$AV16,0)</f>
        <v>0.39999999999999997</v>
      </c>
      <c r="BB16" s="307">
        <f t="shared" ref="BB16:BD16" si="0">IF(AND(AX16&gt;0,$AV16&gt;0),AX16/$AV16,0)</f>
        <v>0.56842105263157894</v>
      </c>
      <c r="BC16" s="299">
        <f t="shared" si="0"/>
        <v>0.76842105263157889</v>
      </c>
      <c r="BD16" s="299">
        <f t="shared" si="0"/>
        <v>1.0315789473684209</v>
      </c>
      <c r="BE16" s="304">
        <f>((IF(AND(AW16&gt;0,$F16&gt;0),AW16/$F16,0))/4)</f>
        <v>0.1</v>
      </c>
      <c r="BF16" s="304">
        <f>((IF(AND(AX16&gt;0,$F16&gt;0),AX16/$F16,0))/4)</f>
        <v>0.14210526315789476</v>
      </c>
      <c r="BG16" s="304">
        <f>((IF(AND(AY16&gt;0,$F16&gt;0),AY16/$F16,0))/4)</f>
        <v>0.19210526315789475</v>
      </c>
      <c r="BH16" s="304">
        <f>((IF(AND(AZ16&gt;0,$F16&gt;0),AZ16/$F16,0))/4)</f>
        <v>0.25789473684210529</v>
      </c>
    </row>
    <row r="17" spans="2:60" ht="111.6" customHeight="1">
      <c r="B17" s="1541"/>
      <c r="C17" s="1541"/>
      <c r="D17" s="1540" t="str">
        <f>+'01-FR-03 POA INSTITUCIONAL'!D84</f>
        <v>4.4.15 Elaborar el 95% de los contratos en cada una de las modalidades de selección en los tiempos óptimos</v>
      </c>
      <c r="E17" s="1480">
        <f>+'01-FR-03 POA INSTITUCIONAL'!E84</f>
        <v>0.1</v>
      </c>
      <c r="F17" s="38">
        <f>+'01-FR-03 POA INSTITUCIONAL'!F84</f>
        <v>0.95</v>
      </c>
      <c r="G17" s="537">
        <f>+'01-FR-03 POA INSTITUCIONAL'!L84</f>
        <v>0.8</v>
      </c>
      <c r="H17" s="537" t="str">
        <f>+'01-FR-03 POA INSTITUCIONAL'!G84</f>
        <v>S.I.</v>
      </c>
      <c r="I17" s="537" t="str">
        <f>+'01-FR-03 POA INSTITUCIONAL'!H84</f>
        <v xml:space="preserve">Porcentaje de contratos en la modalidad de contratacion directa elaborados en los tiempos óptimos </v>
      </c>
      <c r="J17" s="256" t="s">
        <v>906</v>
      </c>
      <c r="K17" s="244" t="s">
        <v>907</v>
      </c>
      <c r="L17" s="1044" t="s">
        <v>908</v>
      </c>
      <c r="M17" s="1045" t="s">
        <v>457</v>
      </c>
      <c r="N17" s="1045" t="s">
        <v>909</v>
      </c>
      <c r="O17" s="257" t="s">
        <v>910</v>
      </c>
      <c r="P17" s="852">
        <v>0.8</v>
      </c>
      <c r="Q17" s="828">
        <v>1</v>
      </c>
      <c r="R17" s="852">
        <v>0</v>
      </c>
      <c r="S17" s="828">
        <v>0</v>
      </c>
      <c r="T17" s="852">
        <v>0</v>
      </c>
      <c r="U17" s="828">
        <v>0</v>
      </c>
      <c r="V17" s="280">
        <f>IFERROR(ROUNDDOWN(AVERAGE($P17),3),0)</f>
        <v>0.8</v>
      </c>
      <c r="W17" s="280">
        <f>IFERROR(ROUNDDOWN(AVERAGE($Q17),3),0)</f>
        <v>1</v>
      </c>
      <c r="X17" s="852">
        <v>0</v>
      </c>
      <c r="Y17" s="828">
        <v>0</v>
      </c>
      <c r="Z17" s="852">
        <v>0</v>
      </c>
      <c r="AA17" s="828">
        <v>0</v>
      </c>
      <c r="AB17" s="852">
        <v>0</v>
      </c>
      <c r="AC17" s="828">
        <v>1</v>
      </c>
      <c r="AD17" s="280">
        <f>IFERROR(ROUNDDOWN(AVERAGE($X17,Z17,$AB17),3),0)</f>
        <v>0</v>
      </c>
      <c r="AE17" s="280">
        <f>IFERROR(ROUNDDOWN(AVERAGE($AC17),3),0)</f>
        <v>1</v>
      </c>
      <c r="AF17" s="852">
        <v>0.8</v>
      </c>
      <c r="AG17" s="828">
        <v>1</v>
      </c>
      <c r="AH17" s="852">
        <v>0.8</v>
      </c>
      <c r="AI17" s="838">
        <v>0.96199999999999997</v>
      </c>
      <c r="AJ17" s="852">
        <v>0.8</v>
      </c>
      <c r="AK17" s="851">
        <v>0.88700000000000001</v>
      </c>
      <c r="AL17" s="62">
        <f>AVERAGE(AF17,AH17,AJ17)</f>
        <v>0.80000000000000016</v>
      </c>
      <c r="AM17" s="280">
        <f>IFERROR(ROUNDDOWN(AVERAGE($AG17,$AI17,$AK17),3),0)</f>
        <v>0.94899999999999995</v>
      </c>
      <c r="AN17" s="852">
        <v>0.8</v>
      </c>
      <c r="AO17" s="838">
        <v>0.96599999999999997</v>
      </c>
      <c r="AP17" s="852">
        <v>0.8</v>
      </c>
      <c r="AQ17" s="828">
        <v>1</v>
      </c>
      <c r="AR17" s="852">
        <v>0.8</v>
      </c>
      <c r="AS17" s="828">
        <v>1</v>
      </c>
      <c r="AT17" s="62">
        <f>AVERAGE(AN17,AP17,AR17)</f>
        <v>0.80000000000000016</v>
      </c>
      <c r="AU17" s="280">
        <f>IFERROR(ROUNDDOWN(AVERAGE(AO17,AQ17,AS17),3),0)</f>
        <v>0.98799999999999999</v>
      </c>
      <c r="AV17" s="853">
        <f>IFERROR(AVERAGE(P17,AF17,AH17,AJ17,AN17,AP17,AR17),0)</f>
        <v>0.79999999999999993</v>
      </c>
      <c r="AW17" s="271">
        <f>IFERROR(IF(OR($AV$17="",$AV$17=0),0,ROUNDDOWN(AVERAGE($Q17),3)),0)</f>
        <v>1</v>
      </c>
      <c r="AX17" s="271">
        <f>IFERROR(IF(OR($AV$17="",$AV$17=0),0,ROUNDDOWN(AVERAGE($Q17,$AC17),3)),0)</f>
        <v>1</v>
      </c>
      <c r="AY17" s="271">
        <f>IFERROR(IF(OR($AV$17="",$AV$17=0),0,ROUNDDOWN(AVERAGE($Q17,$AG17,$AI17,$AK17,AC17),3)),0)</f>
        <v>0.96899999999999997</v>
      </c>
      <c r="AZ17" s="271">
        <f>IFERROR(IF(OR($AV$17="",$AV$17=0),0,ROUNDDOWN(AVERAGE($Q17,$AG17,$AI17,$AK17,AO17,AQ17,AS17,AC17),3)),0)</f>
        <v>0.97599999999999998</v>
      </c>
      <c r="BA17" s="299">
        <f>(IF(AND(AW17&gt;0,$AV17&gt;0),AW17/$AV17,0))*0.25</f>
        <v>0.3125</v>
      </c>
      <c r="BB17" s="299">
        <f>(IF(AND(AX17&gt;0,$AV17&gt;0),AX17/$AV17,0))*0.5</f>
        <v>0.625</v>
      </c>
      <c r="BC17" s="299">
        <f>(IF(AND(AY17&gt;0,$AV17&gt;0),AY17/$AV17,0))*0.75</f>
        <v>0.90843750000000012</v>
      </c>
      <c r="BD17" s="299">
        <f>(IF(AND(AZ17&gt;0,$AV17&gt;0),AZ17/$AV17,0))*1</f>
        <v>1.22</v>
      </c>
      <c r="BE17" s="304">
        <f>((IF(AND(AW17&gt;0,$AV17&gt;0),AW17/$AV17,0))/4)*0.25</f>
        <v>7.8125E-2</v>
      </c>
      <c r="BF17" s="304">
        <f>((IF(AND(AX17&gt;0,$AV17&gt;0),AX17/$AV17,0))/4)*0.5</f>
        <v>0.15625</v>
      </c>
      <c r="BG17" s="304">
        <f>((IF(AND(AY17&gt;0,$F17&gt;0),AY17/$F17,0))/4)*0.75</f>
        <v>0.19125</v>
      </c>
      <c r="BH17" s="304">
        <f t="shared" ref="BH17:BH19" si="1">((IF(AND(AZ17&gt;0,$F17&gt;0),AZ17/$F17,0))/4)</f>
        <v>0.25684210526315793</v>
      </c>
    </row>
    <row r="18" spans="2:60" ht="163.19999999999999" customHeight="1">
      <c r="B18" s="1541"/>
      <c r="C18" s="1541"/>
      <c r="D18" s="1541"/>
      <c r="E18" s="1279"/>
      <c r="F18" s="38">
        <f>+'01-FR-03 POA INSTITUCIONAL'!F85</f>
        <v>0.95</v>
      </c>
      <c r="G18" s="537">
        <f>+'01-FR-03 POA INSTITUCIONAL'!L85</f>
        <v>0.8</v>
      </c>
      <c r="H18" s="537" t="str">
        <f>+'01-FR-03 POA INSTITUCIONAL'!G85</f>
        <v>S.I.</v>
      </c>
      <c r="I18" s="537" t="str">
        <f>+'01-FR-03 POA INSTITUCIONAL'!H85</f>
        <v xml:space="preserve">Porcentaje de contratos en la modalidad de selección abreviada de menor cuantía elaborados en los tiempos óptimos </v>
      </c>
      <c r="J18" s="256" t="s">
        <v>912</v>
      </c>
      <c r="K18" s="244" t="s">
        <v>907</v>
      </c>
      <c r="L18" s="1044" t="s">
        <v>908</v>
      </c>
      <c r="M18" s="1045" t="s">
        <v>457</v>
      </c>
      <c r="N18" s="1045" t="s">
        <v>909</v>
      </c>
      <c r="O18" s="257" t="s">
        <v>910</v>
      </c>
      <c r="P18" s="828">
        <v>0</v>
      </c>
      <c r="Q18" s="828">
        <v>0</v>
      </c>
      <c r="R18" s="828">
        <v>0</v>
      </c>
      <c r="S18" s="828">
        <v>0</v>
      </c>
      <c r="T18" s="828">
        <v>0</v>
      </c>
      <c r="U18" s="828">
        <v>1</v>
      </c>
      <c r="V18" s="280">
        <f>IFERROR(ROUNDDOWN(AVERAGE($P18,$R18,$T18),3),0)</f>
        <v>0</v>
      </c>
      <c r="W18" s="280">
        <f>IFERROR(ROUNDDOWN(AVERAGE($U18),3),0)</f>
        <v>1</v>
      </c>
      <c r="X18" s="828">
        <v>0</v>
      </c>
      <c r="Y18" s="828">
        <v>0</v>
      </c>
      <c r="Z18" s="828">
        <v>0.8</v>
      </c>
      <c r="AA18" s="828">
        <v>0.8</v>
      </c>
      <c r="AB18" s="828">
        <v>0.8</v>
      </c>
      <c r="AC18" s="828">
        <v>0.8</v>
      </c>
      <c r="AD18" s="280">
        <f>IFERROR(ROUNDDOWN(AVERAGE($Z18,$AB18),3),0)</f>
        <v>0.8</v>
      </c>
      <c r="AE18" s="280">
        <f>IFERROR(ROUNDDOWN(AVERAGE($AA18,$AC18),3),0)</f>
        <v>0.8</v>
      </c>
      <c r="AF18" s="828">
        <v>0.8</v>
      </c>
      <c r="AG18" s="828">
        <v>0.8</v>
      </c>
      <c r="AH18" s="828">
        <v>0.8</v>
      </c>
      <c r="AI18" s="828">
        <v>0.8</v>
      </c>
      <c r="AJ18" s="828">
        <v>0.8</v>
      </c>
      <c r="AK18" s="828">
        <v>1</v>
      </c>
      <c r="AL18" s="62">
        <f t="shared" ref="AL18:AL19" si="2">AVERAGE(AF18,AH18,AJ18)</f>
        <v>0.80000000000000016</v>
      </c>
      <c r="AM18" s="280">
        <f>IFERROR(ROUNDDOWN(AVERAGE($AG18,$AI18,$AK18),3),0)</f>
        <v>0.86599999999999999</v>
      </c>
      <c r="AN18" s="828">
        <v>0.8</v>
      </c>
      <c r="AO18" s="828">
        <v>0.8</v>
      </c>
      <c r="AP18" s="828">
        <v>0.8</v>
      </c>
      <c r="AQ18" s="828">
        <v>1</v>
      </c>
      <c r="AR18" s="828">
        <v>0</v>
      </c>
      <c r="AS18" s="828">
        <v>0</v>
      </c>
      <c r="AT18" s="62">
        <f>AVERAGE(AN18,AP18)</f>
        <v>0.8</v>
      </c>
      <c r="AU18" s="62">
        <f>IFERROR(ROUNDDOWN(AVERAGE(AO18,AQ18),3),0)</f>
        <v>0.9</v>
      </c>
      <c r="AV18" s="853">
        <f>IFERROR(AVERAGE(Z18,AB18,AF18,AH18,AJ18,AN18,AP18),0)</f>
        <v>0.79999999999999993</v>
      </c>
      <c r="AW18" s="271">
        <f>IFERROR(IF(OR($AV$18="",$AV$18=0),0,ROUNDDOWN(AVERAGE($Q18,$S18,$U18),3)),0)</f>
        <v>0.33300000000000002</v>
      </c>
      <c r="AX18" s="271">
        <f>IFERROR(IF(OR($AV$18="",$AV$18=0),0,ROUNDDOWN(AVERAGE($Q18,$S18,$U18,$Y18,$AA18,$AC18),3)),0)</f>
        <v>0.433</v>
      </c>
      <c r="AY18" s="271">
        <f>IFERROR(IF(OR($AV$18="",$AV$18=0),0,ROUNDDOWN(AVERAGE($AG18,$AI18,$AK18,AC18,AA18,U18),3)),0)</f>
        <v>0.86599999999999999</v>
      </c>
      <c r="AZ18" s="271">
        <f>IFERROR(IF(OR($AV$18="",$AV$18=0),0,ROUNDDOWN(AVERAGE($AG18,$AI18,$AK18,$AO18,$AQ18,AC18,AA18,U18),3)),0)</f>
        <v>0.875</v>
      </c>
      <c r="BA18" s="299">
        <f>(IF(AND(AW18&gt;0,$AV18&gt;0),AW18/$AV18,0))*0.25</f>
        <v>0.10406250000000002</v>
      </c>
      <c r="BB18" s="299">
        <f>(IF(AND(AX18&gt;0,$AV18&gt;0),AX18/$AV18,0))*0.5</f>
        <v>0.270625</v>
      </c>
      <c r="BC18" s="299">
        <f>(IF(AND(AY18&gt;0,$AV18&gt;0),AY18/$AV18,0))*0.75</f>
        <v>0.81187500000000001</v>
      </c>
      <c r="BD18" s="299">
        <f>(IF(AND(AZ18&gt;0,$AV18&gt;0),AZ18/$AV18,0))*1</f>
        <v>1.09375</v>
      </c>
      <c r="BE18" s="304">
        <f>((IF(AND(AW18&gt;0,$AV18&gt;0),AW18/$AV18,0))/4)*0.25</f>
        <v>2.6015625000000004E-2</v>
      </c>
      <c r="BF18" s="304">
        <f>((IF(AND(AX18&gt;0,$AV18&gt;0),AX18/$AV18,0))/4)*0.5</f>
        <v>6.7656250000000001E-2</v>
      </c>
      <c r="BG18" s="304">
        <f>((IF(AND(AY18&gt;0,$F18&gt;0),AY18/$F18,0))/4)*0.75</f>
        <v>0.17092105263157895</v>
      </c>
      <c r="BH18" s="304">
        <f t="shared" si="1"/>
        <v>0.23026315789473686</v>
      </c>
    </row>
    <row r="19" spans="2:60" ht="168.6" customHeight="1">
      <c r="B19" s="1582"/>
      <c r="C19" s="1582"/>
      <c r="D19" s="1582"/>
      <c r="E19" s="1271"/>
      <c r="F19" s="38">
        <f>+'01-FR-03 POA INSTITUCIONAL'!F86</f>
        <v>0.95</v>
      </c>
      <c r="G19" s="537">
        <f>+'01-FR-03 POA INSTITUCIONAL'!L86</f>
        <v>0.8</v>
      </c>
      <c r="H19" s="537" t="str">
        <f>+'01-FR-03 POA INSTITUCIONAL'!G86</f>
        <v>S.I.</v>
      </c>
      <c r="I19" s="537" t="str">
        <f>+'01-FR-03 POA INSTITUCIONAL'!H86</f>
        <v xml:space="preserve">Porcentaje de contratos en la modalidad de selección abreviada de subasta inversa, licitación pública y concurso de méritos elaborados en los tiempos óptimos </v>
      </c>
      <c r="J19" s="256" t="s">
        <v>911</v>
      </c>
      <c r="K19" s="244" t="s">
        <v>907</v>
      </c>
      <c r="L19" s="1044" t="s">
        <v>908</v>
      </c>
      <c r="M19" s="1045" t="s">
        <v>457</v>
      </c>
      <c r="N19" s="1045" t="s">
        <v>909</v>
      </c>
      <c r="O19" s="257" t="s">
        <v>910</v>
      </c>
      <c r="P19" s="828">
        <v>0</v>
      </c>
      <c r="Q19" s="828">
        <v>0</v>
      </c>
      <c r="R19" s="828">
        <v>0.8</v>
      </c>
      <c r="S19" s="828">
        <v>0.8</v>
      </c>
      <c r="T19" s="828">
        <v>0</v>
      </c>
      <c r="U19" s="828">
        <v>0</v>
      </c>
      <c r="V19" s="280">
        <f>IFERROR(ROUNDDOWN(AVERAGE(R19),3),0)</f>
        <v>0.8</v>
      </c>
      <c r="W19" s="280">
        <f>IFERROR(ROUNDDOWN(AVERAGE($S19),3),0)</f>
        <v>0.8</v>
      </c>
      <c r="X19" s="828">
        <v>0.8</v>
      </c>
      <c r="Y19" s="828">
        <v>1</v>
      </c>
      <c r="Z19" s="828">
        <v>0.8</v>
      </c>
      <c r="AA19" s="828">
        <v>0.5</v>
      </c>
      <c r="AB19" s="828">
        <v>0.8</v>
      </c>
      <c r="AC19" s="828">
        <v>0.8</v>
      </c>
      <c r="AD19" s="280">
        <f>IFERROR(ROUNDDOWN(AVERAGE($X19,$Z19,$AB19),3),0)</f>
        <v>0.8</v>
      </c>
      <c r="AE19" s="280">
        <f t="shared" ref="AE19" si="3">IFERROR(ROUNDDOWN(AVERAGE($Y19,$AA19,$AC19),3),0)</f>
        <v>0.76600000000000001</v>
      </c>
      <c r="AF19" s="828">
        <v>0.8</v>
      </c>
      <c r="AG19" s="828">
        <v>0.8</v>
      </c>
      <c r="AH19" s="828">
        <v>0.8</v>
      </c>
      <c r="AI19" s="828">
        <v>0.8</v>
      </c>
      <c r="AJ19" s="828">
        <v>0.8</v>
      </c>
      <c r="AK19" s="828">
        <v>0.8</v>
      </c>
      <c r="AL19" s="62">
        <f t="shared" si="2"/>
        <v>0.80000000000000016</v>
      </c>
      <c r="AM19" s="280">
        <f>IFERROR(ROUNDDOWN(AVERAGE($AG19,$AI19,$AK19),3),0)</f>
        <v>0.8</v>
      </c>
      <c r="AN19" s="828">
        <v>0.8</v>
      </c>
      <c r="AO19" s="828">
        <v>0.8</v>
      </c>
      <c r="AP19" s="828">
        <v>0.8</v>
      </c>
      <c r="AQ19" s="828">
        <v>0.8</v>
      </c>
      <c r="AR19" s="828">
        <v>0.8</v>
      </c>
      <c r="AS19" s="828">
        <v>0.8</v>
      </c>
      <c r="AT19" s="62">
        <f t="shared" ref="AT19" si="4">AVERAGE(AN19,AP19,AR19)</f>
        <v>0.80000000000000016</v>
      </c>
      <c r="AU19" s="62">
        <f t="shared" ref="AU19" si="5">IFERROR(ROUNDDOWN(AVERAGE(AO19,AQ19,AS19),3),0)</f>
        <v>0.8</v>
      </c>
      <c r="AV19" s="853">
        <f>IFERROR(AVERAGE(R19,X19,Z19,AB19,AF19,AH19,AJ19,AN19,AP19,AR19),0)</f>
        <v>0.79999999999999993</v>
      </c>
      <c r="AW19" s="271">
        <f>IFERROR(IF(OR($AV$19="",$AV$19=0),0,ROUNDDOWN(AVERAGE($Q19,$S19,$U19),3)),0)</f>
        <v>0.26600000000000001</v>
      </c>
      <c r="AX19" s="271">
        <f>IFERROR(IF(OR($AV$19="",$AV$19=0),0,ROUNDDOWN(AVERAGE(,$S19,$Y19,$AA19,$AC19),3)),0)</f>
        <v>0.62</v>
      </c>
      <c r="AY19" s="271">
        <f>IFERROR(IF(OR($AV$19="",$AV$19=0),0,ROUNDDOWN(AVERAGE($AG19,$AI19,$AK19,Y19,AA19,AC19,S19),3)),0)</f>
        <v>0.78500000000000003</v>
      </c>
      <c r="AZ19" s="271">
        <f>IFERROR(IF(OR($AV$19="",$AV$19=0),0,ROUNDDOWN(AVERAGE($AG19,$AI19,$AK19,$AO19,$AQ19,$AS19,S19,Y19,AA19,AC19),3)),0)</f>
        <v>0.79</v>
      </c>
      <c r="BA19" s="299">
        <f>(IF(AND(AW19&gt;0,$AV19&gt;0),AW19/$AV19,0))*0.25</f>
        <v>8.3125000000000004E-2</v>
      </c>
      <c r="BB19" s="299">
        <f>(IF(AND(AX19&gt;0,$AV19&gt;0),AX19/$AV19,0))*0.5</f>
        <v>0.38750000000000001</v>
      </c>
      <c r="BC19" s="299">
        <f>(IF(AND(AY19&gt;0,$AV19&gt;0),AY19/$AV19,0))*0.75</f>
        <v>0.73593750000000002</v>
      </c>
      <c r="BD19" s="299">
        <f>(IF(AND(AZ19&gt;0,$AV19&gt;0),AZ19/$AV19,0))*1</f>
        <v>0.98750000000000016</v>
      </c>
      <c r="BE19" s="304">
        <f>((IF(AND(AW19&gt;0,$AV19&gt;0),AW19/$AV19,0))/4)*0.25</f>
        <v>2.0781250000000001E-2</v>
      </c>
      <c r="BF19" s="304">
        <f>((IF(AND(AX19&gt;0,$AV19&gt;0),AX19/$AV19,0))/4)*0.5</f>
        <v>9.6875000000000003E-2</v>
      </c>
      <c r="BG19" s="304">
        <f>((IF(AND(AY19&gt;0,$F19&gt;0),AY19/$F19,0))/4)*0.75</f>
        <v>0.15493421052631581</v>
      </c>
      <c r="BH19" s="304">
        <f t="shared" si="1"/>
        <v>0.20789473684210527</v>
      </c>
    </row>
    <row r="20" spans="2:60" ht="22.8">
      <c r="B20" s="1504"/>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649"/>
      <c r="AM20" s="1649"/>
      <c r="AN20" s="1649"/>
      <c r="AO20" s="1649"/>
      <c r="AP20" s="1649"/>
      <c r="AQ20" s="1649"/>
      <c r="AR20" s="1649"/>
      <c r="AS20" s="1649"/>
      <c r="AT20" s="1649"/>
      <c r="AU20" s="1649"/>
      <c r="AV20" s="1649"/>
      <c r="AW20" s="1650"/>
      <c r="AX20" s="1538" t="s">
        <v>19</v>
      </c>
      <c r="AY20" s="1581"/>
      <c r="AZ20" s="1581"/>
      <c r="BA20" s="1042">
        <f>AVERAGE(BA16:BA19)</f>
        <v>0.22492187499999999</v>
      </c>
      <c r="BB20" s="1042">
        <f t="shared" ref="BB20:BD20" si="6">AVERAGE(BB16:BB19)</f>
        <v>0.4628865131578947</v>
      </c>
      <c r="BC20" s="1042">
        <f t="shared" si="6"/>
        <v>0.80616776315789473</v>
      </c>
      <c r="BD20" s="1042">
        <f t="shared" si="6"/>
        <v>1.0832072368421053</v>
      </c>
      <c r="BE20" s="1647"/>
      <c r="BF20" s="1636"/>
      <c r="BG20" s="1636"/>
      <c r="BH20" s="1637"/>
    </row>
    <row r="21" spans="2:60">
      <c r="B21" s="1500"/>
      <c r="C21" s="1500"/>
      <c r="D21" s="1500"/>
      <c r="E21" s="1500"/>
      <c r="F21" s="1500"/>
      <c r="G21" s="1500"/>
      <c r="H21" s="208"/>
      <c r="I21" s="209"/>
      <c r="J21" s="209"/>
      <c r="K21" s="209"/>
      <c r="L21" s="209"/>
      <c r="M21" s="209"/>
      <c r="N21" s="209"/>
      <c r="O21" s="209"/>
    </row>
    <row r="22" spans="2:60">
      <c r="B22" s="209"/>
      <c r="C22" s="209"/>
      <c r="D22" s="1520"/>
      <c r="E22" s="1520"/>
      <c r="F22" s="1520"/>
      <c r="G22" s="1520"/>
      <c r="H22" s="1520"/>
      <c r="I22" s="1520"/>
      <c r="J22" s="1520"/>
      <c r="K22" s="1520"/>
      <c r="L22" s="1520"/>
      <c r="M22" s="1520"/>
      <c r="N22" s="1520"/>
      <c r="O22" s="1520"/>
    </row>
    <row r="23" spans="2:60" ht="15.6" customHeight="1">
      <c r="B23" s="54" t="s">
        <v>26</v>
      </c>
      <c r="C23" s="210">
        <v>44224</v>
      </c>
      <c r="D23" s="211"/>
      <c r="E23" s="1510" t="s">
        <v>50</v>
      </c>
      <c r="F23" s="1588" t="s">
        <v>671</v>
      </c>
      <c r="G23" s="1589"/>
      <c r="H23" s="1589"/>
      <c r="I23" s="1589"/>
      <c r="J23" s="1590"/>
      <c r="K23" s="212"/>
      <c r="L23" s="1567"/>
      <c r="M23" s="1567"/>
      <c r="N23" s="1567"/>
      <c r="O23" s="1587"/>
    </row>
    <row r="24" spans="2:60" ht="15.6">
      <c r="B24" s="209"/>
      <c r="C24" s="209"/>
      <c r="D24" s="212"/>
      <c r="E24" s="1510"/>
      <c r="F24" s="1591"/>
      <c r="G24" s="1592"/>
      <c r="H24" s="1592"/>
      <c r="I24" s="1592"/>
      <c r="J24" s="1593"/>
      <c r="K24" s="209"/>
      <c r="L24" s="209"/>
      <c r="M24" s="209"/>
      <c r="N24" s="209"/>
      <c r="O24" s="209"/>
    </row>
    <row r="25" spans="2:60" ht="15.6">
      <c r="B25" s="54" t="s">
        <v>49</v>
      </c>
      <c r="C25" s="210">
        <v>44369</v>
      </c>
      <c r="D25" s="209"/>
      <c r="E25" s="209"/>
      <c r="F25" s="209"/>
      <c r="I25" s="259"/>
      <c r="J25" s="259"/>
      <c r="K25" s="260"/>
      <c r="L25" s="260"/>
      <c r="M25" s="209"/>
      <c r="N25" s="209"/>
      <c r="O25" s="209"/>
    </row>
    <row r="26" spans="2:60">
      <c r="B26" s="209"/>
      <c r="C26" s="209"/>
      <c r="D26" s="209"/>
      <c r="E26" s="209"/>
      <c r="F26" s="209"/>
      <c r="I26" s="259"/>
      <c r="J26" s="259"/>
      <c r="K26" s="260"/>
      <c r="L26" s="260"/>
      <c r="M26" s="209"/>
      <c r="N26" s="209"/>
      <c r="O26" s="209"/>
    </row>
    <row r="27" spans="2:60" ht="15.6">
      <c r="B27" s="54" t="s">
        <v>49</v>
      </c>
      <c r="C27" s="56">
        <v>44581</v>
      </c>
      <c r="D27" s="209"/>
      <c r="E27" s="209"/>
      <c r="F27" s="209"/>
      <c r="I27" s="259"/>
      <c r="J27" s="259"/>
      <c r="K27" s="260"/>
      <c r="L27" s="260"/>
      <c r="M27" s="209"/>
      <c r="N27" s="209"/>
      <c r="O27" s="209"/>
    </row>
    <row r="28" spans="2:60">
      <c r="B28" s="209"/>
      <c r="C28" s="209"/>
      <c r="D28" s="209"/>
      <c r="E28" s="209"/>
      <c r="F28" s="209"/>
      <c r="I28" s="259"/>
      <c r="J28" s="259"/>
      <c r="K28" s="260"/>
      <c r="L28" s="260"/>
      <c r="M28" s="209"/>
      <c r="N28" s="209"/>
      <c r="O28" s="209"/>
    </row>
    <row r="29" spans="2:60">
      <c r="B29" s="1646" t="s">
        <v>916</v>
      </c>
      <c r="C29" s="1646"/>
      <c r="D29" s="1646"/>
      <c r="E29" s="1646"/>
      <c r="F29" s="1646"/>
      <c r="G29" s="1646"/>
      <c r="H29" s="208"/>
      <c r="I29" s="1648"/>
      <c r="J29" s="1648"/>
      <c r="K29" s="1648"/>
      <c r="L29" s="1648"/>
      <c r="M29" s="1034"/>
      <c r="N29" s="1034"/>
      <c r="O29" s="1034"/>
    </row>
    <row r="30" spans="2:60">
      <c r="B30" s="209"/>
      <c r="C30" s="209"/>
      <c r="D30" s="209"/>
      <c r="E30" s="209"/>
      <c r="F30" s="209"/>
      <c r="G30" s="208"/>
      <c r="H30" s="208"/>
      <c r="I30" s="260"/>
      <c r="J30" s="260"/>
      <c r="K30" s="261"/>
      <c r="L30" s="260"/>
      <c r="M30" s="209"/>
      <c r="N30" s="209"/>
      <c r="O30" s="209"/>
    </row>
    <row r="31" spans="2:60">
      <c r="B31" s="209"/>
      <c r="C31" s="209"/>
      <c r="D31" s="209"/>
      <c r="E31" s="209"/>
      <c r="F31" s="209"/>
      <c r="G31" s="208"/>
      <c r="H31" s="208"/>
      <c r="I31" s="1648"/>
      <c r="J31" s="1648"/>
      <c r="K31" s="1648"/>
      <c r="L31" s="1648"/>
      <c r="M31" s="1034"/>
      <c r="N31" s="1034"/>
      <c r="O31" s="1034"/>
    </row>
    <row r="32" spans="2:60">
      <c r="B32" s="209"/>
      <c r="C32" s="209"/>
      <c r="D32" s="209"/>
      <c r="E32" s="209"/>
      <c r="F32" s="209"/>
      <c r="G32" s="208"/>
      <c r="H32" s="208"/>
      <c r="I32" s="260"/>
      <c r="J32" s="260"/>
      <c r="K32" s="261"/>
      <c r="L32" s="260"/>
      <c r="M32" s="209"/>
      <c r="N32" s="209"/>
      <c r="O32" s="209"/>
    </row>
    <row r="33" spans="2:15">
      <c r="B33" s="209"/>
      <c r="C33" s="209"/>
      <c r="D33" s="209"/>
      <c r="E33" s="209"/>
      <c r="F33" s="209"/>
      <c r="G33" s="208"/>
      <c r="H33" s="208"/>
      <c r="I33" s="1648"/>
      <c r="J33" s="1648"/>
      <c r="K33" s="1648"/>
      <c r="L33" s="1648"/>
      <c r="M33" s="1034"/>
      <c r="N33" s="1034"/>
      <c r="O33" s="1034"/>
    </row>
    <row r="34" spans="2:15">
      <c r="I34" s="259"/>
      <c r="J34" s="259"/>
      <c r="K34" s="259"/>
      <c r="L34" s="259"/>
    </row>
    <row r="35" spans="2:15">
      <c r="I35" s="259"/>
      <c r="J35" s="259"/>
      <c r="K35" s="259"/>
      <c r="L35" s="259"/>
    </row>
    <row r="36" spans="2:15">
      <c r="I36" s="259"/>
      <c r="J36" s="259"/>
      <c r="K36" s="259"/>
      <c r="L36" s="259"/>
    </row>
    <row r="37" spans="2:15">
      <c r="I37" s="259"/>
      <c r="J37" s="259"/>
      <c r="K37" s="259"/>
      <c r="L37" s="259"/>
    </row>
  </sheetData>
  <sheetProtection algorithmName="SHA-512" hashValue="0MH0oCRny3VEkVRIWs/ejf8VkEGPoFDO2MBQEwtzIZ5h7tzI4BG14BQbzSKWsrkRaRu0W8d6a5izwL/3uots6w==" saltValue="O6g2dWI8gDO18s+dM1h8Vg==" spinCount="100000" sheet="1" objects="1" scenarios="1"/>
  <mergeCells count="74">
    <mergeCell ref="I33:L33"/>
    <mergeCell ref="AP14:AQ14"/>
    <mergeCell ref="AR14:AS14"/>
    <mergeCell ref="AT14:AU14"/>
    <mergeCell ref="B20:AW20"/>
    <mergeCell ref="M12:M15"/>
    <mergeCell ref="G12:G15"/>
    <mergeCell ref="E23:E24"/>
    <mergeCell ref="L23:O23"/>
    <mergeCell ref="I29:L29"/>
    <mergeCell ref="I31:L31"/>
    <mergeCell ref="F12:F15"/>
    <mergeCell ref="F23:J24"/>
    <mergeCell ref="P12:AU12"/>
    <mergeCell ref="B16:B19"/>
    <mergeCell ref="C16:C19"/>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N13:AU13"/>
    <mergeCell ref="AW13:AW15"/>
    <mergeCell ref="AX13:AX15"/>
    <mergeCell ref="AY13:AY15"/>
    <mergeCell ref="AZ13:AZ15"/>
    <mergeCell ref="B2:B6"/>
    <mergeCell ref="C2:BF6"/>
    <mergeCell ref="BG6:BH6"/>
    <mergeCell ref="AW7:BA7"/>
    <mergeCell ref="C8:D8"/>
    <mergeCell ref="D17:D19"/>
    <mergeCell ref="E17:E19"/>
    <mergeCell ref="B29:G29"/>
    <mergeCell ref="BE20:BH20"/>
    <mergeCell ref="C9:D9"/>
    <mergeCell ref="C10:D10"/>
    <mergeCell ref="B12:B15"/>
    <mergeCell ref="C12:C15"/>
    <mergeCell ref="D12:D15"/>
    <mergeCell ref="E12:E15"/>
    <mergeCell ref="BE12:BH12"/>
    <mergeCell ref="P13:W13"/>
    <mergeCell ref="X13:AE13"/>
    <mergeCell ref="AF13:AM13"/>
    <mergeCell ref="BB13:BB15"/>
    <mergeCell ref="BC13:BC15"/>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92D050"/>
  </sheetPr>
  <dimension ref="B1:BH31"/>
  <sheetViews>
    <sheetView showGridLines="0" zoomScale="55" zoomScaleNormal="55" workbookViewId="0">
      <selection activeCell="B10" sqref="B10:O10"/>
    </sheetView>
  </sheetViews>
  <sheetFormatPr baseColWidth="10" defaultColWidth="17.33203125" defaultRowHeight="15" customHeight="1"/>
  <cols>
    <col min="1" max="1" width="4.33203125" style="107" customWidth="1"/>
    <col min="2" max="2" width="50.44140625" style="105" customWidth="1"/>
    <col min="3" max="3" width="33.33203125" style="105" customWidth="1"/>
    <col min="4" max="4" width="49.6640625" style="105" customWidth="1"/>
    <col min="5" max="6" width="28.33203125" style="105" customWidth="1"/>
    <col min="7" max="7" width="23.33203125" style="106" customWidth="1"/>
    <col min="8" max="8" width="29.33203125" style="106" customWidth="1"/>
    <col min="9" max="9" width="27.44140625" style="105" customWidth="1"/>
    <col min="10" max="10" width="31.88671875"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0" ht="15.6" thickBot="1"/>
    <row r="2" spans="2:60" ht="15.6">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5.6">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1">
      <c r="B8" s="183" t="s">
        <v>45</v>
      </c>
      <c r="C8" s="1594" t="s">
        <v>95</v>
      </c>
      <c r="D8" s="1594"/>
      <c r="E8" s="184"/>
      <c r="F8" s="184"/>
      <c r="G8" s="184"/>
      <c r="H8" s="184"/>
      <c r="I8" s="184"/>
      <c r="J8" s="184"/>
      <c r="K8" s="184"/>
      <c r="L8" s="184"/>
      <c r="M8" s="184"/>
      <c r="N8" s="184"/>
      <c r="O8" s="184"/>
      <c r="AW8" s="1035"/>
      <c r="AX8" s="1035"/>
      <c r="AY8" s="1035"/>
      <c r="AZ8" s="1035"/>
      <c r="BA8" s="1035"/>
      <c r="BB8" s="1035"/>
      <c r="BC8" s="1035"/>
      <c r="BD8" s="1035"/>
    </row>
    <row r="9" spans="2:60" ht="83.25" customHeight="1">
      <c r="B9" s="183" t="s">
        <v>34</v>
      </c>
      <c r="C9" s="1534" t="s">
        <v>511</v>
      </c>
      <c r="D9" s="1535"/>
      <c r="E9" s="184"/>
      <c r="F9" s="184"/>
      <c r="G9" s="184"/>
      <c r="H9" s="184"/>
      <c r="I9" s="184"/>
      <c r="J9" s="184"/>
      <c r="K9" s="184"/>
      <c r="L9" s="184"/>
      <c r="M9" s="184"/>
      <c r="N9" s="184"/>
      <c r="O9" s="184"/>
      <c r="AW9" s="1035"/>
      <c r="AX9" s="1035"/>
      <c r="AY9" s="1035"/>
      <c r="AZ9" s="1035"/>
      <c r="BA9" s="1035"/>
      <c r="BB9" s="1035"/>
      <c r="BC9" s="1035"/>
      <c r="BD9" s="1035"/>
    </row>
    <row r="10" spans="2:60"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30.6"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2:60"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13.2"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0" ht="164.4" customHeight="1">
      <c r="B16" s="147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77" t="str">
        <f>+'01-FR-03 POA INSTITUCIONAL'!C69</f>
        <v>4.4. Implementar el 100% de las acciones necesarias para la modernización de la gestión institucional a través de los procesos de apoyo, que permita una mejor prestación del servicio.</v>
      </c>
      <c r="D16" s="27" t="str">
        <f>+'01-FR-03 POA INSTITUCIONAL'!D75</f>
        <v>4.4.7 Realizar el 95% del reparto, dentro de un término no superior a tres (3) días hábiles, de las comunicaciones oficiales institucionales recibidas por el Grupo de Correspondencia.</v>
      </c>
      <c r="E16" s="38">
        <f>+'01-FR-03 POA INSTITUCIONAL'!E75</f>
        <v>0.05</v>
      </c>
      <c r="F16" s="38">
        <f>+'01-FR-03 POA INSTITUCIONAL'!F75</f>
        <v>0.95</v>
      </c>
      <c r="G16" s="132">
        <f>+'01-FR-03 POA INSTITUCIONAL'!L75</f>
        <v>0.95</v>
      </c>
      <c r="H16" s="1030" t="str">
        <f>+'01-FR-03 POA INSTITUCIONAL'!G75</f>
        <v>S.I.</v>
      </c>
      <c r="I16" s="1030" t="str">
        <f>+'01-FR-03 POA INSTITUCIONAL'!H75</f>
        <v>Porcentaje de Comunicaciones oficiales con reparto realizado dentro de los 3 días hábiles desde su radicación</v>
      </c>
      <c r="J16" s="185" t="s">
        <v>672</v>
      </c>
      <c r="K16" s="215" t="s">
        <v>1118</v>
      </c>
      <c r="L16" s="854" t="s">
        <v>673</v>
      </c>
      <c r="M16" s="187" t="s">
        <v>496</v>
      </c>
      <c r="N16" s="205" t="s">
        <v>497</v>
      </c>
      <c r="O16" s="401" t="str">
        <f>+'01-FR-03 POA INSTITUCIONAL'!J75</f>
        <v>Subdirección de Gestión Documental y Recursos Físicos - Grupo de Correspondencia</v>
      </c>
      <c r="P16" s="855">
        <v>0.95</v>
      </c>
      <c r="Q16" s="842">
        <v>0.98380000000000001</v>
      </c>
      <c r="R16" s="855">
        <v>0.95</v>
      </c>
      <c r="S16" s="842">
        <v>0.98470000000000002</v>
      </c>
      <c r="T16" s="855">
        <v>0.95</v>
      </c>
      <c r="U16" s="842">
        <v>0.98719999999999997</v>
      </c>
      <c r="V16" s="283">
        <f>AVERAGE(P16,R16,T16)</f>
        <v>0.94999999999999984</v>
      </c>
      <c r="W16" s="284">
        <f>IFERROR(AVERAGE(Q16,S16,U16),0)</f>
        <v>0.98523333333333341</v>
      </c>
      <c r="X16" s="855">
        <v>0.95</v>
      </c>
      <c r="Y16" s="842">
        <v>0.9899</v>
      </c>
      <c r="Z16" s="855">
        <v>0.95</v>
      </c>
      <c r="AA16" s="842">
        <v>0.99619999999999997</v>
      </c>
      <c r="AB16" s="855">
        <v>0.95</v>
      </c>
      <c r="AC16" s="842">
        <v>0.99609999999999999</v>
      </c>
      <c r="AD16" s="283">
        <f>AVERAGE(X16,Z16,AB16)</f>
        <v>0.94999999999999984</v>
      </c>
      <c r="AE16" s="283">
        <f>IFERROR(AVERAGE(Y16,AA16,AC16),0)</f>
        <v>0.99406666666666654</v>
      </c>
      <c r="AF16" s="855">
        <v>0.95</v>
      </c>
      <c r="AG16" s="903">
        <v>0.96819999999999995</v>
      </c>
      <c r="AH16" s="855">
        <v>0.95</v>
      </c>
      <c r="AI16" s="942">
        <v>0.98419999999999996</v>
      </c>
      <c r="AJ16" s="855">
        <v>0.95</v>
      </c>
      <c r="AK16" s="903">
        <v>0.98429999999999995</v>
      </c>
      <c r="AL16" s="283">
        <f>AVERAGE(AF16,AH16,AJ16)</f>
        <v>0.94999999999999984</v>
      </c>
      <c r="AM16" s="283">
        <f>IFERROR(AVERAGE(AG16,AI16,AK16),0)</f>
        <v>0.97889999999999999</v>
      </c>
      <c r="AN16" s="855">
        <v>0.95</v>
      </c>
      <c r="AO16" s="903">
        <v>0.98399999999999999</v>
      </c>
      <c r="AP16" s="855">
        <v>0.95</v>
      </c>
      <c r="AQ16" s="903">
        <v>0.98070000000000002</v>
      </c>
      <c r="AR16" s="855">
        <v>0.95</v>
      </c>
      <c r="AS16" s="903">
        <v>0.97689999999999999</v>
      </c>
      <c r="AT16" s="283">
        <f>AVERAGE(AN16,AP16,AR16)</f>
        <v>0.94999999999999984</v>
      </c>
      <c r="AU16" s="283">
        <f>IFERROR(AVERAGE(AO16,AQ16,AS16),0)</f>
        <v>0.98053333333333337</v>
      </c>
      <c r="AV16" s="283">
        <f>AVERAGE(P16,R16,T16,X16,Z16,AB16,AF16,AH16,AJ16,AN16,AP16,AR16)</f>
        <v>0.94999999999999984</v>
      </c>
      <c r="AW16" s="271">
        <f>IFERROR(IF(OR($AV$16="",$AV$16=0),0,ROUNDDOWN(AVERAGE($Q16,$S16,$U16),3)),0)</f>
        <v>0.98499999999999999</v>
      </c>
      <c r="AX16" s="271">
        <f>IFERROR(IF(OR($AV$16="",$AV$16=0),0,ROUNDDOWN(AVERAGE($Q16,$S16,$U16,$Y16,$AA16,$AC16),3)),0)</f>
        <v>0.98899999999999999</v>
      </c>
      <c r="AY16" s="271">
        <f>IFERROR(IF(OR($AV$16="",$AV$16=0),0,ROUNDDOWN(AVERAGE($Q16,$S16,$U16,$Y16,$AA16,$AC16,$AG16,$AI16,$AK16),3)),0)</f>
        <v>0.98599999999999999</v>
      </c>
      <c r="AZ16" s="288">
        <f>(IFERROR(IF(OR($AV$16="",$AV$16=0),0,ROUNDDOWN(AVERAGE($Q16,$S16,$U16,$Y16,$AA16,$AC16,$AG16,$AI16,$AK16,$AO16,$AQ16,$AS16),3)),0))+0.0006</f>
        <v>0.98460000000000003</v>
      </c>
      <c r="BA16" s="299">
        <f>(IF(AND(AW16&gt;0,$AV16&gt;0),AW16/$AV16,0))*0.25</f>
        <v>0.2592105263157895</v>
      </c>
      <c r="BB16" s="299">
        <f>(IF(AND(AX16&gt;0,$AV16&gt;0),AX16/$AV16,0))*0.5</f>
        <v>0.52052631578947373</v>
      </c>
      <c r="BC16" s="299">
        <f>(IF(AND(AY16&gt;0,$AV16&gt;0),AY16/$AV16,0))*0.75</f>
        <v>0.77842105263157912</v>
      </c>
      <c r="BD16" s="299">
        <f>(IF(AND(AZ16&gt;0,$AV16&gt;0),AZ16/$AV16,0))*1</f>
        <v>1.0364210526315791</v>
      </c>
      <c r="BE16" s="304">
        <f>((IF(AND(AW16&gt;0,$F16&gt;0),AW16/$F16,0))*0.25)*0.25</f>
        <v>6.4802631578947376E-2</v>
      </c>
      <c r="BF16" s="304">
        <f>((IF(AND(AX16&gt;0,$F16&gt;0),AX16/$F16,0))*0.25)*0.5</f>
        <v>0.13013157894736843</v>
      </c>
      <c r="BG16" s="304">
        <f>((IF(AND(AY16&gt;0,$F16&gt;0),AY16/$F16,0))/4)*0.75</f>
        <v>0.19460526315789473</v>
      </c>
      <c r="BH16" s="304">
        <f>((IF(AND(AZ16&gt;0,$F16&gt;0),AZ16/$F16,0))/4)*1</f>
        <v>0.25910526315789478</v>
      </c>
    </row>
    <row r="17" spans="2:60" ht="202.2" customHeight="1">
      <c r="B17" s="1478"/>
      <c r="C17" s="1478"/>
      <c r="D17" s="27" t="str">
        <f>+'01-FR-03 POA INSTITUCIONAL'!D76</f>
        <v>4.4.8 Incorporar el 80% al archivo central de las transferencias documentales provenientes de las dependencias, en razón a que cumplen los requisitos exigidos para ello.</v>
      </c>
      <c r="E17" s="38">
        <f>+'01-FR-03 POA INSTITUCIONAL'!E76</f>
        <v>0.05</v>
      </c>
      <c r="F17" s="38">
        <f>+'01-FR-03 POA INSTITUCIONAL'!F76</f>
        <v>0.8</v>
      </c>
      <c r="G17" s="132">
        <f>+'01-FR-03 POA INSTITUCIONAL'!L76</f>
        <v>0.8</v>
      </c>
      <c r="H17" s="1030">
        <f>+'01-FR-03 POA INSTITUCIONAL'!G76</f>
        <v>264</v>
      </c>
      <c r="I17" s="1030" t="str">
        <f>+'01-FR-03 POA INSTITUCIONAL'!H76</f>
        <v>Porcentaje de documentación incorporada en el archivo central durante la vigencia.</v>
      </c>
      <c r="J17" s="185" t="s">
        <v>513</v>
      </c>
      <c r="K17" s="215" t="s">
        <v>498</v>
      </c>
      <c r="L17" s="187" t="s">
        <v>499</v>
      </c>
      <c r="M17" s="187" t="s">
        <v>496</v>
      </c>
      <c r="N17" s="205" t="s">
        <v>500</v>
      </c>
      <c r="O17" s="401" t="str">
        <f>+'01-FR-03 POA INSTITUCIONAL'!J76</f>
        <v>Subdirección de Gestión Documental y Recursos Físicos - Archivo central</v>
      </c>
      <c r="P17" s="855">
        <v>0.8</v>
      </c>
      <c r="Q17" s="855">
        <v>0.8</v>
      </c>
      <c r="R17" s="855">
        <v>0.8</v>
      </c>
      <c r="S17" s="855">
        <v>1</v>
      </c>
      <c r="T17" s="855">
        <v>0.8</v>
      </c>
      <c r="U17" s="866">
        <v>0.82599999999999996</v>
      </c>
      <c r="V17" s="283">
        <f>AVERAGE(P17,R17,T17)</f>
        <v>0.80000000000000016</v>
      </c>
      <c r="W17" s="283">
        <f>IFERROR(AVERAGE(Q17,S17,U17),0)</f>
        <v>0.8753333333333333</v>
      </c>
      <c r="X17" s="855">
        <v>0.8</v>
      </c>
      <c r="Y17" s="842">
        <v>0.76900000000000002</v>
      </c>
      <c r="Z17" s="855">
        <v>0.8</v>
      </c>
      <c r="AA17" s="842">
        <v>0.90300000000000002</v>
      </c>
      <c r="AB17" s="855">
        <v>0.8</v>
      </c>
      <c r="AC17" s="866">
        <v>0.97499999999999998</v>
      </c>
      <c r="AD17" s="283">
        <f>AVERAGE(X17,Z17,AB17)</f>
        <v>0.80000000000000016</v>
      </c>
      <c r="AE17" s="283">
        <f>IFERROR(AVERAGE(Y17,AA17,AC17),0)</f>
        <v>0.88233333333333341</v>
      </c>
      <c r="AF17" s="855">
        <v>0.8</v>
      </c>
      <c r="AG17" s="675">
        <v>0.8</v>
      </c>
      <c r="AH17" s="855">
        <v>0.8</v>
      </c>
      <c r="AI17" s="941">
        <v>0.8</v>
      </c>
      <c r="AJ17" s="855">
        <v>0.8</v>
      </c>
      <c r="AK17" s="902">
        <v>0.80500000000000005</v>
      </c>
      <c r="AL17" s="283">
        <f>AVERAGE(AF17,AH17,AJ17)</f>
        <v>0.80000000000000016</v>
      </c>
      <c r="AM17" s="283">
        <f>IFERROR(AVERAGE(AG17,AI17,AK17),0)</f>
        <v>0.80166666666666675</v>
      </c>
      <c r="AN17" s="855">
        <v>0.8</v>
      </c>
      <c r="AO17" s="902">
        <v>0.92900000000000005</v>
      </c>
      <c r="AP17" s="855">
        <v>0.8</v>
      </c>
      <c r="AQ17" s="675">
        <v>0.81</v>
      </c>
      <c r="AR17" s="855">
        <v>0.8</v>
      </c>
      <c r="AS17" s="675">
        <v>0.8</v>
      </c>
      <c r="AT17" s="283">
        <f>AVERAGE(AN17,AP17,AR17)</f>
        <v>0.80000000000000016</v>
      </c>
      <c r="AU17" s="283">
        <f>IFERROR(AVERAGE(AO17,AQ17,AS17),0)</f>
        <v>0.84633333333333338</v>
      </c>
      <c r="AV17" s="283">
        <f>AVERAGE(P17,R17,T17,X17,Z17,AB17,AF17,AH17,AJ17,AN17,AP17,AR17)</f>
        <v>0.79999999999999993</v>
      </c>
      <c r="AW17" s="271">
        <f>IFERROR(IF(OR($AV$17="",$AV$17=0),0,ROUNDDOWN(AVERAGE($Q17,$S17,$U17),3)),0)</f>
        <v>0.875</v>
      </c>
      <c r="AX17" s="271">
        <f>IFERROR(IF(OR($AV$17="",$AV$17=0),0,ROUNDDOWN(AVERAGE($Q17,$S17,$U17,$Y17,$AA17,$AC17),3)),0)</f>
        <v>0.878</v>
      </c>
      <c r="AY17" s="271">
        <f>IFERROR(IF(OR($AV$17="",$AV$17=0),0,ROUNDDOWN(AVERAGE($Q17,$S17,$U17,$Y17,$AA17,$AC17,$AG17,$AI17,$AK17),3)),0)</f>
        <v>0.85299999999999998</v>
      </c>
      <c r="AZ17" s="288">
        <f>IFERROR(IF(OR($AV$17="",$AV$17=0),0,ROUNDDOWN(AVERAGE($Q17,$S17,$U17,$Y17,$AA17,$AC17,$AG17,$AI17,$AK17,$AO17,$AQ17,$AS17),3)),0)</f>
        <v>0.85099999999999998</v>
      </c>
      <c r="BA17" s="299">
        <f>(IF(AND(AW17&gt;0,$AV17&gt;0),AW17/$AV17,0))*0.25</f>
        <v>0.2734375</v>
      </c>
      <c r="BB17" s="299">
        <f>(IF(AND(AX17&gt;0,$AV17&gt;0),AX17/$AV17,0))*0.5</f>
        <v>0.54875000000000007</v>
      </c>
      <c r="BC17" s="299">
        <f>(IF(AND(AY17&gt;0,$AV17&gt;0),AY17/$AV17,0))*0.75</f>
        <v>0.79968750000000011</v>
      </c>
      <c r="BD17" s="299">
        <f>(IF(AND(AZ17&gt;0,$AV17&gt;0),AZ17/$AV17,0))*1</f>
        <v>1.06375</v>
      </c>
      <c r="BE17" s="304">
        <f>((IF(AND(AW17&gt;0,$F17&gt;0),AW17/$F17,0))*0.25)*0.25</f>
        <v>6.8359375E-2</v>
      </c>
      <c r="BF17" s="304">
        <f>((IF(AND(AX17&gt;0,$F17&gt;0),AX17/$F17,0))/4)*0.5</f>
        <v>0.13718749999999999</v>
      </c>
      <c r="BG17" s="304">
        <f>((IF(AND(AY17&gt;0,$F17&gt;0),AY17/$F17,0))/4)*0.75</f>
        <v>0.19992187499999997</v>
      </c>
      <c r="BH17" s="304">
        <f>((IF(AND(AZ17&gt;0,$F17&gt;0),AZ17/$F17,0))/4)</f>
        <v>0.26593749999999999</v>
      </c>
    </row>
    <row r="18" spans="2:60" ht="171.6" customHeight="1">
      <c r="B18" s="1478"/>
      <c r="C18" s="1478"/>
      <c r="D18" s="27" t="str">
        <f>+'01-FR-03 POA INSTITUCIONAL'!D77</f>
        <v>4.4.9 Realizar 100 actividades de diseño, actualización o ajuste de los instrumentos archivísticos establecidos por norma.</v>
      </c>
      <c r="E18" s="38">
        <f>+'01-FR-03 POA INSTITUCIONAL'!E77</f>
        <v>0.05</v>
      </c>
      <c r="F18" s="1030">
        <f>+'01-FR-03 POA INSTITUCIONAL'!F77</f>
        <v>100</v>
      </c>
      <c r="G18" s="264">
        <f>+'01-FR-03 POA INSTITUCIONAL'!L77</f>
        <v>25</v>
      </c>
      <c r="H18" s="1030">
        <f>+'01-FR-03 POA INSTITUCIONAL'!G77</f>
        <v>32</v>
      </c>
      <c r="I18" s="1030" t="str">
        <f>+'01-FR-03 POA INSTITUCIONAL'!H77</f>
        <v>Cantidad de actividades realizadas por año para el diseño, actualización o ajuste de los instrumentos archivísticos establecidos por norma</v>
      </c>
      <c r="J18" s="1030" t="s">
        <v>501</v>
      </c>
      <c r="K18" s="215" t="s">
        <v>502</v>
      </c>
      <c r="L18" s="187" t="s">
        <v>503</v>
      </c>
      <c r="M18" s="187" t="s">
        <v>496</v>
      </c>
      <c r="N18" s="205" t="s">
        <v>504</v>
      </c>
      <c r="O18" s="401" t="str">
        <f>+'01-FR-03 POA INSTITUCIONAL'!J77</f>
        <v xml:space="preserve">Subdirección de Gestión Documental y Recursos Físicos </v>
      </c>
      <c r="P18" s="826">
        <v>1</v>
      </c>
      <c r="Q18" s="826">
        <v>2</v>
      </c>
      <c r="R18" s="826">
        <v>2</v>
      </c>
      <c r="S18" s="826">
        <v>2</v>
      </c>
      <c r="T18" s="826">
        <v>2</v>
      </c>
      <c r="U18" s="826">
        <v>2</v>
      </c>
      <c r="V18" s="64">
        <f t="shared" ref="V18:W19" si="0">P18+R18+T18</f>
        <v>5</v>
      </c>
      <c r="W18" s="64">
        <f t="shared" si="0"/>
        <v>6</v>
      </c>
      <c r="X18" s="826">
        <v>2</v>
      </c>
      <c r="Y18" s="826">
        <v>2</v>
      </c>
      <c r="Z18" s="826">
        <v>3</v>
      </c>
      <c r="AA18" s="826">
        <v>3.5</v>
      </c>
      <c r="AB18" s="826">
        <v>2</v>
      </c>
      <c r="AC18" s="826">
        <v>2.25</v>
      </c>
      <c r="AD18" s="64">
        <f t="shared" ref="AD18:AE19" si="1">X18+Z18+AB18</f>
        <v>7</v>
      </c>
      <c r="AE18" s="64">
        <f t="shared" si="1"/>
        <v>7.75</v>
      </c>
      <c r="AF18" s="826">
        <v>2</v>
      </c>
      <c r="AG18" s="826">
        <v>2</v>
      </c>
      <c r="AH18" s="826">
        <v>3</v>
      </c>
      <c r="AI18" s="827">
        <v>1.4</v>
      </c>
      <c r="AJ18" s="827">
        <v>2</v>
      </c>
      <c r="AK18" s="827">
        <v>2.2000000000000002</v>
      </c>
      <c r="AL18" s="64">
        <f t="shared" ref="AL18:AM19" si="2">AF18+AH18+AJ18</f>
        <v>7</v>
      </c>
      <c r="AM18" s="64">
        <f t="shared" si="2"/>
        <v>5.6</v>
      </c>
      <c r="AN18" s="826">
        <v>3</v>
      </c>
      <c r="AO18" s="826">
        <v>2</v>
      </c>
      <c r="AP18" s="826">
        <v>2</v>
      </c>
      <c r="AQ18" s="826">
        <v>1.75</v>
      </c>
      <c r="AR18" s="826">
        <v>1</v>
      </c>
      <c r="AS18" s="826">
        <v>1.75</v>
      </c>
      <c r="AT18" s="64">
        <f t="shared" ref="AT18:AU19" si="3">AN18+AP18+AR18</f>
        <v>6</v>
      </c>
      <c r="AU18" s="64">
        <f t="shared" si="3"/>
        <v>5.5</v>
      </c>
      <c r="AV18" s="206">
        <f t="shared" ref="AV18:AV19" si="4">V18+AD18+AL18+AT18</f>
        <v>25</v>
      </c>
      <c r="AW18" s="57">
        <f t="shared" ref="AW18:AW19" si="5">+W18</f>
        <v>6</v>
      </c>
      <c r="AX18" s="282">
        <f t="shared" ref="AX18:AX19" si="6">+W18+AE18</f>
        <v>13.75</v>
      </c>
      <c r="AY18" s="282">
        <f t="shared" ref="AY18:AY19" si="7">+W18+AE18+AM18</f>
        <v>19.350000000000001</v>
      </c>
      <c r="AZ18" s="282">
        <f t="shared" ref="AZ18:AZ19" si="8">+W18+AE18+AM18+AU18</f>
        <v>24.85</v>
      </c>
      <c r="BA18" s="281">
        <f t="shared" ref="BA18:BA19" si="9">IF(AND(AW18&gt;0,AV18&gt;0),AW18/AV18,0)</f>
        <v>0.24</v>
      </c>
      <c r="BB18" s="281">
        <f t="shared" ref="BB18:BD19" si="10">IF(AND(AX18&gt;0,$AV18&gt;0),AX18/$AV18,0)</f>
        <v>0.55000000000000004</v>
      </c>
      <c r="BC18" s="281">
        <f t="shared" si="10"/>
        <v>0.77400000000000002</v>
      </c>
      <c r="BD18" s="281">
        <f t="shared" si="10"/>
        <v>0.99400000000000011</v>
      </c>
      <c r="BE18" s="304">
        <f>(IF(AND(AW18&gt;0,$F18&gt;0),AW18/$F18,0))</f>
        <v>0.06</v>
      </c>
      <c r="BF18" s="304">
        <f t="shared" ref="BF18:BH18" si="11">(IF(AND(AX18&gt;0,$F18&gt;0),AX18/$F18,0))</f>
        <v>0.13750000000000001</v>
      </c>
      <c r="BG18" s="304">
        <f t="shared" si="11"/>
        <v>0.19350000000000001</v>
      </c>
      <c r="BH18" s="304">
        <f t="shared" si="11"/>
        <v>0.24850000000000003</v>
      </c>
    </row>
    <row r="19" spans="2:60" ht="240">
      <c r="B19" s="1479"/>
      <c r="C19" s="1479"/>
      <c r="D19" s="27" t="str">
        <f>+'01-FR-03 POA INSTITUCIONAL'!D78</f>
        <v>4.4.10 Realizar 100 actividades de implementación de los instrumentos archivísticos establecidos por norma, y de las herramientas de apoyo a la gestión documental.</v>
      </c>
      <c r="E19" s="38">
        <f>+'01-FR-03 POA INSTITUCIONAL'!E78</f>
        <v>0.05</v>
      </c>
      <c r="F19" s="1030">
        <f>+'01-FR-03 POA INSTITUCIONAL'!F78</f>
        <v>100</v>
      </c>
      <c r="G19" s="264">
        <f>+'01-FR-03 POA INSTITUCIONAL'!L78</f>
        <v>25</v>
      </c>
      <c r="H19" s="1030">
        <f>+'01-FR-03 POA INSTITUCIONAL'!G78</f>
        <v>26</v>
      </c>
      <c r="I19" s="1030" t="str">
        <f>+'01-FR-03 POA INSTITUCIONAL'!H78</f>
        <v>Cantidad de actividades realizadas por año para implementación de los instrumentos archivísticos establecidos por norma, y de herramientas de apoyo a la gestión documental.</v>
      </c>
      <c r="J19" s="1030" t="s">
        <v>505</v>
      </c>
      <c r="K19" s="215" t="s">
        <v>506</v>
      </c>
      <c r="L19" s="187" t="s">
        <v>507</v>
      </c>
      <c r="M19" s="187" t="s">
        <v>508</v>
      </c>
      <c r="N19" s="205" t="s">
        <v>509</v>
      </c>
      <c r="O19" s="401" t="str">
        <f>+'01-FR-03 POA INSTITUCIONAL'!J78</f>
        <v>Subdirección de Gestión Documental y Recursos Físicos
Dirección de Tecnologías de la Información y Comunicaciones</v>
      </c>
      <c r="P19" s="826">
        <v>1</v>
      </c>
      <c r="Q19" s="826">
        <v>1</v>
      </c>
      <c r="R19" s="826">
        <v>2</v>
      </c>
      <c r="S19" s="826">
        <v>2</v>
      </c>
      <c r="T19" s="826">
        <v>2</v>
      </c>
      <c r="U19" s="826">
        <v>2</v>
      </c>
      <c r="V19" s="64">
        <f t="shared" si="0"/>
        <v>5</v>
      </c>
      <c r="W19" s="64">
        <f t="shared" si="0"/>
        <v>5</v>
      </c>
      <c r="X19" s="826">
        <v>2</v>
      </c>
      <c r="Y19" s="826">
        <v>2</v>
      </c>
      <c r="Z19" s="962">
        <v>3</v>
      </c>
      <c r="AA19" s="826">
        <v>2.5</v>
      </c>
      <c r="AB19" s="826">
        <v>2</v>
      </c>
      <c r="AC19" s="826">
        <v>2.5</v>
      </c>
      <c r="AD19" s="64">
        <f t="shared" si="1"/>
        <v>7</v>
      </c>
      <c r="AE19" s="64">
        <f t="shared" si="1"/>
        <v>7</v>
      </c>
      <c r="AF19" s="826">
        <v>2</v>
      </c>
      <c r="AG19" s="826">
        <v>1.5</v>
      </c>
      <c r="AH19" s="826">
        <v>3</v>
      </c>
      <c r="AI19" s="963">
        <v>3.75</v>
      </c>
      <c r="AJ19" s="827">
        <v>2</v>
      </c>
      <c r="AK19" s="827">
        <v>2.1</v>
      </c>
      <c r="AL19" s="64">
        <f t="shared" si="2"/>
        <v>7</v>
      </c>
      <c r="AM19" s="64">
        <f t="shared" si="2"/>
        <v>7.35</v>
      </c>
      <c r="AN19" s="826">
        <v>3</v>
      </c>
      <c r="AO19" s="958">
        <v>2.75</v>
      </c>
      <c r="AP19" s="826">
        <v>2</v>
      </c>
      <c r="AQ19" s="826">
        <v>2.25</v>
      </c>
      <c r="AR19" s="826">
        <v>1</v>
      </c>
      <c r="AS19" s="826">
        <v>1.25</v>
      </c>
      <c r="AT19" s="64">
        <f t="shared" si="3"/>
        <v>6</v>
      </c>
      <c r="AU19" s="64">
        <f t="shared" si="3"/>
        <v>6.25</v>
      </c>
      <c r="AV19" s="206">
        <f t="shared" si="4"/>
        <v>25</v>
      </c>
      <c r="AW19" s="57">
        <f t="shared" si="5"/>
        <v>5</v>
      </c>
      <c r="AX19" s="282">
        <f t="shared" si="6"/>
        <v>12</v>
      </c>
      <c r="AY19" s="282">
        <f t="shared" si="7"/>
        <v>19.350000000000001</v>
      </c>
      <c r="AZ19" s="282">
        <f t="shared" si="8"/>
        <v>25.6</v>
      </c>
      <c r="BA19" s="281">
        <f t="shared" si="9"/>
        <v>0.2</v>
      </c>
      <c r="BB19" s="281">
        <f t="shared" si="10"/>
        <v>0.48</v>
      </c>
      <c r="BC19" s="281">
        <f t="shared" si="10"/>
        <v>0.77400000000000002</v>
      </c>
      <c r="BD19" s="281">
        <f t="shared" si="10"/>
        <v>1.024</v>
      </c>
      <c r="BE19" s="304">
        <f>(IF(AND(AW19&gt;0,$F19&gt;0),AW19/$F19,0))</f>
        <v>0.05</v>
      </c>
      <c r="BF19" s="304">
        <f t="shared" ref="BF19" si="12">(IF(AND(AX19&gt;0,$F19&gt;0),AX19/$F19,0))</f>
        <v>0.12</v>
      </c>
      <c r="BG19" s="304">
        <f t="shared" ref="BG19" si="13">(IF(AND(AY19&gt;0,$F19&gt;0),AY19/$F19,0))</f>
        <v>0.19350000000000001</v>
      </c>
      <c r="BH19" s="304">
        <f t="shared" ref="BH19" si="14">(IF(AND(AZ19&gt;0,$F19&gt;0),AZ19/$F19,0))</f>
        <v>0.25600000000000001</v>
      </c>
    </row>
    <row r="20" spans="2:60" ht="22.8">
      <c r="B20" s="1504"/>
      <c r="C20" s="1505"/>
      <c r="D20" s="1505"/>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1505"/>
      <c r="AL20" s="1505"/>
      <c r="AM20" s="1505"/>
      <c r="AN20" s="1505"/>
      <c r="AO20" s="1505"/>
      <c r="AP20" s="1505"/>
      <c r="AQ20" s="1505"/>
      <c r="AR20" s="1505"/>
      <c r="AS20" s="1505"/>
      <c r="AT20" s="1505"/>
      <c r="AU20" s="1505"/>
      <c r="AV20" s="1505"/>
      <c r="AW20" s="1583"/>
      <c r="AX20" s="1538" t="s">
        <v>19</v>
      </c>
      <c r="AY20" s="1581"/>
      <c r="AZ20" s="1581"/>
      <c r="BA20" s="1037">
        <f t="shared" ref="BA20:BD20" si="15">AVERAGE(BA16:BA19)</f>
        <v>0.24316200657894738</v>
      </c>
      <c r="BB20" s="1037">
        <f t="shared" si="15"/>
        <v>0.52481907894736846</v>
      </c>
      <c r="BC20" s="1037">
        <f t="shared" si="15"/>
        <v>0.78152713815789476</v>
      </c>
      <c r="BD20" s="1037">
        <f t="shared" si="15"/>
        <v>1.0295427631578948</v>
      </c>
      <c r="BE20" s="1595"/>
      <c r="BF20" s="1596"/>
      <c r="BG20" s="1596"/>
      <c r="BH20" s="1597"/>
    </row>
    <row r="21" spans="2:60">
      <c r="B21" s="1500"/>
      <c r="C21" s="1500"/>
      <c r="D21" s="1500"/>
      <c r="E21" s="1500"/>
      <c r="F21" s="1500"/>
      <c r="G21" s="1500"/>
      <c r="H21" s="208"/>
      <c r="I21" s="209"/>
      <c r="J21" s="209"/>
      <c r="K21" s="209"/>
      <c r="L21" s="209"/>
      <c r="M21" s="209"/>
      <c r="N21" s="209"/>
      <c r="O21" s="209"/>
    </row>
    <row r="22" spans="2:60">
      <c r="B22" s="209"/>
      <c r="C22" s="209"/>
      <c r="D22" s="1520"/>
      <c r="E22" s="1520"/>
      <c r="F22" s="1520"/>
      <c r="G22" s="1520"/>
      <c r="H22" s="1520"/>
      <c r="I22" s="1520"/>
      <c r="J22" s="1520"/>
      <c r="K22" s="1520"/>
      <c r="L22" s="1520"/>
      <c r="M22" s="1520"/>
      <c r="N22" s="1520"/>
      <c r="O22" s="1520"/>
    </row>
    <row r="23" spans="2:60" ht="15.6">
      <c r="B23" s="54" t="s">
        <v>26</v>
      </c>
      <c r="C23" s="210">
        <v>44224</v>
      </c>
      <c r="D23" s="211"/>
      <c r="E23" s="1510" t="s">
        <v>50</v>
      </c>
      <c r="F23" s="1032"/>
      <c r="G23" s="1511" t="s">
        <v>510</v>
      </c>
      <c r="H23" s="1511"/>
      <c r="I23" s="1511"/>
      <c r="J23" s="1511"/>
      <c r="K23" s="212"/>
      <c r="L23" s="1567"/>
      <c r="M23" s="1567"/>
      <c r="N23" s="1567"/>
      <c r="O23" s="1587"/>
    </row>
    <row r="24" spans="2:60" ht="15.6">
      <c r="B24" s="209"/>
      <c r="C24" s="209"/>
      <c r="D24" s="212"/>
      <c r="E24" s="1510"/>
      <c r="F24" s="1032"/>
      <c r="G24" s="1511"/>
      <c r="H24" s="1511"/>
      <c r="I24" s="1511"/>
      <c r="J24" s="1511"/>
      <c r="K24" s="209"/>
      <c r="L24" s="209"/>
      <c r="M24" s="209"/>
      <c r="N24" s="209"/>
      <c r="O24" s="209"/>
    </row>
    <row r="25" spans="2:60" ht="15.6">
      <c r="B25" s="54" t="s">
        <v>49</v>
      </c>
      <c r="C25" s="56">
        <v>44581</v>
      </c>
      <c r="D25" s="209"/>
      <c r="E25" s="209"/>
      <c r="F25" s="209"/>
      <c r="K25" s="209"/>
      <c r="L25" s="209"/>
      <c r="M25" s="209"/>
      <c r="N25" s="209"/>
      <c r="O25" s="209"/>
    </row>
    <row r="26" spans="2:60">
      <c r="B26" s="209"/>
      <c r="C26" s="209"/>
      <c r="D26" s="209"/>
      <c r="E26" s="209"/>
      <c r="F26" s="209"/>
      <c r="K26" s="209"/>
      <c r="L26" s="209"/>
      <c r="M26" s="209"/>
      <c r="N26" s="209"/>
      <c r="O26" s="209"/>
    </row>
    <row r="27" spans="2:60">
      <c r="B27" s="1646" t="s">
        <v>916</v>
      </c>
      <c r="C27" s="1646"/>
      <c r="D27" s="1646"/>
      <c r="E27" s="1646"/>
      <c r="F27" s="1646"/>
      <c r="G27" s="1646"/>
      <c r="H27" s="208"/>
      <c r="I27" s="1586"/>
      <c r="J27" s="1586"/>
      <c r="K27" s="1586"/>
      <c r="L27" s="1586"/>
      <c r="M27" s="1034"/>
      <c r="N27" s="1034"/>
      <c r="O27" s="1034"/>
    </row>
    <row r="28" spans="2:60">
      <c r="B28" s="209"/>
      <c r="C28" s="209"/>
      <c r="D28" s="209"/>
      <c r="E28" s="209"/>
      <c r="F28" s="209"/>
      <c r="G28" s="208"/>
      <c r="H28" s="208"/>
      <c r="I28" s="209"/>
      <c r="J28" s="209"/>
      <c r="K28" s="214"/>
      <c r="L28" s="209"/>
      <c r="M28" s="209"/>
      <c r="N28" s="209"/>
      <c r="O28" s="209"/>
    </row>
    <row r="29" spans="2:60">
      <c r="B29" s="209"/>
      <c r="C29" s="209"/>
      <c r="D29" s="209"/>
      <c r="E29" s="209"/>
      <c r="F29" s="209"/>
      <c r="G29" s="208"/>
      <c r="H29" s="208"/>
      <c r="I29" s="1586"/>
      <c r="J29" s="1586"/>
      <c r="K29" s="1586"/>
      <c r="L29" s="1586"/>
      <c r="M29" s="1034"/>
      <c r="N29" s="1034"/>
      <c r="O29" s="1034"/>
    </row>
    <row r="30" spans="2:60">
      <c r="B30" s="209"/>
      <c r="C30" s="209"/>
      <c r="D30" s="209"/>
      <c r="E30" s="209"/>
      <c r="F30" s="209"/>
      <c r="G30" s="208"/>
      <c r="H30" s="208"/>
      <c r="I30" s="209"/>
      <c r="J30" s="209"/>
      <c r="K30" s="214"/>
      <c r="L30" s="209"/>
      <c r="M30" s="209"/>
      <c r="N30" s="209"/>
      <c r="O30" s="209"/>
    </row>
    <row r="31" spans="2:60">
      <c r="B31" s="209"/>
      <c r="C31" s="209"/>
      <c r="D31" s="209"/>
      <c r="E31" s="209"/>
      <c r="F31" s="209"/>
      <c r="G31" s="208"/>
      <c r="H31" s="208"/>
      <c r="I31" s="1586"/>
      <c r="J31" s="1586"/>
      <c r="K31" s="1586"/>
      <c r="L31" s="1586"/>
      <c r="M31" s="1034"/>
      <c r="N31" s="1034"/>
      <c r="O31" s="1034"/>
    </row>
  </sheetData>
  <sheetProtection algorithmName="SHA-512" hashValue="xcCv0i++d6n1D1YlAUZEpxHGXCY0lvgGz07qlX3Onj9RL3ANyGdixY76Mlx7y8yQtRmOtU0H99l/+DJPR3SeAg==" saltValue="CMFoEnwPHJzh9NmA9kPxEQ==" spinCount="100000" sheet="1" objects="1" scenarios="1"/>
  <mergeCells count="72">
    <mergeCell ref="BE20:BH20"/>
    <mergeCell ref="I29:L29"/>
    <mergeCell ref="I31:L31"/>
    <mergeCell ref="B21:G21"/>
    <mergeCell ref="AX20:AZ20"/>
    <mergeCell ref="D22:O22"/>
    <mergeCell ref="E23:E24"/>
    <mergeCell ref="G23:J24"/>
    <mergeCell ref="L23:O23"/>
    <mergeCell ref="I27:L27"/>
    <mergeCell ref="B20:AW20"/>
    <mergeCell ref="B27:G27"/>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AN14:AO14"/>
    <mergeCell ref="N12:N15"/>
    <mergeCell ref="O12:O15"/>
    <mergeCell ref="H12:H15"/>
    <mergeCell ref="I12:I15"/>
    <mergeCell ref="J12:J15"/>
    <mergeCell ref="AD14:AE14"/>
    <mergeCell ref="AF14:AG14"/>
    <mergeCell ref="AH14:AI14"/>
    <mergeCell ref="K12:K15"/>
    <mergeCell ref="L12:L15"/>
    <mergeCell ref="M12:M15"/>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92D050"/>
  </sheetPr>
  <dimension ref="A1:BH32"/>
  <sheetViews>
    <sheetView showGridLines="0" zoomScale="55" zoomScaleNormal="55" workbookViewId="0">
      <selection activeCell="B10" sqref="B10:O10"/>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6" width="27.5546875" style="105" customWidth="1"/>
    <col min="7" max="8" width="29.33203125" style="106" customWidth="1"/>
    <col min="9" max="9" width="31" style="105" customWidth="1"/>
    <col min="10" max="10" width="46.44140625"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1:60" ht="15.6" thickBot="1"/>
    <row r="2" spans="1:60" ht="15.6" customHeight="1">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1:60" ht="15.6" customHeight="1">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1:60"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1:60" ht="15.6" customHeight="1">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1:60"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1: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201"/>
      <c r="BC7" s="201"/>
      <c r="BD7" s="201"/>
      <c r="BE7" s="110"/>
      <c r="BF7" s="110"/>
    </row>
    <row r="8" spans="1:60" ht="21">
      <c r="B8" s="183" t="s">
        <v>45</v>
      </c>
      <c r="C8" s="1594" t="s">
        <v>96</v>
      </c>
      <c r="D8" s="1594"/>
      <c r="E8" s="184"/>
      <c r="F8" s="184"/>
      <c r="G8" s="184"/>
      <c r="H8" s="184"/>
      <c r="I8" s="184"/>
      <c r="J8" s="184"/>
      <c r="K8" s="184"/>
      <c r="L8" s="184"/>
      <c r="M8" s="184"/>
      <c r="N8" s="184"/>
      <c r="O8" s="184"/>
      <c r="AW8" s="201"/>
      <c r="AX8" s="201"/>
      <c r="AY8" s="201"/>
      <c r="AZ8" s="201"/>
      <c r="BA8" s="201"/>
      <c r="BB8" s="201"/>
      <c r="BC8" s="201"/>
      <c r="BD8" s="201"/>
    </row>
    <row r="9" spans="1:60" ht="147.6" customHeight="1">
      <c r="B9" s="183" t="s">
        <v>34</v>
      </c>
      <c r="C9" s="1621" t="s">
        <v>1187</v>
      </c>
      <c r="D9" s="1535"/>
      <c r="E9" s="184"/>
      <c r="F9" s="184"/>
      <c r="G9" s="184"/>
      <c r="H9" s="184"/>
      <c r="I9" s="184"/>
      <c r="J9" s="184"/>
      <c r="K9" s="184"/>
      <c r="L9" s="184"/>
      <c r="M9" s="184"/>
      <c r="N9" s="184"/>
      <c r="O9" s="184"/>
      <c r="AW9" s="201"/>
      <c r="AX9" s="201"/>
      <c r="AY9" s="201"/>
      <c r="AZ9" s="201"/>
      <c r="BA9" s="201"/>
      <c r="BB9" s="201"/>
      <c r="BC9" s="201"/>
      <c r="BD9" s="201"/>
    </row>
    <row r="10" spans="1:60" ht="24.6">
      <c r="B10" s="183" t="s">
        <v>101</v>
      </c>
      <c r="C10" s="1536">
        <v>2022</v>
      </c>
      <c r="D10" s="1537"/>
      <c r="E10" s="184"/>
      <c r="F10" s="184"/>
      <c r="G10" s="184"/>
      <c r="H10" s="184"/>
      <c r="I10" s="184"/>
      <c r="J10" s="184"/>
      <c r="K10" s="184"/>
      <c r="L10" s="184"/>
      <c r="M10" s="184"/>
      <c r="N10" s="184"/>
      <c r="O10" s="184"/>
      <c r="AW10" s="201"/>
      <c r="AX10" s="201"/>
      <c r="AY10" s="201"/>
      <c r="AZ10" s="201"/>
      <c r="BA10" s="201"/>
      <c r="BB10" s="201"/>
      <c r="BC10" s="201"/>
      <c r="BD10" s="201"/>
    </row>
    <row r="11" spans="1:60">
      <c r="B11" s="108"/>
      <c r="C11" s="108"/>
      <c r="D11" s="108"/>
      <c r="E11" s="108"/>
      <c r="F11" s="108"/>
      <c r="G11" s="109"/>
      <c r="H11" s="109"/>
      <c r="I11" s="108"/>
      <c r="J11" s="108"/>
      <c r="K11" s="108"/>
      <c r="L11" s="108"/>
      <c r="M11" s="108"/>
      <c r="N11" s="108"/>
      <c r="O11" s="108"/>
      <c r="AW11" s="201"/>
      <c r="AX11" s="201"/>
      <c r="AY11" s="201"/>
      <c r="AZ11" s="201"/>
      <c r="BA11" s="201"/>
      <c r="BB11" s="201"/>
      <c r="BC11" s="201"/>
      <c r="BD11" s="201"/>
    </row>
    <row r="12" spans="1:60" ht="24"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1:60"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1:60"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1:60" ht="13.2"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1:60" ht="102.6" customHeight="1">
      <c r="A16" s="229"/>
      <c r="B16" s="154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0" t="str">
        <f>+'01-FR-03 POA INSTITUCIONAL'!C69</f>
        <v>4.4. Implementar el 100% de las acciones necesarias para la modernización de la gestión institucional a través de los procesos de apoyo, que permita una mejor prestación del servicio.</v>
      </c>
      <c r="D16" s="27" t="str">
        <f>+'01-FR-03 POA INSTITUCIONAL'!D79</f>
        <v>4.4.11  Representar a la Entidad en el 100% de los procesos judiciales en los cuales la sea vinculada o demandada.</v>
      </c>
      <c r="E16" s="38">
        <f>+'01-FR-03 POA INSTITUCIONAL'!E79</f>
        <v>0.05</v>
      </c>
      <c r="F16" s="38">
        <f>+'01-FR-03 POA INSTITUCIONAL'!F79</f>
        <v>1</v>
      </c>
      <c r="G16" s="132">
        <f>+'01-FR-03 POA INSTITUCIONAL'!L79</f>
        <v>1</v>
      </c>
      <c r="H16" s="29">
        <f>+'01-FR-03 POA INSTITUCIONAL'!G79</f>
        <v>1</v>
      </c>
      <c r="I16" s="112" t="str">
        <f>+'01-FR-03 POA INSTITUCIONAL'!H79</f>
        <v>Porcentaje de procesos judiciales en los que se vincule o demande a la Entidad, objeto de representación oportuna</v>
      </c>
      <c r="J16" s="262" t="s">
        <v>524</v>
      </c>
      <c r="K16" s="187" t="s">
        <v>525</v>
      </c>
      <c r="L16" s="187" t="s">
        <v>526</v>
      </c>
      <c r="M16" s="187" t="s">
        <v>527</v>
      </c>
      <c r="N16" s="187" t="s">
        <v>528</v>
      </c>
      <c r="O16" s="263" t="str">
        <f>+'01-FR-03 POA INSTITUCIONAL'!J79</f>
        <v>Oficina Asesora Jurídica</v>
      </c>
      <c r="P16" s="117">
        <v>1</v>
      </c>
      <c r="Q16" s="117">
        <v>1</v>
      </c>
      <c r="R16" s="117">
        <v>1</v>
      </c>
      <c r="S16" s="117">
        <v>1</v>
      </c>
      <c r="T16" s="117">
        <v>1</v>
      </c>
      <c r="U16" s="117">
        <v>1</v>
      </c>
      <c r="V16" s="45">
        <f>AVERAGE(P16,R16,T16)</f>
        <v>1</v>
      </c>
      <c r="W16" s="45">
        <f>IFERROR(AVERAGE(Q16,S16,U16),0)</f>
        <v>1</v>
      </c>
      <c r="X16" s="117">
        <v>1</v>
      </c>
      <c r="Y16" s="117">
        <v>1</v>
      </c>
      <c r="Z16" s="117">
        <v>1</v>
      </c>
      <c r="AA16" s="117">
        <v>1</v>
      </c>
      <c r="AB16" s="117">
        <v>1</v>
      </c>
      <c r="AC16" s="117">
        <v>1</v>
      </c>
      <c r="AD16" s="45">
        <f>AVERAGE(X16,Z16,AB16)</f>
        <v>1</v>
      </c>
      <c r="AE16" s="45">
        <f>IFERROR(AVERAGE(Y16,AA16,AC16),0)</f>
        <v>1</v>
      </c>
      <c r="AF16" s="117">
        <v>1</v>
      </c>
      <c r="AG16" s="117">
        <v>1</v>
      </c>
      <c r="AH16" s="117">
        <v>1</v>
      </c>
      <c r="AI16" s="117">
        <v>1</v>
      </c>
      <c r="AJ16" s="117">
        <v>1</v>
      </c>
      <c r="AK16" s="117">
        <v>1</v>
      </c>
      <c r="AL16" s="45">
        <f>AVERAGE(AF16,AH16,AJ16)</f>
        <v>1</v>
      </c>
      <c r="AM16" s="45">
        <f>IFERROR(AVERAGE(AG16,AI16,AK16),0)</f>
        <v>1</v>
      </c>
      <c r="AN16" s="117">
        <v>1</v>
      </c>
      <c r="AO16" s="117">
        <v>1</v>
      </c>
      <c r="AP16" s="117">
        <v>1</v>
      </c>
      <c r="AQ16" s="960">
        <v>1</v>
      </c>
      <c r="AR16" s="117">
        <v>1</v>
      </c>
      <c r="AS16" s="117">
        <v>1</v>
      </c>
      <c r="AT16" s="45">
        <f>AVERAGE(AN16,AP16,AR16)</f>
        <v>1</v>
      </c>
      <c r="AU16" s="45">
        <f>IFERROR(AVERAGE(AO16,AQ16,AS16),0)</f>
        <v>1</v>
      </c>
      <c r="AV16" s="45">
        <f>AVERAGE(P16,R16,T16,X16,Z16,AB16,AF16,AH16,AJ16,AN16,AP16,AR16)</f>
        <v>1</v>
      </c>
      <c r="AW16" s="44">
        <f>IFERROR(IF(OR($AV$16="",$AV$16=0),0,ROUNDDOWN(AVERAGE($Q16,$S16,$U16),3)),0)</f>
        <v>1</v>
      </c>
      <c r="AX16" s="44">
        <f>IFERROR(IF(OR($AV$17="",$AV$17=0),0,ROUNDDOWN(AVERAGE($Q16,$S16,$U16,$Y16,$AA16,$AC16),3)),0)</f>
        <v>1</v>
      </c>
      <c r="AY16" s="44">
        <f>IFERROR(IF(OR($AV$16="",$AV$16=0),0,ROUNDDOWN(AVERAGE($Q16,$S16,$U16,$Y16,$AA16,$AC16,$AG16,$AI16,$AK16),3)),0)</f>
        <v>1</v>
      </c>
      <c r="AZ16" s="44">
        <f t="shared" ref="AZ16:AZ20" si="0">IFERROR(IF(OR($AV$16="",$AV$16=0),0,ROUNDDOWN(AVERAGE($Q16,$S16,$U16,$Y16,$AA16,$AC16,$AG16,$AI16,$AK16,$AO16,$AQ16,$AS16),3)),0)</f>
        <v>1</v>
      </c>
      <c r="BA16" s="300">
        <f>(IF(AND(AW16&gt;0,$AV16&gt;0),AW16/$AV16,0))*0.25</f>
        <v>0.25</v>
      </c>
      <c r="BB16" s="300">
        <f>(IF(AND(AX16&gt;0,$AV16&gt;0),AX16/$AV16,0))*0.5</f>
        <v>0.5</v>
      </c>
      <c r="BC16" s="300">
        <f>(IF(AND(AY16&gt;0,$AV16&gt;0),AY16/$AV16,0))*0.75</f>
        <v>0.75</v>
      </c>
      <c r="BD16" s="300">
        <f>(IF(AND(AZ16&gt;0,$AV16&gt;0),AZ16/$AV16,0))*1</f>
        <v>1</v>
      </c>
      <c r="BE16" s="305">
        <f>((IF(AND(AW16&gt;0,$F16&gt;0),AW16/$F16,0))/4)*0.25</f>
        <v>6.25E-2</v>
      </c>
      <c r="BF16" s="304">
        <f>((IF(AND(AX16&gt;0,$F16&gt;0),AX16/$F16,0))/4)*0.5</f>
        <v>0.125</v>
      </c>
      <c r="BG16" s="304">
        <f>((IF(AND(AY16&gt;0,$F16&gt;0),AY16/$F16,0))/4)*0.75</f>
        <v>0.1875</v>
      </c>
      <c r="BH16" s="305">
        <f>((IF(AND(AZ16&gt;0,$F16&gt;0),AZ16/$F16,0))/4)*1</f>
        <v>0.25</v>
      </c>
    </row>
    <row r="17" spans="1:60" ht="150">
      <c r="A17" s="229"/>
      <c r="B17" s="1541"/>
      <c r="C17" s="1541"/>
      <c r="D17" s="27" t="str">
        <f>+'01-FR-03 POA INSTITUCIONAL'!D80</f>
        <v xml:space="preserve">4.4.12 Defender judicialmente a la Entidad en el 100% de las acciones de tutela en las cuales sea vinculada o accionada </v>
      </c>
      <c r="E17" s="38">
        <f>+'01-FR-03 POA INSTITUCIONAL'!E80</f>
        <v>0.05</v>
      </c>
      <c r="F17" s="38">
        <f>+'01-FR-03 POA INSTITUCIONAL'!F80</f>
        <v>1</v>
      </c>
      <c r="G17" s="132">
        <f>+'01-FR-03 POA INSTITUCIONAL'!L80</f>
        <v>1</v>
      </c>
      <c r="H17" s="29">
        <f>+'01-FR-03 POA INSTITUCIONAL'!G80</f>
        <v>1</v>
      </c>
      <c r="I17" s="112" t="str">
        <f>+'01-FR-03 POA INSTITUCIONAL'!H80</f>
        <v xml:space="preserve">Porcentaje de acciones de tutela en las cuales se defienda judicialmente a la Entidad oportunamente </v>
      </c>
      <c r="J17" s="262" t="s">
        <v>529</v>
      </c>
      <c r="K17" s="204" t="s">
        <v>530</v>
      </c>
      <c r="L17" s="187" t="s">
        <v>526</v>
      </c>
      <c r="M17" s="187" t="s">
        <v>527</v>
      </c>
      <c r="N17" s="187" t="s">
        <v>528</v>
      </c>
      <c r="O17" s="263" t="str">
        <f>+'01-FR-03 POA INSTITUCIONAL'!J80</f>
        <v>Oficina Asesora Jurídica</v>
      </c>
      <c r="P17" s="117">
        <v>1</v>
      </c>
      <c r="Q17" s="117">
        <v>1</v>
      </c>
      <c r="R17" s="117">
        <v>1</v>
      </c>
      <c r="S17" s="117">
        <v>1</v>
      </c>
      <c r="T17" s="117">
        <v>1</v>
      </c>
      <c r="U17" s="117">
        <v>1</v>
      </c>
      <c r="V17" s="45">
        <f t="shared" ref="V17:V19" si="1">AVERAGE(P17,R17,T17)</f>
        <v>1</v>
      </c>
      <c r="W17" s="45">
        <f t="shared" ref="W17:W18" si="2">IFERROR(AVERAGE(Q17,S17,U17),0)</f>
        <v>1</v>
      </c>
      <c r="X17" s="117">
        <v>1</v>
      </c>
      <c r="Y17" s="117">
        <v>1</v>
      </c>
      <c r="Z17" s="117">
        <v>1</v>
      </c>
      <c r="AA17" s="117">
        <v>1</v>
      </c>
      <c r="AB17" s="117">
        <v>1</v>
      </c>
      <c r="AC17" s="117">
        <v>1</v>
      </c>
      <c r="AD17" s="45">
        <f t="shared" ref="AD17:AD19" si="3">AVERAGE(X17,Z17,AB17)</f>
        <v>1</v>
      </c>
      <c r="AE17" s="45">
        <f t="shared" ref="AE17:AE19" si="4">IFERROR(AVERAGE(Y17,AA17,AC17),0)</f>
        <v>1</v>
      </c>
      <c r="AF17" s="117">
        <v>1</v>
      </c>
      <c r="AG17" s="117">
        <v>1</v>
      </c>
      <c r="AH17" s="117">
        <v>1</v>
      </c>
      <c r="AI17" s="117">
        <v>1</v>
      </c>
      <c r="AJ17" s="117">
        <v>1</v>
      </c>
      <c r="AK17" s="117">
        <v>1</v>
      </c>
      <c r="AL17" s="45">
        <f t="shared" ref="AL17:AL19" si="5">AVERAGE(AF17,AH17,AJ17)</f>
        <v>1</v>
      </c>
      <c r="AM17" s="45">
        <f t="shared" ref="AM17:AM19" si="6">IFERROR(AVERAGE(AG17,AI17,AK17),0)</f>
        <v>1</v>
      </c>
      <c r="AN17" s="117">
        <v>1</v>
      </c>
      <c r="AO17" s="117">
        <v>1</v>
      </c>
      <c r="AP17" s="117">
        <v>1</v>
      </c>
      <c r="AQ17" s="960">
        <v>1</v>
      </c>
      <c r="AR17" s="117">
        <v>1</v>
      </c>
      <c r="AS17" s="117">
        <v>1</v>
      </c>
      <c r="AT17" s="45">
        <f t="shared" ref="AT17:AT19" si="7">AVERAGE(AN17,AP17,AR17)</f>
        <v>1</v>
      </c>
      <c r="AU17" s="45">
        <f t="shared" ref="AU17:AU19" si="8">IFERROR(AVERAGE(AO17,AQ17,AS17),0)</f>
        <v>1</v>
      </c>
      <c r="AV17" s="45">
        <f t="shared" ref="AV17:AV19" si="9">AVERAGE(P17,R17,T17,X17,Z17,AB17,AF17,AH17,AJ17,AN17,AP17,AR17)</f>
        <v>1</v>
      </c>
      <c r="AW17" s="44">
        <f t="shared" ref="AW17:AW20" si="10">IFERROR(IF(OR($AV$16="",$AV$16=0),0,ROUNDDOWN(AVERAGE($Q17,$S17,$U17),3)),0)</f>
        <v>1</v>
      </c>
      <c r="AX17" s="44">
        <f t="shared" ref="AX17:AX20" si="11">IFERROR(IF(OR($AV$17="",$AV$17=0),0,ROUNDDOWN(AVERAGE($Q17,$S17,$U17,$Y17,$AA17,$AC17),3)),0)</f>
        <v>1</v>
      </c>
      <c r="AY17" s="44">
        <f t="shared" ref="AY17:AY20" si="12">IFERROR(IF(OR($AV$16="",$AV$16=0),0,ROUNDDOWN(AVERAGE($Q17,$S17,$U17,$Y17,$AA17,$AC17,$AG17,$AI17,$AK17),3)),0)</f>
        <v>1</v>
      </c>
      <c r="AZ17" s="44">
        <f t="shared" si="0"/>
        <v>1</v>
      </c>
      <c r="BA17" s="300">
        <f t="shared" ref="BA17:BA20" si="13">(IF(AND(AW17&gt;0,$AV17&gt;0),AW17/$AV17,0))*0.25</f>
        <v>0.25</v>
      </c>
      <c r="BB17" s="300">
        <f t="shared" ref="BB17:BB20" si="14">(IF(AND(AX17&gt;0,$AV17&gt;0),AX17/$AV17,0))*0.5</f>
        <v>0.5</v>
      </c>
      <c r="BC17" s="300">
        <f t="shared" ref="BC17:BC20" si="15">(IF(AND(AY17&gt;0,$AV17&gt;0),AY17/$AV17,0))*0.75</f>
        <v>0.75</v>
      </c>
      <c r="BD17" s="300">
        <f t="shared" ref="BD17:BD20" si="16">(IF(AND(AZ17&gt;0,$AV17&gt;0),AZ17/$AV17,0))*1</f>
        <v>1</v>
      </c>
      <c r="BE17" s="305">
        <f t="shared" ref="BE17:BE20" si="17">((IF(AND(AW17&gt;0,$F17&gt;0),AW17/$F17,0))/4)*0.25</f>
        <v>6.25E-2</v>
      </c>
      <c r="BF17" s="304">
        <f t="shared" ref="BF17:BF20" si="18">((IF(AND(AX17&gt;0,$F17&gt;0),AX17/$F17,0))/4)*0.5</f>
        <v>0.125</v>
      </c>
      <c r="BG17" s="304">
        <f t="shared" ref="BG17:BG20" si="19">((IF(AND(AY17&gt;0,$F17&gt;0),AY17/$F17,0))/4)*0.75</f>
        <v>0.1875</v>
      </c>
      <c r="BH17" s="305">
        <f t="shared" ref="BH17:BH20" si="20">((IF(AND(AZ17&gt;0,$F17&gt;0),AZ17/$F17,0))/4)*1</f>
        <v>0.25</v>
      </c>
    </row>
    <row r="18" spans="1:60" ht="75">
      <c r="A18" s="229"/>
      <c r="B18" s="1541"/>
      <c r="C18" s="1541"/>
      <c r="D18" s="27" t="str">
        <f>+'01-FR-03 POA INSTITUCIONAL'!D81</f>
        <v>4.4.13 Emitir oportunamente el 100% de los conceptos jurídicos solicitados por el Despacho del Personero de Bogotá o sus delegados.</v>
      </c>
      <c r="E18" s="38">
        <f>+'01-FR-03 POA INSTITUCIONAL'!E81</f>
        <v>0.05</v>
      </c>
      <c r="F18" s="38">
        <f>+'01-FR-03 POA INSTITUCIONAL'!F81</f>
        <v>1</v>
      </c>
      <c r="G18" s="132">
        <f>+'01-FR-03 POA INSTITUCIONAL'!L81</f>
        <v>1</v>
      </c>
      <c r="H18" s="29">
        <f>+'01-FR-03 POA INSTITUCIONAL'!G81</f>
        <v>1</v>
      </c>
      <c r="I18" s="112" t="str">
        <f>+'01-FR-03 POA INSTITUCIONAL'!H81</f>
        <v>Porcentaje de conceptos de competencia de la dependencia emitidos oportunamente</v>
      </c>
      <c r="J18" s="262" t="s">
        <v>531</v>
      </c>
      <c r="K18" s="204" t="s">
        <v>532</v>
      </c>
      <c r="L18" s="187" t="s">
        <v>533</v>
      </c>
      <c r="M18" s="187" t="s">
        <v>527</v>
      </c>
      <c r="N18" s="187" t="s">
        <v>528</v>
      </c>
      <c r="O18" s="263" t="str">
        <f>+'01-FR-03 POA INSTITUCIONAL'!J81</f>
        <v>Oficina Asesora Jurídica</v>
      </c>
      <c r="P18" s="117">
        <v>1</v>
      </c>
      <c r="Q18" s="117">
        <v>1</v>
      </c>
      <c r="R18" s="117">
        <v>1</v>
      </c>
      <c r="S18" s="117">
        <v>1</v>
      </c>
      <c r="T18" s="117">
        <v>1</v>
      </c>
      <c r="U18" s="117">
        <v>1</v>
      </c>
      <c r="V18" s="45">
        <f t="shared" si="1"/>
        <v>1</v>
      </c>
      <c r="W18" s="45">
        <f t="shared" si="2"/>
        <v>1</v>
      </c>
      <c r="X18" s="117">
        <v>1</v>
      </c>
      <c r="Y18" s="117">
        <v>1</v>
      </c>
      <c r="Z18" s="117">
        <v>1</v>
      </c>
      <c r="AA18" s="117">
        <v>1</v>
      </c>
      <c r="AB18" s="117">
        <v>1</v>
      </c>
      <c r="AC18" s="117">
        <v>1</v>
      </c>
      <c r="AD18" s="45">
        <f t="shared" si="3"/>
        <v>1</v>
      </c>
      <c r="AE18" s="45">
        <f t="shared" si="4"/>
        <v>1</v>
      </c>
      <c r="AF18" s="117">
        <v>1</v>
      </c>
      <c r="AG18" s="117">
        <v>1</v>
      </c>
      <c r="AH18" s="117">
        <v>1</v>
      </c>
      <c r="AI18" s="117">
        <v>1</v>
      </c>
      <c r="AJ18" s="117">
        <v>1</v>
      </c>
      <c r="AK18" s="117">
        <v>1</v>
      </c>
      <c r="AL18" s="45">
        <f t="shared" si="5"/>
        <v>1</v>
      </c>
      <c r="AM18" s="45">
        <f t="shared" si="6"/>
        <v>1</v>
      </c>
      <c r="AN18" s="117">
        <v>1</v>
      </c>
      <c r="AO18" s="117">
        <v>1</v>
      </c>
      <c r="AP18" s="117">
        <v>1</v>
      </c>
      <c r="AQ18" s="960">
        <v>1</v>
      </c>
      <c r="AR18" s="117">
        <v>1</v>
      </c>
      <c r="AS18" s="117">
        <v>1</v>
      </c>
      <c r="AT18" s="45">
        <f t="shared" si="7"/>
        <v>1</v>
      </c>
      <c r="AU18" s="45">
        <f t="shared" si="8"/>
        <v>1</v>
      </c>
      <c r="AV18" s="45">
        <f t="shared" si="9"/>
        <v>1</v>
      </c>
      <c r="AW18" s="44">
        <f t="shared" si="10"/>
        <v>1</v>
      </c>
      <c r="AX18" s="44">
        <f t="shared" si="11"/>
        <v>1</v>
      </c>
      <c r="AY18" s="44">
        <f t="shared" si="12"/>
        <v>1</v>
      </c>
      <c r="AZ18" s="44">
        <f t="shared" si="0"/>
        <v>1</v>
      </c>
      <c r="BA18" s="300">
        <f t="shared" si="13"/>
        <v>0.25</v>
      </c>
      <c r="BB18" s="300">
        <f t="shared" si="14"/>
        <v>0.5</v>
      </c>
      <c r="BC18" s="300">
        <f t="shared" si="15"/>
        <v>0.75</v>
      </c>
      <c r="BD18" s="300">
        <f t="shared" si="16"/>
        <v>1</v>
      </c>
      <c r="BE18" s="305">
        <f t="shared" si="17"/>
        <v>6.25E-2</v>
      </c>
      <c r="BF18" s="304">
        <f t="shared" si="18"/>
        <v>0.125</v>
      </c>
      <c r="BG18" s="304">
        <f t="shared" si="19"/>
        <v>0.1875</v>
      </c>
      <c r="BH18" s="305">
        <f t="shared" si="20"/>
        <v>0.25</v>
      </c>
    </row>
    <row r="19" spans="1:60" ht="90">
      <c r="A19" s="229"/>
      <c r="B19" s="1541"/>
      <c r="C19" s="1541"/>
      <c r="D19" s="1540" t="str">
        <f>+'01-FR-03 POA INSTITUCIONAL'!D82</f>
        <v>4.4.14 Registrar el 100% de los reportes de las sanciones disciplinarias de los servidores públicos distritales.</v>
      </c>
      <c r="E19" s="1480">
        <f>+'01-FR-03 POA INSTITUCIONAL'!E82</f>
        <v>0.05</v>
      </c>
      <c r="F19" s="38">
        <f>+'01-FR-03 POA INSTITUCIONAL'!F82</f>
        <v>1</v>
      </c>
      <c r="G19" s="132">
        <f>+'01-FR-03 POA INSTITUCIONAL'!L82</f>
        <v>1</v>
      </c>
      <c r="H19" s="29">
        <f>+'01-FR-03 POA INSTITUCIONAL'!G82</f>
        <v>1</v>
      </c>
      <c r="I19" s="112" t="str">
        <f>+'01-FR-03 POA INSTITUCIONAL'!H82</f>
        <v>Porcentaje de reportes de la base de datos de sanciones disciplinarias registrados</v>
      </c>
      <c r="J19" s="262" t="s">
        <v>536</v>
      </c>
      <c r="K19" s="187" t="s">
        <v>537</v>
      </c>
      <c r="L19" s="187" t="s">
        <v>534</v>
      </c>
      <c r="M19" s="187" t="s">
        <v>527</v>
      </c>
      <c r="N19" s="187" t="s">
        <v>528</v>
      </c>
      <c r="O19" s="263" t="str">
        <f>+'01-FR-03 POA INSTITUCIONAL'!J82</f>
        <v>Oficina Asesora Jurídica</v>
      </c>
      <c r="P19" s="117">
        <v>1</v>
      </c>
      <c r="Q19" s="117">
        <v>1</v>
      </c>
      <c r="R19" s="117">
        <v>1</v>
      </c>
      <c r="S19" s="117">
        <v>1</v>
      </c>
      <c r="T19" s="117">
        <v>1</v>
      </c>
      <c r="U19" s="117">
        <v>1</v>
      </c>
      <c r="V19" s="45">
        <f t="shared" si="1"/>
        <v>1</v>
      </c>
      <c r="W19" s="45">
        <f>IFERROR(AVERAGE(Q19,S19,U19),0)</f>
        <v>1</v>
      </c>
      <c r="X19" s="117">
        <v>1</v>
      </c>
      <c r="Y19" s="117">
        <v>1</v>
      </c>
      <c r="Z19" s="117">
        <v>1</v>
      </c>
      <c r="AA19" s="117">
        <v>1</v>
      </c>
      <c r="AB19" s="117">
        <v>1</v>
      </c>
      <c r="AC19" s="117">
        <v>1</v>
      </c>
      <c r="AD19" s="45">
        <f t="shared" si="3"/>
        <v>1</v>
      </c>
      <c r="AE19" s="45">
        <f t="shared" si="4"/>
        <v>1</v>
      </c>
      <c r="AF19" s="117">
        <v>1</v>
      </c>
      <c r="AG19" s="117">
        <v>1</v>
      </c>
      <c r="AH19" s="117">
        <v>1</v>
      </c>
      <c r="AI19" s="117">
        <v>1</v>
      </c>
      <c r="AJ19" s="117">
        <v>1</v>
      </c>
      <c r="AK19" s="117">
        <v>1</v>
      </c>
      <c r="AL19" s="45">
        <f t="shared" si="5"/>
        <v>1</v>
      </c>
      <c r="AM19" s="45">
        <f t="shared" si="6"/>
        <v>1</v>
      </c>
      <c r="AN19" s="117">
        <v>1</v>
      </c>
      <c r="AO19" s="117">
        <v>1</v>
      </c>
      <c r="AP19" s="117">
        <v>1</v>
      </c>
      <c r="AQ19" s="960">
        <v>1</v>
      </c>
      <c r="AR19" s="117">
        <v>1</v>
      </c>
      <c r="AS19" s="117">
        <v>1</v>
      </c>
      <c r="AT19" s="45">
        <f t="shared" si="7"/>
        <v>1</v>
      </c>
      <c r="AU19" s="45">
        <f t="shared" si="8"/>
        <v>1</v>
      </c>
      <c r="AV19" s="45">
        <f t="shared" si="9"/>
        <v>1</v>
      </c>
      <c r="AW19" s="44">
        <f t="shared" si="10"/>
        <v>1</v>
      </c>
      <c r="AX19" s="44">
        <f t="shared" si="11"/>
        <v>1</v>
      </c>
      <c r="AY19" s="44">
        <f t="shared" si="12"/>
        <v>1</v>
      </c>
      <c r="AZ19" s="44">
        <f t="shared" si="0"/>
        <v>1</v>
      </c>
      <c r="BA19" s="300">
        <f t="shared" si="13"/>
        <v>0.25</v>
      </c>
      <c r="BB19" s="300">
        <f t="shared" si="14"/>
        <v>0.5</v>
      </c>
      <c r="BC19" s="300">
        <f t="shared" si="15"/>
        <v>0.75</v>
      </c>
      <c r="BD19" s="300">
        <f t="shared" si="16"/>
        <v>1</v>
      </c>
      <c r="BE19" s="305">
        <f t="shared" si="17"/>
        <v>6.25E-2</v>
      </c>
      <c r="BF19" s="304">
        <f t="shared" si="18"/>
        <v>0.125</v>
      </c>
      <c r="BG19" s="304">
        <f t="shared" si="19"/>
        <v>0.1875</v>
      </c>
      <c r="BH19" s="305">
        <f t="shared" si="20"/>
        <v>0.25</v>
      </c>
    </row>
    <row r="20" spans="1:60" ht="62.25" customHeight="1">
      <c r="B20" s="1582"/>
      <c r="C20" s="1582"/>
      <c r="D20" s="1582"/>
      <c r="E20" s="1271"/>
      <c r="F20" s="38">
        <f>+'01-FR-03 POA INSTITUCIONAL'!F83</f>
        <v>1</v>
      </c>
      <c r="G20" s="132">
        <f>+'01-FR-03 POA INSTITUCIONAL'!L83</f>
        <v>1</v>
      </c>
      <c r="H20" s="29">
        <f>+'01-FR-03 POA INSTITUCIONAL'!G83</f>
        <v>1</v>
      </c>
      <c r="I20" s="112" t="str">
        <f>+'01-FR-03 POA INSTITUCIONAL'!H83</f>
        <v>Porcentaje de antecedentes disciplinarios expedidos</v>
      </c>
      <c r="J20" s="262" t="s">
        <v>657</v>
      </c>
      <c r="K20" s="187" t="s">
        <v>538</v>
      </c>
      <c r="L20" s="187" t="s">
        <v>539</v>
      </c>
      <c r="M20" s="187" t="s">
        <v>540</v>
      </c>
      <c r="N20" s="187" t="s">
        <v>528</v>
      </c>
      <c r="O20" s="263" t="str">
        <f>+'01-FR-03 POA INSTITUCIONAL'!J83</f>
        <v>Oficina Asesora Jurídica</v>
      </c>
      <c r="P20" s="117">
        <v>1</v>
      </c>
      <c r="Q20" s="117">
        <v>1</v>
      </c>
      <c r="R20" s="117">
        <v>1</v>
      </c>
      <c r="S20" s="117">
        <v>1</v>
      </c>
      <c r="T20" s="117">
        <v>1</v>
      </c>
      <c r="U20" s="117">
        <v>1</v>
      </c>
      <c r="V20" s="45">
        <f t="shared" ref="V20" si="21">AVERAGE(P20,R20,T20)</f>
        <v>1</v>
      </c>
      <c r="W20" s="45">
        <f>IFERROR(AVERAGE(Q20,S20,U20),0)</f>
        <v>1</v>
      </c>
      <c r="X20" s="117">
        <v>1</v>
      </c>
      <c r="Y20" s="117">
        <v>1</v>
      </c>
      <c r="Z20" s="117">
        <v>1</v>
      </c>
      <c r="AA20" s="117">
        <v>1</v>
      </c>
      <c r="AB20" s="117">
        <v>1</v>
      </c>
      <c r="AC20" s="117">
        <v>1</v>
      </c>
      <c r="AD20" s="45">
        <f t="shared" ref="AD20" si="22">AVERAGE(X20,Z20,AB20)</f>
        <v>1</v>
      </c>
      <c r="AE20" s="45">
        <f t="shared" ref="AE20" si="23">IFERROR(AVERAGE(Y20,AA20,AC20),0)</f>
        <v>1</v>
      </c>
      <c r="AF20" s="117">
        <v>1</v>
      </c>
      <c r="AG20" s="117">
        <v>1</v>
      </c>
      <c r="AH20" s="117">
        <v>1</v>
      </c>
      <c r="AI20" s="117">
        <v>1</v>
      </c>
      <c r="AJ20" s="117">
        <v>1</v>
      </c>
      <c r="AK20" s="117">
        <v>1</v>
      </c>
      <c r="AL20" s="45">
        <f t="shared" ref="AL20" si="24">AVERAGE(AF20,AH20,AJ20)</f>
        <v>1</v>
      </c>
      <c r="AM20" s="45">
        <f t="shared" ref="AM20" si="25">IFERROR(AVERAGE(AG20,AI20,AK20),0)</f>
        <v>1</v>
      </c>
      <c r="AN20" s="117">
        <v>1</v>
      </c>
      <c r="AO20" s="117">
        <v>1</v>
      </c>
      <c r="AP20" s="117">
        <v>1</v>
      </c>
      <c r="AQ20" s="960">
        <v>1</v>
      </c>
      <c r="AR20" s="117">
        <v>1</v>
      </c>
      <c r="AS20" s="117">
        <v>1</v>
      </c>
      <c r="AT20" s="45">
        <f t="shared" ref="AT20" si="26">AVERAGE(AN20,AP20,AR20)</f>
        <v>1</v>
      </c>
      <c r="AU20" s="45">
        <f t="shared" ref="AU20" si="27">IFERROR(AVERAGE(AO20,AQ20,AS20),0)</f>
        <v>1</v>
      </c>
      <c r="AV20" s="45">
        <f t="shared" ref="AV20" si="28">AVERAGE(P20,R20,T20,X20,Z20,AB20,AF20,AH20,AJ20,AN20,AP20,AR20)</f>
        <v>1</v>
      </c>
      <c r="AW20" s="44">
        <f t="shared" si="10"/>
        <v>1</v>
      </c>
      <c r="AX20" s="44">
        <f t="shared" si="11"/>
        <v>1</v>
      </c>
      <c r="AY20" s="44">
        <f t="shared" si="12"/>
        <v>1</v>
      </c>
      <c r="AZ20" s="44">
        <f t="shared" si="0"/>
        <v>1</v>
      </c>
      <c r="BA20" s="300">
        <f t="shared" si="13"/>
        <v>0.25</v>
      </c>
      <c r="BB20" s="300">
        <f t="shared" si="14"/>
        <v>0.5</v>
      </c>
      <c r="BC20" s="300">
        <f t="shared" si="15"/>
        <v>0.75</v>
      </c>
      <c r="BD20" s="300">
        <f t="shared" si="16"/>
        <v>1</v>
      </c>
      <c r="BE20" s="305">
        <f t="shared" si="17"/>
        <v>6.25E-2</v>
      </c>
      <c r="BF20" s="304">
        <f t="shared" si="18"/>
        <v>0.125</v>
      </c>
      <c r="BG20" s="304">
        <f t="shared" si="19"/>
        <v>0.1875</v>
      </c>
      <c r="BH20" s="305">
        <f t="shared" si="20"/>
        <v>0.25</v>
      </c>
    </row>
    <row r="21" spans="1:60" ht="22.8">
      <c r="B21" s="1504"/>
      <c r="C21" s="1505"/>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c r="AK21" s="1505"/>
      <c r="AL21" s="1505"/>
      <c r="AM21" s="1505"/>
      <c r="AN21" s="1505"/>
      <c r="AO21" s="1505"/>
      <c r="AP21" s="1505"/>
      <c r="AQ21" s="1505"/>
      <c r="AR21" s="1505"/>
      <c r="AS21" s="1505"/>
      <c r="AT21" s="1505"/>
      <c r="AU21" s="1505"/>
      <c r="AV21" s="1505"/>
      <c r="AW21" s="1583"/>
      <c r="AX21" s="1538" t="s">
        <v>19</v>
      </c>
      <c r="AY21" s="1581"/>
      <c r="AZ21" s="1581"/>
      <c r="BA21" s="49">
        <f t="shared" ref="BA21:BD21" si="29">AVERAGE(BA16:BA20)</f>
        <v>0.25</v>
      </c>
      <c r="BB21" s="49">
        <f t="shared" si="29"/>
        <v>0.5</v>
      </c>
      <c r="BC21" s="49">
        <f t="shared" si="29"/>
        <v>0.75</v>
      </c>
      <c r="BD21" s="49">
        <f t="shared" si="29"/>
        <v>1</v>
      </c>
      <c r="BE21" s="1595"/>
      <c r="BF21" s="1596"/>
      <c r="BG21" s="1596"/>
      <c r="BH21" s="1597"/>
    </row>
    <row r="22" spans="1:60">
      <c r="B22" s="1500"/>
      <c r="C22" s="1500"/>
      <c r="D22" s="1500"/>
      <c r="E22" s="1500"/>
      <c r="F22" s="1500"/>
      <c r="G22" s="1500"/>
      <c r="H22" s="208"/>
      <c r="I22" s="209"/>
      <c r="J22" s="209"/>
      <c r="K22" s="209"/>
      <c r="L22" s="209"/>
      <c r="M22" s="209"/>
      <c r="N22" s="209"/>
      <c r="O22" s="209"/>
    </row>
    <row r="23" spans="1:60">
      <c r="B23" s="209"/>
      <c r="C23" s="209"/>
      <c r="D23" s="1520"/>
      <c r="E23" s="1520"/>
      <c r="F23" s="1520"/>
      <c r="G23" s="1520"/>
      <c r="H23" s="1520"/>
      <c r="I23" s="1520"/>
      <c r="J23" s="1520"/>
      <c r="K23" s="1520"/>
      <c r="L23" s="1520"/>
      <c r="M23" s="1520"/>
      <c r="N23" s="1520"/>
      <c r="O23" s="1520"/>
    </row>
    <row r="24" spans="1:60" ht="15.6">
      <c r="B24" s="54" t="s">
        <v>26</v>
      </c>
      <c r="C24" s="210">
        <v>44224</v>
      </c>
      <c r="D24" s="211"/>
      <c r="E24" s="1510" t="s">
        <v>50</v>
      </c>
      <c r="F24" s="290"/>
      <c r="G24" s="1511" t="s">
        <v>535</v>
      </c>
      <c r="H24" s="1511"/>
      <c r="I24" s="1511"/>
      <c r="J24" s="1511"/>
      <c r="K24" s="212"/>
      <c r="L24" s="1567"/>
      <c r="M24" s="1567"/>
      <c r="N24" s="1567"/>
      <c r="O24" s="1587"/>
    </row>
    <row r="25" spans="1:60" ht="15.6">
      <c r="B25" s="209"/>
      <c r="C25" s="209"/>
      <c r="D25" s="212"/>
      <c r="E25" s="1510"/>
      <c r="F25" s="290"/>
      <c r="G25" s="1511"/>
      <c r="H25" s="1511"/>
      <c r="I25" s="1511"/>
      <c r="J25" s="1511"/>
      <c r="K25" s="209"/>
      <c r="L25" s="209"/>
      <c r="M25" s="209"/>
      <c r="N25" s="209"/>
      <c r="O25" s="209"/>
    </row>
    <row r="26" spans="1:60" ht="15.6">
      <c r="B26" s="54" t="s">
        <v>49</v>
      </c>
      <c r="C26" s="56">
        <v>44581</v>
      </c>
      <c r="D26" s="209"/>
      <c r="E26" s="209"/>
      <c r="F26" s="209"/>
      <c r="K26" s="209"/>
      <c r="L26" s="209"/>
      <c r="M26" s="209"/>
      <c r="N26" s="209"/>
      <c r="O26" s="209"/>
    </row>
    <row r="27" spans="1:60">
      <c r="B27" s="209"/>
      <c r="C27" s="209"/>
      <c r="D27" s="209"/>
      <c r="E27" s="209"/>
      <c r="F27" s="209"/>
      <c r="K27" s="209"/>
      <c r="L27" s="209"/>
      <c r="M27" s="209"/>
      <c r="N27" s="209"/>
      <c r="O27" s="209"/>
    </row>
    <row r="28" spans="1:60">
      <c r="B28" s="1646" t="s">
        <v>916</v>
      </c>
      <c r="C28" s="1646"/>
      <c r="D28" s="1646"/>
      <c r="E28" s="1646"/>
      <c r="F28" s="1646"/>
      <c r="G28" s="1646"/>
      <c r="H28" s="208"/>
      <c r="I28" s="1586"/>
      <c r="J28" s="1586"/>
      <c r="K28" s="1586"/>
      <c r="L28" s="1586"/>
      <c r="M28" s="213"/>
      <c r="N28" s="213"/>
      <c r="O28" s="213"/>
    </row>
    <row r="29" spans="1:60">
      <c r="B29" s="209"/>
      <c r="C29" s="209"/>
      <c r="D29" s="209"/>
      <c r="E29" s="209"/>
      <c r="F29" s="209"/>
      <c r="G29" s="208"/>
      <c r="H29" s="208"/>
      <c r="I29" s="209"/>
      <c r="J29" s="209"/>
      <c r="K29" s="214"/>
      <c r="L29" s="209"/>
      <c r="M29" s="209"/>
      <c r="N29" s="209"/>
      <c r="O29" s="209"/>
    </row>
    <row r="30" spans="1:60">
      <c r="B30" s="209"/>
      <c r="C30" s="209"/>
      <c r="D30" s="209"/>
      <c r="E30" s="209"/>
      <c r="F30" s="209"/>
      <c r="G30" s="208"/>
      <c r="H30" s="208"/>
      <c r="I30" s="1586"/>
      <c r="J30" s="1586"/>
      <c r="K30" s="1586"/>
      <c r="L30" s="1586"/>
      <c r="M30" s="213"/>
      <c r="N30" s="213"/>
      <c r="O30" s="213"/>
    </row>
    <row r="31" spans="1:60">
      <c r="B31" s="209"/>
      <c r="C31" s="209"/>
      <c r="D31" s="209"/>
      <c r="E31" s="209"/>
      <c r="F31" s="209"/>
      <c r="G31" s="208"/>
      <c r="H31" s="208"/>
      <c r="I31" s="209"/>
      <c r="J31" s="209"/>
      <c r="K31" s="214"/>
      <c r="L31" s="209"/>
      <c r="M31" s="209"/>
      <c r="N31" s="209"/>
      <c r="O31" s="209"/>
    </row>
    <row r="32" spans="1:60">
      <c r="B32" s="209"/>
      <c r="C32" s="209"/>
      <c r="D32" s="209"/>
      <c r="E32" s="209"/>
      <c r="F32" s="209"/>
      <c r="G32" s="208"/>
      <c r="H32" s="208"/>
      <c r="I32" s="1586"/>
      <c r="J32" s="1586"/>
      <c r="K32" s="1586"/>
      <c r="L32" s="1586"/>
      <c r="M32" s="213"/>
      <c r="N32" s="213"/>
      <c r="O32" s="213"/>
    </row>
  </sheetData>
  <sheetProtection algorithmName="SHA-512" hashValue="zlm0aNFPYQiXCNIsXFQXBBmvzwJy3fhEPNTtZ6ATypX1lvanthh8wGEL1bz0AGq9ZCsOehyAblTSf1DR3ws8Fg==" saltValue="HyHNHcSOltJbdVnTOJv19A==" spinCount="100000" sheet="1" objects="1" scenarios="1"/>
  <mergeCells count="74">
    <mergeCell ref="BE21:BH21"/>
    <mergeCell ref="I30:L30"/>
    <mergeCell ref="I32:L32"/>
    <mergeCell ref="E19:E20"/>
    <mergeCell ref="D19:D20"/>
    <mergeCell ref="B22:G22"/>
    <mergeCell ref="B16:B20"/>
    <mergeCell ref="C16:C20"/>
    <mergeCell ref="I28:L28"/>
    <mergeCell ref="AX21:AZ21"/>
    <mergeCell ref="D23:O23"/>
    <mergeCell ref="E24:E25"/>
    <mergeCell ref="G24:J25"/>
    <mergeCell ref="L24:O24"/>
    <mergeCell ref="B21:AW21"/>
    <mergeCell ref="B28:G28"/>
    <mergeCell ref="AW13:AW15"/>
    <mergeCell ref="AX13:AX15"/>
    <mergeCell ref="N12:N15"/>
    <mergeCell ref="O12:O15"/>
    <mergeCell ref="H12:H15"/>
    <mergeCell ref="I12:I15"/>
    <mergeCell ref="J12:J15"/>
    <mergeCell ref="K12:K15"/>
    <mergeCell ref="L12:L15"/>
    <mergeCell ref="M12:M15"/>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92D050"/>
  </sheetPr>
  <dimension ref="B1:BH30"/>
  <sheetViews>
    <sheetView showGridLines="0" zoomScale="55" zoomScaleNormal="55" workbookViewId="0">
      <selection activeCell="B10" sqref="B10:O10"/>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5" width="23.44140625" style="105" customWidth="1"/>
    <col min="6" max="6" width="27.5546875" style="105" customWidth="1"/>
    <col min="7" max="8" width="29.33203125" style="106" customWidth="1"/>
    <col min="9" max="9" width="26.88671875" style="105" customWidth="1"/>
    <col min="10" max="10" width="31.88671875"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0" ht="15.6" thickBot="1"/>
    <row r="2" spans="2:60" ht="15.6" customHeight="1">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5.6" customHeight="1">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ustomHeight="1">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4.6">
      <c r="B8" s="183" t="s">
        <v>45</v>
      </c>
      <c r="C8" s="1533" t="s">
        <v>87</v>
      </c>
      <c r="D8" s="1533"/>
      <c r="E8" s="184"/>
      <c r="F8" s="184"/>
      <c r="G8" s="184"/>
      <c r="H8" s="184"/>
      <c r="I8" s="184"/>
      <c r="J8" s="184"/>
      <c r="K8" s="184"/>
      <c r="L8" s="184"/>
      <c r="M8" s="184"/>
      <c r="N8" s="184"/>
      <c r="O8" s="184"/>
      <c r="AW8" s="1035"/>
      <c r="AX8" s="1035"/>
      <c r="AY8" s="1035"/>
      <c r="AZ8" s="1035"/>
      <c r="BA8" s="1035"/>
      <c r="BB8" s="1035"/>
      <c r="BC8" s="1035"/>
      <c r="BD8" s="1035"/>
    </row>
    <row r="9" spans="2:60" ht="75" customHeight="1">
      <c r="B9" s="183" t="s">
        <v>34</v>
      </c>
      <c r="C9" s="1534" t="s">
        <v>379</v>
      </c>
      <c r="D9" s="1535"/>
      <c r="E9" s="184"/>
      <c r="F9" s="184"/>
      <c r="G9" s="184"/>
      <c r="H9" s="184"/>
      <c r="I9" s="184"/>
      <c r="J9" s="184"/>
      <c r="K9" s="184"/>
      <c r="L9" s="184"/>
      <c r="M9" s="184"/>
      <c r="N9" s="184"/>
      <c r="O9" s="184"/>
      <c r="AW9" s="1035"/>
      <c r="AX9" s="1035"/>
      <c r="AY9" s="1035"/>
      <c r="AZ9" s="1035"/>
      <c r="BA9" s="1035"/>
      <c r="BB9" s="1035"/>
      <c r="BC9" s="1035"/>
      <c r="BD9" s="1035"/>
    </row>
    <row r="10" spans="2:60"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25.2"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2:60"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13.2"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0" ht="128.25" customHeight="1">
      <c r="B16" s="1477"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477" t="str">
        <f>+'01-FR-03 POA INSTITUCIONAL'!C55</f>
        <v>4.2. Consolidar el 90% del Modelo Integrado de Planeación y Gestión –MIPG- y sus sistemas de gestión articulados, como compromiso con la Calidad, la Excelencia, la Responsabilidad Ambiental y la Mejora en la prestación del Servicio.</v>
      </c>
      <c r="D16" s="27" t="str">
        <f>+'01-FR-03 POA INSTITUCIONAL'!D59</f>
        <v>4.2.5 Incrementar al 90% la percepción de los usuarios que califican como excelente y bueno el servicio en la Personería de Bogotá</v>
      </c>
      <c r="E16" s="38">
        <f>+'01-FR-03 POA INSTITUCIONAL'!E59</f>
        <v>0.2</v>
      </c>
      <c r="F16" s="267">
        <f>+'01-FR-03 POA INSTITUCIONAL'!F59</f>
        <v>0.9</v>
      </c>
      <c r="G16" s="146">
        <f>+'01-FR-03 POA INSTITUCIONAL'!L59</f>
        <v>0.9</v>
      </c>
      <c r="H16" s="29">
        <f>+'01-FR-03 POA INSTITUCIONAL'!G59</f>
        <v>0.86</v>
      </c>
      <c r="I16" s="29" t="str">
        <f>+'01-FR-03 POA INSTITUCIONAL'!H59</f>
        <v>Porcentaje de Percepción de los usuarios en calificación excelente y bueno incrementado</v>
      </c>
      <c r="J16" s="185" t="s">
        <v>370</v>
      </c>
      <c r="K16" s="187" t="s">
        <v>371</v>
      </c>
      <c r="L16" s="187" t="s">
        <v>372</v>
      </c>
      <c r="M16" s="187" t="s">
        <v>373</v>
      </c>
      <c r="N16" s="187" t="s">
        <v>374</v>
      </c>
      <c r="O16" s="30" t="str">
        <f>+'01-FR-03 POA INSTITUCIONAL'!J59</f>
        <v>Secretaría General</v>
      </c>
      <c r="P16" s="856">
        <v>0.9</v>
      </c>
      <c r="Q16" s="867">
        <v>0.95899999999999996</v>
      </c>
      <c r="R16" s="856">
        <v>0</v>
      </c>
      <c r="S16" s="856">
        <v>0</v>
      </c>
      <c r="T16" s="856">
        <v>0</v>
      </c>
      <c r="U16" s="856">
        <v>0</v>
      </c>
      <c r="V16" s="277">
        <f>IFERROR(AVERAGE(P16),0)</f>
        <v>0.9</v>
      </c>
      <c r="W16" s="285">
        <f>IFERROR(AVERAGE(Q16),0)</f>
        <v>0.95899999999999996</v>
      </c>
      <c r="X16" s="856">
        <v>0</v>
      </c>
      <c r="Y16" s="856">
        <v>0</v>
      </c>
      <c r="Z16" s="856">
        <v>0</v>
      </c>
      <c r="AA16" s="856">
        <v>0</v>
      </c>
      <c r="AB16" s="856">
        <v>0</v>
      </c>
      <c r="AC16" s="856">
        <v>0</v>
      </c>
      <c r="AD16" s="277">
        <f>IFERROR(AVERAGE(X16),0)</f>
        <v>0</v>
      </c>
      <c r="AE16" s="277">
        <f>IFERROR(AVERAGE(Y16),0)</f>
        <v>0</v>
      </c>
      <c r="AF16" s="856">
        <v>0.9</v>
      </c>
      <c r="AG16" s="856">
        <v>0.96</v>
      </c>
      <c r="AH16" s="856">
        <v>0</v>
      </c>
      <c r="AI16" s="856">
        <v>0</v>
      </c>
      <c r="AJ16" s="856">
        <v>0</v>
      </c>
      <c r="AK16" s="856">
        <v>0</v>
      </c>
      <c r="AL16" s="277">
        <f>IFERROR(AVERAGE(AF16),0)</f>
        <v>0.9</v>
      </c>
      <c r="AM16" s="285">
        <f>IFERROR(AVERAGE(AG16),0)</f>
        <v>0.96</v>
      </c>
      <c r="AN16" s="856">
        <v>0</v>
      </c>
      <c r="AO16" s="856">
        <v>0</v>
      </c>
      <c r="AP16" s="856">
        <v>0</v>
      </c>
      <c r="AQ16" s="856">
        <v>0</v>
      </c>
      <c r="AR16" s="856">
        <v>0</v>
      </c>
      <c r="AS16" s="857">
        <v>0</v>
      </c>
      <c r="AT16" s="277">
        <f>IFERROR(AVERAGE(AN16),0)</f>
        <v>0</v>
      </c>
      <c r="AU16" s="277">
        <f>IFERROR(AVERAGE(AO16),0)</f>
        <v>0</v>
      </c>
      <c r="AV16" s="267">
        <f>(IFERROR(AVERAGE(V16,AL16),0))</f>
        <v>0.9</v>
      </c>
      <c r="AW16" s="271">
        <f>IFERROR(IF(OR($AV$16="",$AV$16=0),0,ROUNDDOWN(AVERAGE($Q16),3)),0)</f>
        <v>0.95899999999999996</v>
      </c>
      <c r="AX16" s="271">
        <f>IFERROR(IF(OR($AV$16="",$AV$16=0),0,ROUNDDOWN(AVERAGE($Q16),3)),0)</f>
        <v>0.95899999999999996</v>
      </c>
      <c r="AY16" s="271">
        <f>IFERROR(IF(OR($AV$16="",$AV$16=0),0,ROUNDDOWN(AVERAGE($AG16),3)),0)</f>
        <v>0.96</v>
      </c>
      <c r="AZ16" s="271">
        <f>IFERROR(IF(OR($AV$16="",$AV$16=0),0,ROUNDDOWN(AVERAGE($AG16),3)),0)</f>
        <v>0.96</v>
      </c>
      <c r="BA16" s="299">
        <f>(IF(AND(AW16&gt;0,AV16&gt;0),AW16/AV16,0))*0.5</f>
        <v>0.53277777777777779</v>
      </c>
      <c r="BB16" s="299">
        <f>(IF(AND(AX16&gt;0,$AV16&gt;0),AX16/$AV16,0))*0.5</f>
        <v>0.53277777777777779</v>
      </c>
      <c r="BC16" s="337">
        <f>(IF(AND(AY16&gt;0,$AV16&gt;0),AY16/$AV16,0))*1</f>
        <v>1.0666666666666667</v>
      </c>
      <c r="BD16" s="337">
        <f>IF(AND(AZ16&gt;0,$AV16&gt;0),AZ16/$AV16,0)*1</f>
        <v>1.0666666666666667</v>
      </c>
      <c r="BE16" s="278">
        <f>(((IF(AND(AW16&gt;0,$F16&gt;0),AW16/$F16,0)))/4)*0.5</f>
        <v>0.13319444444444445</v>
      </c>
      <c r="BF16" s="278">
        <f>(((IF(AND(AX16&gt;0,$F16&gt;0),AX16/$F16,0)))/4)*0.5</f>
        <v>0.13319444444444445</v>
      </c>
      <c r="BG16" s="279">
        <f>(((IF(AND(AY16&gt;0,$F16&gt;0),AY16/$F16,0)))/4)*1</f>
        <v>0.26666666666666666</v>
      </c>
      <c r="BH16" s="278">
        <f>(((IF(AND(AZ16&gt;0,$F16&gt;0),AZ16/$F16,0)))/4)*1</f>
        <v>0.26666666666666666</v>
      </c>
    </row>
    <row r="17" spans="2:60" ht="128.25" customHeight="1">
      <c r="B17" s="1478"/>
      <c r="C17" s="1479"/>
      <c r="D17" s="27" t="str">
        <f>+'01-FR-03 POA INSTITUCIONAL'!D60</f>
        <v xml:space="preserve">4.2.6 Implementar 7 lineamientos en compromiso con la calidad para satisfacer las necesidades y expectativas de los (as) usuarios(as) y partes interesadas </v>
      </c>
      <c r="E17" s="38">
        <f>+'01-FR-03 POA INSTITUCIONAL'!E60</f>
        <v>0.15</v>
      </c>
      <c r="F17" s="269">
        <f>+'01-FR-03 POA INSTITUCIONAL'!F60</f>
        <v>7</v>
      </c>
      <c r="G17" s="264">
        <f>+'01-FR-03 POA INSTITUCIONAL'!L60</f>
        <v>3</v>
      </c>
      <c r="H17" s="264">
        <f>+'01-FR-03 POA INSTITUCIONAL'!G60</f>
        <v>3</v>
      </c>
      <c r="I17" s="29" t="str">
        <f>+'01-FR-03 POA INSTITUCIONAL'!H60</f>
        <v>Lineamientos implementados</v>
      </c>
      <c r="J17" s="185" t="s">
        <v>375</v>
      </c>
      <c r="K17" s="187" t="s">
        <v>376</v>
      </c>
      <c r="L17" s="194" t="s">
        <v>1119</v>
      </c>
      <c r="M17" s="187" t="s">
        <v>377</v>
      </c>
      <c r="N17" s="187" t="s">
        <v>374</v>
      </c>
      <c r="O17" s="30" t="str">
        <f>+'01-FR-03 POA INSTITUCIONAL'!J60</f>
        <v>Secretaría General</v>
      </c>
      <c r="P17" s="857">
        <v>1</v>
      </c>
      <c r="Q17" s="857">
        <v>1</v>
      </c>
      <c r="R17" s="857">
        <v>0</v>
      </c>
      <c r="S17" s="857">
        <v>0</v>
      </c>
      <c r="T17" s="857">
        <v>0</v>
      </c>
      <c r="U17" s="857">
        <v>0</v>
      </c>
      <c r="V17" s="268">
        <f t="shared" ref="V17:W17" si="0">P17+R17+T17</f>
        <v>1</v>
      </c>
      <c r="W17" s="268">
        <f t="shared" si="0"/>
        <v>1</v>
      </c>
      <c r="X17" s="857">
        <v>0</v>
      </c>
      <c r="Y17" s="857">
        <v>0</v>
      </c>
      <c r="Z17" s="857">
        <v>0</v>
      </c>
      <c r="AA17" s="857">
        <v>0</v>
      </c>
      <c r="AB17" s="857">
        <v>1</v>
      </c>
      <c r="AC17" s="857">
        <v>1</v>
      </c>
      <c r="AD17" s="268">
        <f t="shared" ref="AD17:AE17" si="1">X17+Z17+AB17</f>
        <v>1</v>
      </c>
      <c r="AE17" s="268">
        <f t="shared" si="1"/>
        <v>1</v>
      </c>
      <c r="AF17" s="857">
        <v>0</v>
      </c>
      <c r="AG17" s="857">
        <v>0</v>
      </c>
      <c r="AH17" s="857">
        <v>0</v>
      </c>
      <c r="AI17" s="857">
        <v>0</v>
      </c>
      <c r="AJ17" s="857">
        <v>0</v>
      </c>
      <c r="AK17" s="858">
        <v>0</v>
      </c>
      <c r="AL17" s="268">
        <f t="shared" ref="AL17:AM17" si="2">AF17+AH17+AJ17</f>
        <v>0</v>
      </c>
      <c r="AM17" s="268">
        <f t="shared" si="2"/>
        <v>0</v>
      </c>
      <c r="AN17" s="857">
        <v>0</v>
      </c>
      <c r="AO17" s="857">
        <v>0</v>
      </c>
      <c r="AP17" s="857">
        <v>1</v>
      </c>
      <c r="AQ17" s="857">
        <v>1</v>
      </c>
      <c r="AR17" s="857">
        <v>0</v>
      </c>
      <c r="AS17" s="857">
        <v>0</v>
      </c>
      <c r="AT17" s="268">
        <f t="shared" ref="AT17:AU17" si="3">AN17+AP17+AR17</f>
        <v>1</v>
      </c>
      <c r="AU17" s="268">
        <f t="shared" si="3"/>
        <v>1</v>
      </c>
      <c r="AV17" s="269">
        <f t="shared" ref="AV17" si="4">V17+AD17+AL17+AT17</f>
        <v>3</v>
      </c>
      <c r="AW17" s="269">
        <f>+W17</f>
        <v>1</v>
      </c>
      <c r="AX17" s="269">
        <f>+W17+AE17</f>
        <v>2</v>
      </c>
      <c r="AY17" s="269">
        <f>+W17+AE17+AM17</f>
        <v>2</v>
      </c>
      <c r="AZ17" s="269">
        <f>+W17+AE17+AM17+AU17</f>
        <v>3</v>
      </c>
      <c r="BA17" s="300">
        <f>IF(AND(AW17&gt;0,AV17&gt;0),AW17/AV17,0)</f>
        <v>0.33333333333333331</v>
      </c>
      <c r="BB17" s="300">
        <f t="shared" ref="BB17:BD18" si="5">IF(AND(AX17&gt;0,$AV17&gt;0),AX17/$AV17,0)</f>
        <v>0.66666666666666663</v>
      </c>
      <c r="BC17" s="300">
        <f t="shared" si="5"/>
        <v>0.66666666666666663</v>
      </c>
      <c r="BD17" s="300">
        <f t="shared" si="5"/>
        <v>1</v>
      </c>
      <c r="BE17" s="279">
        <f t="shared" ref="BE17:BH18" si="6">(IF(AND(AW17&gt;0,$F17&gt;0),AW17/$F17,0))</f>
        <v>0.14285714285714285</v>
      </c>
      <c r="BF17" s="279">
        <f t="shared" si="6"/>
        <v>0.2857142857142857</v>
      </c>
      <c r="BG17" s="279">
        <f t="shared" si="6"/>
        <v>0.2857142857142857</v>
      </c>
      <c r="BH17" s="279">
        <f t="shared" si="6"/>
        <v>0.42857142857142855</v>
      </c>
    </row>
    <row r="18" spans="2:60" ht="128.25" customHeight="1">
      <c r="B18" s="1479"/>
      <c r="C18" s="27" t="str">
        <f>+'01-FR-03 POA INSTITUCIONAL'!C95</f>
        <v>4.7. Articular el 100% de las acciones de trabajo interinstitucional y cooperación nacional e internacional que permita aunar esfuerzos para el cumplimiento de la misión institucional.</v>
      </c>
      <c r="D18" s="27" t="str">
        <f>+'01-FR-03 POA INSTITUCIONAL'!D95</f>
        <v>4.7.1 Gestionar 3 acuerdos interinstitucionales o de cooperación nacional y/o internacional para garantizar el enfoque social, en el marco de un estado pluralista, para el fortalecimiento de la prestación del servicio al usuario</v>
      </c>
      <c r="E18" s="38">
        <f>+'01-FR-03 POA INSTITUCIONAL'!E95</f>
        <v>1</v>
      </c>
      <c r="F18" s="206">
        <f>+'01-FR-03 POA INSTITUCIONAL'!F95</f>
        <v>3</v>
      </c>
      <c r="G18" s="264">
        <f>+'01-FR-03 POA INSTITUCIONAL'!L95</f>
        <v>1</v>
      </c>
      <c r="H18" s="1030" t="str">
        <f>+'01-FR-03 POA INSTITUCIONAL'!G95</f>
        <v>S.I.</v>
      </c>
      <c r="I18" s="1030" t="str">
        <f>+'01-FR-03 POA INSTITUCIONAL'!H95</f>
        <v>Acuerdos interinstitucionales gestionados</v>
      </c>
      <c r="J18" s="185" t="s">
        <v>380</v>
      </c>
      <c r="K18" s="187" t="s">
        <v>381</v>
      </c>
      <c r="L18" s="187" t="s">
        <v>382</v>
      </c>
      <c r="M18" s="187" t="s">
        <v>377</v>
      </c>
      <c r="N18" s="187" t="s">
        <v>374</v>
      </c>
      <c r="O18" s="30" t="str">
        <f>+'01-FR-03 POA INSTITUCIONAL'!J95</f>
        <v>Secretaría General</v>
      </c>
      <c r="P18" s="785">
        <v>0</v>
      </c>
      <c r="Q18" s="785">
        <v>0</v>
      </c>
      <c r="R18" s="785">
        <v>0</v>
      </c>
      <c r="S18" s="785">
        <v>0</v>
      </c>
      <c r="T18" s="785">
        <v>0</v>
      </c>
      <c r="U18" s="785">
        <v>0</v>
      </c>
      <c r="V18" s="46">
        <f t="shared" ref="V18:W18" si="7">P18+R18+T18</f>
        <v>0</v>
      </c>
      <c r="W18" s="46">
        <f t="shared" si="7"/>
        <v>0</v>
      </c>
      <c r="X18" s="785">
        <v>0</v>
      </c>
      <c r="Y18" s="785">
        <v>0</v>
      </c>
      <c r="Z18" s="785">
        <v>0</v>
      </c>
      <c r="AA18" s="785">
        <v>0</v>
      </c>
      <c r="AB18" s="785">
        <v>0</v>
      </c>
      <c r="AC18" s="785">
        <v>0</v>
      </c>
      <c r="AD18" s="46">
        <f t="shared" ref="AD18:AE18" si="8">X18+Z18+AB18</f>
        <v>0</v>
      </c>
      <c r="AE18" s="46">
        <f t="shared" si="8"/>
        <v>0</v>
      </c>
      <c r="AF18" s="785">
        <v>0</v>
      </c>
      <c r="AG18" s="785">
        <v>0</v>
      </c>
      <c r="AH18" s="785">
        <v>0</v>
      </c>
      <c r="AI18" s="785">
        <v>0</v>
      </c>
      <c r="AJ18" s="839">
        <v>0</v>
      </c>
      <c r="AK18" s="839">
        <v>0</v>
      </c>
      <c r="AL18" s="46">
        <f t="shared" ref="AL18:AM18" si="9">AF18+AH18+AJ18</f>
        <v>0</v>
      </c>
      <c r="AM18" s="46">
        <f t="shared" si="9"/>
        <v>0</v>
      </c>
      <c r="AN18" s="785">
        <v>0</v>
      </c>
      <c r="AO18" s="785">
        <v>0</v>
      </c>
      <c r="AP18" s="785">
        <v>1</v>
      </c>
      <c r="AQ18" s="785">
        <v>2</v>
      </c>
      <c r="AR18" s="785">
        <v>0</v>
      </c>
      <c r="AS18" s="785">
        <v>0</v>
      </c>
      <c r="AT18" s="46">
        <f t="shared" ref="AT18:AU18" si="10">AN18+AP18+AR18</f>
        <v>1</v>
      </c>
      <c r="AU18" s="46">
        <f t="shared" si="10"/>
        <v>2</v>
      </c>
      <c r="AV18" s="206">
        <f t="shared" ref="AV18" si="11">V18+AD18+AL18+AT18</f>
        <v>1</v>
      </c>
      <c r="AW18" s="269">
        <f>+W18</f>
        <v>0</v>
      </c>
      <c r="AX18" s="269">
        <f>+W18+AE18</f>
        <v>0</v>
      </c>
      <c r="AY18" s="269">
        <f>+W18+AE18+AM18</f>
        <v>0</v>
      </c>
      <c r="AZ18" s="269">
        <f>+W18+AE18+AM18+AU18</f>
        <v>2</v>
      </c>
      <c r="BA18" s="300">
        <f>IF(AND(AW18&gt;0,AV18&gt;0),AW18/AV18,0)</f>
        <v>0</v>
      </c>
      <c r="BB18" s="300">
        <f t="shared" si="5"/>
        <v>0</v>
      </c>
      <c r="BC18" s="300">
        <f t="shared" si="5"/>
        <v>0</v>
      </c>
      <c r="BD18" s="300">
        <f t="shared" si="5"/>
        <v>2</v>
      </c>
      <c r="BE18" s="279">
        <f t="shared" si="6"/>
        <v>0</v>
      </c>
      <c r="BF18" s="279">
        <f t="shared" si="6"/>
        <v>0</v>
      </c>
      <c r="BG18" s="279">
        <f t="shared" si="6"/>
        <v>0</v>
      </c>
      <c r="BH18" s="279">
        <f t="shared" si="6"/>
        <v>0.66666666666666663</v>
      </c>
    </row>
    <row r="19" spans="2:60" ht="22.8">
      <c r="B19" s="1504" t="s">
        <v>674</v>
      </c>
      <c r="C19" s="1505"/>
      <c r="D19" s="1505"/>
      <c r="E19" s="1505"/>
      <c r="F19" s="1505"/>
      <c r="G19" s="1505"/>
      <c r="H19" s="1505"/>
      <c r="I19" s="1505"/>
      <c r="J19" s="1505"/>
      <c r="K19" s="1505"/>
      <c r="L19" s="1505"/>
      <c r="M19" s="1505"/>
      <c r="N19" s="1505"/>
      <c r="O19" s="1505"/>
      <c r="P19" s="1505"/>
      <c r="Q19" s="1505"/>
      <c r="R19" s="1505"/>
      <c r="S19" s="1505"/>
      <c r="T19" s="1505"/>
      <c r="U19" s="1505"/>
      <c r="V19" s="1505"/>
      <c r="W19" s="1505"/>
      <c r="X19" s="1505"/>
      <c r="Y19" s="1505"/>
      <c r="Z19" s="1505"/>
      <c r="AA19" s="1505"/>
      <c r="AB19" s="1505"/>
      <c r="AC19" s="1505"/>
      <c r="AD19" s="1505"/>
      <c r="AE19" s="1505"/>
      <c r="AF19" s="1505"/>
      <c r="AG19" s="1505"/>
      <c r="AH19" s="1505"/>
      <c r="AI19" s="1505"/>
      <c r="AJ19" s="1505"/>
      <c r="AK19" s="1505"/>
      <c r="AL19" s="1505"/>
      <c r="AM19" s="1505"/>
      <c r="AN19" s="1505"/>
      <c r="AO19" s="1505"/>
      <c r="AP19" s="1505"/>
      <c r="AQ19" s="1505"/>
      <c r="AR19" s="1505"/>
      <c r="AS19" s="1505"/>
      <c r="AT19" s="1505"/>
      <c r="AU19" s="1505"/>
      <c r="AV19" s="1505"/>
      <c r="AW19" s="1583"/>
      <c r="AX19" s="1538" t="s">
        <v>19</v>
      </c>
      <c r="AY19" s="1581"/>
      <c r="AZ19" s="1581"/>
      <c r="BA19" s="1037">
        <f>AVERAGE(BA16:BA18)</f>
        <v>0.28870370370370368</v>
      </c>
      <c r="BB19" s="1037">
        <f t="shared" ref="BB19:BD19" si="12">AVERAGE(BB16:BB18)</f>
        <v>0.39981481481481485</v>
      </c>
      <c r="BC19" s="1037">
        <f t="shared" si="12"/>
        <v>0.57777777777777783</v>
      </c>
      <c r="BD19" s="1037">
        <f t="shared" si="12"/>
        <v>1.3555555555555554</v>
      </c>
      <c r="BE19" s="1651"/>
      <c r="BF19" s="1652"/>
      <c r="BG19" s="1652"/>
      <c r="BH19" s="1653"/>
    </row>
    <row r="20" spans="2:60">
      <c r="B20" s="1500"/>
      <c r="C20" s="1500"/>
      <c r="D20" s="1500"/>
      <c r="E20" s="1500"/>
      <c r="F20" s="1500"/>
      <c r="G20" s="1500"/>
      <c r="H20" s="208"/>
      <c r="I20" s="209"/>
      <c r="J20" s="209"/>
      <c r="K20" s="209"/>
      <c r="L20" s="209"/>
      <c r="M20" s="209"/>
      <c r="N20" s="209"/>
      <c r="O20" s="209"/>
    </row>
    <row r="21" spans="2:60">
      <c r="B21" s="209"/>
      <c r="C21" s="209"/>
      <c r="D21" s="1520"/>
      <c r="E21" s="1520"/>
      <c r="F21" s="1520"/>
      <c r="G21" s="1520"/>
      <c r="H21" s="1520"/>
      <c r="I21" s="1520"/>
      <c r="J21" s="1520"/>
      <c r="K21" s="1520"/>
      <c r="L21" s="1520"/>
      <c r="M21" s="1520"/>
      <c r="N21" s="1520"/>
      <c r="O21" s="1520"/>
    </row>
    <row r="22" spans="2:60" ht="15.6" customHeight="1">
      <c r="B22" s="54" t="s">
        <v>26</v>
      </c>
      <c r="C22" s="210">
        <v>44224</v>
      </c>
      <c r="D22" s="211"/>
      <c r="E22" s="1510" t="s">
        <v>50</v>
      </c>
      <c r="F22" s="1588" t="s">
        <v>383</v>
      </c>
      <c r="G22" s="1589"/>
      <c r="H22" s="1589"/>
      <c r="I22" s="1589"/>
      <c r="J22" s="1590"/>
      <c r="K22" s="212"/>
      <c r="L22" s="1567"/>
      <c r="M22" s="1567"/>
      <c r="N22" s="1567"/>
      <c r="O22" s="1587"/>
    </row>
    <row r="23" spans="2:60" ht="15.6">
      <c r="B23" s="209"/>
      <c r="C23" s="209"/>
      <c r="D23" s="212"/>
      <c r="E23" s="1510"/>
      <c r="F23" s="1591"/>
      <c r="G23" s="1592"/>
      <c r="H23" s="1592"/>
      <c r="I23" s="1592"/>
      <c r="J23" s="1593"/>
      <c r="K23" s="209"/>
      <c r="L23" s="209"/>
      <c r="M23" s="209"/>
      <c r="N23" s="209"/>
      <c r="O23" s="209"/>
    </row>
    <row r="24" spans="2:60" ht="15.6">
      <c r="B24" s="54" t="s">
        <v>49</v>
      </c>
      <c r="C24" s="210">
        <v>44581</v>
      </c>
      <c r="D24" s="209"/>
      <c r="E24" s="209"/>
      <c r="F24" s="209"/>
      <c r="K24" s="209"/>
      <c r="L24" s="209"/>
      <c r="M24" s="209"/>
      <c r="N24" s="209"/>
      <c r="O24" s="209"/>
    </row>
    <row r="25" spans="2:60">
      <c r="B25" s="209"/>
      <c r="C25" s="209"/>
      <c r="D25" s="209"/>
      <c r="E25" s="209"/>
      <c r="F25" s="209"/>
      <c r="K25" s="209"/>
      <c r="L25" s="209"/>
      <c r="M25" s="209"/>
      <c r="N25" s="209"/>
      <c r="O25" s="209"/>
    </row>
    <row r="26" spans="2:60">
      <c r="B26" s="1646" t="s">
        <v>916</v>
      </c>
      <c r="C26" s="1646"/>
      <c r="D26" s="1646"/>
      <c r="E26" s="1646"/>
      <c r="F26" s="1646"/>
      <c r="G26" s="1646"/>
      <c r="H26" s="208"/>
      <c r="I26" s="1586"/>
      <c r="J26" s="1586"/>
      <c r="K26" s="1586"/>
      <c r="L26" s="1586"/>
      <c r="M26" s="1034"/>
      <c r="N26" s="1034"/>
      <c r="O26" s="1034"/>
    </row>
    <row r="27" spans="2:60">
      <c r="B27" s="209"/>
      <c r="C27" s="209"/>
      <c r="D27" s="209"/>
      <c r="E27" s="209"/>
      <c r="F27" s="209"/>
      <c r="G27" s="208"/>
      <c r="H27" s="208"/>
      <c r="I27" s="209"/>
      <c r="J27" s="209"/>
      <c r="K27" s="214"/>
      <c r="L27" s="209"/>
      <c r="M27" s="209"/>
      <c r="N27" s="209"/>
      <c r="O27" s="209"/>
    </row>
    <row r="28" spans="2:60">
      <c r="B28" s="209"/>
      <c r="C28" s="209"/>
      <c r="D28" s="209"/>
      <c r="E28" s="209"/>
      <c r="F28" s="209"/>
      <c r="G28" s="208"/>
      <c r="H28" s="208"/>
      <c r="I28" s="1586"/>
      <c r="J28" s="1586"/>
      <c r="K28" s="1586"/>
      <c r="L28" s="1586"/>
      <c r="M28" s="1034"/>
      <c r="N28" s="1034"/>
      <c r="O28" s="1034"/>
    </row>
    <row r="29" spans="2:60">
      <c r="B29" s="209"/>
      <c r="C29" s="209"/>
      <c r="D29" s="209"/>
      <c r="E29" s="209"/>
      <c r="F29" s="209"/>
      <c r="G29" s="208"/>
      <c r="H29" s="208"/>
      <c r="I29" s="209"/>
      <c r="J29" s="209"/>
      <c r="K29" s="214"/>
      <c r="L29" s="209"/>
      <c r="M29" s="209"/>
      <c r="N29" s="209"/>
      <c r="O29" s="209"/>
    </row>
    <row r="30" spans="2:60">
      <c r="B30" s="209"/>
      <c r="C30" s="209"/>
      <c r="D30" s="209"/>
      <c r="E30" s="209"/>
      <c r="F30" s="209"/>
      <c r="G30" s="208"/>
      <c r="H30" s="208"/>
      <c r="I30" s="1586"/>
      <c r="J30" s="1586"/>
      <c r="K30" s="1586"/>
      <c r="L30" s="1586"/>
      <c r="M30" s="1034"/>
      <c r="N30" s="1034"/>
      <c r="O30" s="1034"/>
    </row>
  </sheetData>
  <sheetProtection algorithmName="SHA-512" hashValue="aymFv4UHijkgFuYB92+DBJXDD521nF3MxD53MteeIiuvBN/q1uY9yxwcVUSLDDqaHKk1NRJlUcudjMwTU4y+UQ==" saltValue="WtGGvixVEVP0Bz+asFp8gA==" spinCount="100000" sheet="1" objects="1" scenarios="1"/>
  <mergeCells count="72">
    <mergeCell ref="B26:G26"/>
    <mergeCell ref="B16:B18"/>
    <mergeCell ref="F12:F15"/>
    <mergeCell ref="AX19:AZ19"/>
    <mergeCell ref="D21:O21"/>
    <mergeCell ref="M12:M15"/>
    <mergeCell ref="AX13:AX15"/>
    <mergeCell ref="O12:O15"/>
    <mergeCell ref="B12:B15"/>
    <mergeCell ref="C12:C15"/>
    <mergeCell ref="D12:D15"/>
    <mergeCell ref="E12:E15"/>
    <mergeCell ref="G12:G15"/>
    <mergeCell ref="F22:J23"/>
    <mergeCell ref="I28:L28"/>
    <mergeCell ref="I30:L30"/>
    <mergeCell ref="B20:G20"/>
    <mergeCell ref="I26:L26"/>
    <mergeCell ref="H12:H15"/>
    <mergeCell ref="I12:I15"/>
    <mergeCell ref="J12:J15"/>
    <mergeCell ref="K12:K15"/>
    <mergeCell ref="L12:L15"/>
    <mergeCell ref="C16:C17"/>
    <mergeCell ref="E22:E23"/>
    <mergeCell ref="L22:O22"/>
    <mergeCell ref="B19:AW19"/>
    <mergeCell ref="R14:S14"/>
    <mergeCell ref="T14:U14"/>
    <mergeCell ref="N12:N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BH13:BH15"/>
    <mergeCell ref="BA13:BA15"/>
    <mergeCell ref="P12:AU12"/>
    <mergeCell ref="AV12:AV15"/>
    <mergeCell ref="AW12:AZ12"/>
    <mergeCell ref="P13:W13"/>
    <mergeCell ref="X13:AE13"/>
    <mergeCell ref="AF13:AM13"/>
    <mergeCell ref="AZ13:AZ15"/>
    <mergeCell ref="AW13:AW15"/>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disablePrompts="1"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92D050"/>
  </sheetPr>
  <dimension ref="A1:BH30"/>
  <sheetViews>
    <sheetView showGridLines="0" zoomScale="55" zoomScaleNormal="55" workbookViewId="0">
      <selection activeCell="B10" sqref="B10:O10"/>
    </sheetView>
  </sheetViews>
  <sheetFormatPr baseColWidth="10" defaultColWidth="17.33203125" defaultRowHeight="15" customHeight="1"/>
  <cols>
    <col min="1" max="1" width="4.33203125" style="107" customWidth="1"/>
    <col min="2" max="2" width="50.44140625" style="105" customWidth="1"/>
    <col min="3" max="3" width="35.88671875" style="105" customWidth="1"/>
    <col min="4" max="4" width="49.6640625" style="105" customWidth="1"/>
    <col min="5" max="6" width="27.5546875" style="105" customWidth="1"/>
    <col min="7" max="8" width="29.33203125" style="106" customWidth="1"/>
    <col min="9" max="9" width="21.44140625" style="105" customWidth="1"/>
    <col min="10" max="10" width="31.88671875"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1:60" ht="15.6" thickBot="1">
      <c r="A1" s="107" t="s">
        <v>674</v>
      </c>
    </row>
    <row r="2" spans="1:60" ht="15.6">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1:60" ht="15.6">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1:60"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1:60" ht="15.6">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1:60"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1: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1:60" ht="21">
      <c r="B8" s="183" t="s">
        <v>45</v>
      </c>
      <c r="C8" s="1594" t="s">
        <v>97</v>
      </c>
      <c r="D8" s="1594"/>
      <c r="E8" s="184"/>
      <c r="F8" s="184"/>
      <c r="G8" s="184"/>
      <c r="H8" s="184"/>
      <c r="I8" s="184"/>
      <c r="J8" s="184"/>
      <c r="K8" s="184"/>
      <c r="L8" s="184"/>
      <c r="M8" s="184"/>
      <c r="N8" s="184"/>
      <c r="O8" s="184"/>
      <c r="AW8" s="1035"/>
      <c r="AX8" s="1035"/>
      <c r="AY8" s="1035"/>
      <c r="AZ8" s="1035"/>
      <c r="BA8" s="1035"/>
      <c r="BB8" s="1035"/>
      <c r="BC8" s="1035"/>
      <c r="BD8" s="1035"/>
    </row>
    <row r="9" spans="1:60" ht="92.25" customHeight="1">
      <c r="B9" s="183" t="s">
        <v>34</v>
      </c>
      <c r="C9" s="1621" t="s">
        <v>552</v>
      </c>
      <c r="D9" s="1535"/>
      <c r="E9" s="184"/>
      <c r="F9" s="184"/>
      <c r="G9" s="184"/>
      <c r="H9" s="184"/>
      <c r="I9" s="184"/>
      <c r="J9" s="184"/>
      <c r="K9" s="184"/>
      <c r="L9" s="184"/>
      <c r="M9" s="184"/>
      <c r="N9" s="184"/>
      <c r="O9" s="184"/>
      <c r="AW9" s="1035"/>
      <c r="AX9" s="1035"/>
      <c r="AY9" s="1035"/>
      <c r="AZ9" s="1035"/>
      <c r="BA9" s="1035"/>
      <c r="BB9" s="1035"/>
      <c r="BC9" s="1035"/>
      <c r="BD9" s="1035"/>
    </row>
    <row r="10" spans="1:60"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1: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1:60" ht="31.2"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1:60"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1:60"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1:60" ht="13.2"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1:60" ht="110.25" customHeight="1">
      <c r="B16" s="154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0" t="str">
        <f>+'01-FR-03 POA INSTITUCIONAL'!C87</f>
        <v>4.5. Desarrollar el 100% de las acciones relacionadas con el fomento de la Cultura del Autocontrol, la Autorregulación y la Autogestión institucional.</v>
      </c>
      <c r="D16" s="27" t="str">
        <f>+'01-FR-03 POA INSTITUCIONAL'!D87</f>
        <v xml:space="preserve">4.5.1 Emitir 96 solicitudes de aplicación de medidas de preservación del orden interno, con el fin de prevenir la materialización de conductas con alcance disciplinario. </v>
      </c>
      <c r="E16" s="38">
        <f>+'01-FR-03 POA INSTITUCIONAL'!E87</f>
        <v>0.05</v>
      </c>
      <c r="F16" s="265">
        <f>+'01-FR-03 POA INSTITUCIONAL'!O87</f>
        <v>148</v>
      </c>
      <c r="G16" s="265">
        <f>+'01-FR-03 POA INSTITUCIONAL'!L87</f>
        <v>52</v>
      </c>
      <c r="H16" s="1030" t="str">
        <f>+'01-FR-03 POA INSTITUCIONAL'!G87</f>
        <v>S.I.</v>
      </c>
      <c r="I16" s="1030" t="str">
        <f>+'01-FR-03 POA INSTITUCIONAL'!H87</f>
        <v>Medidas de preservación del orden interno emitidas</v>
      </c>
      <c r="J16" s="185" t="s">
        <v>547</v>
      </c>
      <c r="K16" s="400" t="s">
        <v>555</v>
      </c>
      <c r="L16" s="187" t="s">
        <v>548</v>
      </c>
      <c r="M16" s="205" t="s">
        <v>558</v>
      </c>
      <c r="N16" s="187" t="s">
        <v>559</v>
      </c>
      <c r="O16" s="266" t="str">
        <f>+'01-FR-03 POA INSTITUCIONAL'!J87</f>
        <v>Oficina Control Interno Disciplinario</v>
      </c>
      <c r="P16" s="826">
        <v>2</v>
      </c>
      <c r="Q16" s="826">
        <v>7</v>
      </c>
      <c r="R16" s="826">
        <v>2</v>
      </c>
      <c r="S16" s="826">
        <v>16</v>
      </c>
      <c r="T16" s="826">
        <v>2</v>
      </c>
      <c r="U16" s="826">
        <v>3</v>
      </c>
      <c r="V16" s="64">
        <f>P16+R16+T16</f>
        <v>6</v>
      </c>
      <c r="W16" s="64">
        <f>Q16+S16+U16</f>
        <v>26</v>
      </c>
      <c r="X16" s="826">
        <v>2</v>
      </c>
      <c r="Y16" s="826">
        <v>6</v>
      </c>
      <c r="Z16" s="826">
        <v>2</v>
      </c>
      <c r="AA16" s="826">
        <v>4</v>
      </c>
      <c r="AB16" s="826">
        <v>2</v>
      </c>
      <c r="AC16" s="826">
        <v>4</v>
      </c>
      <c r="AD16" s="64">
        <f>X16+Z16+AB16</f>
        <v>6</v>
      </c>
      <c r="AE16" s="64">
        <f>Y16+AA16+AC16</f>
        <v>14</v>
      </c>
      <c r="AF16" s="826">
        <v>7</v>
      </c>
      <c r="AG16" s="826">
        <v>5</v>
      </c>
      <c r="AH16" s="826">
        <v>7</v>
      </c>
      <c r="AI16" s="826">
        <v>10</v>
      </c>
      <c r="AJ16" s="827">
        <v>7</v>
      </c>
      <c r="AK16" s="827">
        <v>1</v>
      </c>
      <c r="AL16" s="64">
        <f>AF16+AH16+AJ16</f>
        <v>21</v>
      </c>
      <c r="AM16" s="64">
        <f>AG16+AI16+AK16</f>
        <v>16</v>
      </c>
      <c r="AN16" s="826">
        <v>7</v>
      </c>
      <c r="AO16" s="826">
        <v>4</v>
      </c>
      <c r="AP16" s="826">
        <v>6</v>
      </c>
      <c r="AQ16" s="826">
        <v>8</v>
      </c>
      <c r="AR16" s="826">
        <v>6</v>
      </c>
      <c r="AS16" s="826">
        <v>1</v>
      </c>
      <c r="AT16" s="64">
        <f>AN16+AP16+AR16</f>
        <v>19</v>
      </c>
      <c r="AU16" s="64">
        <f>AO16+AQ16+AS16</f>
        <v>13</v>
      </c>
      <c r="AV16" s="206">
        <f>V16+AD16+AL16+AT16</f>
        <v>52</v>
      </c>
      <c r="AW16" s="57">
        <f>+W16</f>
        <v>26</v>
      </c>
      <c r="AX16" s="57">
        <f>+W16+AE16</f>
        <v>40</v>
      </c>
      <c r="AY16" s="57">
        <f>+W16+AE16+AM16</f>
        <v>56</v>
      </c>
      <c r="AZ16" s="57">
        <f>+W16+AE16+AM16+AU16</f>
        <v>69</v>
      </c>
      <c r="BA16" s="34">
        <f>IF(AND(AW16&gt;0,$AV16&gt;0),AW16/$AV16,0)</f>
        <v>0.5</v>
      </c>
      <c r="BB16" s="34">
        <f t="shared" ref="BB16:BD18" si="0">IF(AND(AX16&gt;0,$AV16&gt;0),AX16/$AV16,0)</f>
        <v>0.76923076923076927</v>
      </c>
      <c r="BC16" s="281">
        <f t="shared" si="0"/>
        <v>1.0769230769230769</v>
      </c>
      <c r="BD16" s="281">
        <f t="shared" si="0"/>
        <v>1.3269230769230769</v>
      </c>
      <c r="BE16" s="304">
        <f>(IF(AND(AW16&gt;0,$F16&gt;0),AW16/$F16,0))</f>
        <v>0.17567567567567569</v>
      </c>
      <c r="BF16" s="304">
        <f t="shared" ref="BF16:BH18" si="1">(IF(AND(AX16&gt;0,$F16&gt;0),AX16/$F16,0))</f>
        <v>0.27027027027027029</v>
      </c>
      <c r="BG16" s="304">
        <f t="shared" si="1"/>
        <v>0.3783783783783784</v>
      </c>
      <c r="BH16" s="304">
        <f t="shared" si="1"/>
        <v>0.46621621621621623</v>
      </c>
    </row>
    <row r="17" spans="2:60" ht="152.25" customHeight="1">
      <c r="B17" s="1541"/>
      <c r="C17" s="1541"/>
      <c r="D17" s="27" t="str">
        <f>+'01-FR-03 POA INSTITUCIONAL'!D88</f>
        <v>4.5.2 Realizar 20 jornadas de sensibilización a funcionarios de la Personería de Bogotá D.C. sobre la prevención de las faltas disciplinarias más recurrentes en la Entidad.</v>
      </c>
      <c r="E17" s="38">
        <f>+'01-FR-03 POA INSTITUCIONAL'!E88</f>
        <v>0.05</v>
      </c>
      <c r="F17" s="265">
        <f>+'01-FR-03 POA INSTITUCIONAL'!F88</f>
        <v>20</v>
      </c>
      <c r="G17" s="265">
        <f>+'01-FR-03 POA INSTITUCIONAL'!L88</f>
        <v>6</v>
      </c>
      <c r="H17" s="1030" t="str">
        <f>+'01-FR-03 POA INSTITUCIONAL'!G88</f>
        <v>S.I.</v>
      </c>
      <c r="I17" s="1030" t="str">
        <f>+'01-FR-03 POA INSTITUCIONAL'!H88</f>
        <v>Jornadas de sensibilización realizadas</v>
      </c>
      <c r="J17" s="185" t="s">
        <v>549</v>
      </c>
      <c r="K17" s="400" t="s">
        <v>556</v>
      </c>
      <c r="L17" s="187" t="s">
        <v>1120</v>
      </c>
      <c r="M17" s="205" t="s">
        <v>558</v>
      </c>
      <c r="N17" s="187" t="s">
        <v>559</v>
      </c>
      <c r="O17" s="266" t="str">
        <f>+'01-FR-03 POA INSTITUCIONAL'!J88</f>
        <v>Oficina Control Interno Disciplinario</v>
      </c>
      <c r="P17" s="826">
        <v>0</v>
      </c>
      <c r="Q17" s="826">
        <v>0</v>
      </c>
      <c r="R17" s="826">
        <v>0</v>
      </c>
      <c r="S17" s="826">
        <v>0</v>
      </c>
      <c r="T17" s="826">
        <v>0</v>
      </c>
      <c r="U17" s="826">
        <v>1</v>
      </c>
      <c r="V17" s="64">
        <f t="shared" ref="V17:W18" si="2">P17+R17+T17</f>
        <v>0</v>
      </c>
      <c r="W17" s="64">
        <f t="shared" si="2"/>
        <v>1</v>
      </c>
      <c r="X17" s="826">
        <v>0</v>
      </c>
      <c r="Y17" s="826">
        <v>0</v>
      </c>
      <c r="Z17" s="826">
        <v>1</v>
      </c>
      <c r="AA17" s="826">
        <v>0</v>
      </c>
      <c r="AB17" s="826">
        <v>1</v>
      </c>
      <c r="AC17" s="826">
        <v>1</v>
      </c>
      <c r="AD17" s="64">
        <f t="shared" ref="AD17:AE18" si="3">X17+Z17+AB17</f>
        <v>2</v>
      </c>
      <c r="AE17" s="64">
        <f t="shared" si="3"/>
        <v>1</v>
      </c>
      <c r="AF17" s="826">
        <v>1</v>
      </c>
      <c r="AG17" s="826">
        <v>1</v>
      </c>
      <c r="AH17" s="826">
        <v>1</v>
      </c>
      <c r="AI17" s="826">
        <v>1</v>
      </c>
      <c r="AJ17" s="827">
        <v>1</v>
      </c>
      <c r="AK17" s="827">
        <v>0</v>
      </c>
      <c r="AL17" s="64">
        <f t="shared" ref="AL17:AM18" si="4">AF17+AH17+AJ17</f>
        <v>3</v>
      </c>
      <c r="AM17" s="64">
        <f t="shared" si="4"/>
        <v>2</v>
      </c>
      <c r="AN17" s="826">
        <v>1</v>
      </c>
      <c r="AO17" s="826">
        <v>2</v>
      </c>
      <c r="AP17" s="826">
        <v>0</v>
      </c>
      <c r="AQ17" s="826">
        <v>0</v>
      </c>
      <c r="AR17" s="826">
        <v>0</v>
      </c>
      <c r="AS17" s="826">
        <v>0</v>
      </c>
      <c r="AT17" s="64">
        <f t="shared" ref="AT17:AU18" si="5">AN17+AP17+AR17</f>
        <v>1</v>
      </c>
      <c r="AU17" s="64">
        <f t="shared" si="5"/>
        <v>2</v>
      </c>
      <c r="AV17" s="206">
        <f t="shared" ref="AV17:AV18" si="6">V17+AD17+AL17+AT17</f>
        <v>6</v>
      </c>
      <c r="AW17" s="57">
        <f t="shared" ref="AW17:AW18" si="7">+W17</f>
        <v>1</v>
      </c>
      <c r="AX17" s="57">
        <f t="shared" ref="AX17:AX18" si="8">+W17+AE17</f>
        <v>2</v>
      </c>
      <c r="AY17" s="57">
        <f t="shared" ref="AY17:AY18" si="9">+W17+AE17+AM17</f>
        <v>4</v>
      </c>
      <c r="AZ17" s="57">
        <f t="shared" ref="AZ17:AZ18" si="10">+W17+AE17+AM17+AU17</f>
        <v>6</v>
      </c>
      <c r="BA17" s="34">
        <f>IF(AND(AW17&gt;0,AV17&gt;0),AW17/AV17,0)</f>
        <v>0.16666666666666666</v>
      </c>
      <c r="BB17" s="34">
        <f t="shared" si="0"/>
        <v>0.33333333333333331</v>
      </c>
      <c r="BC17" s="281">
        <f t="shared" si="0"/>
        <v>0.66666666666666663</v>
      </c>
      <c r="BD17" s="281">
        <f t="shared" si="0"/>
        <v>1</v>
      </c>
      <c r="BE17" s="304">
        <f t="shared" ref="BE17:BE18" si="11">(IF(AND(AW17&gt;0,$F17&gt;0),AW17/$F17,0))</f>
        <v>0.05</v>
      </c>
      <c r="BF17" s="304">
        <f t="shared" si="1"/>
        <v>0.1</v>
      </c>
      <c r="BG17" s="304">
        <f t="shared" si="1"/>
        <v>0.2</v>
      </c>
      <c r="BH17" s="304">
        <f t="shared" si="1"/>
        <v>0.3</v>
      </c>
    </row>
    <row r="18" spans="2:60" ht="142.5" customHeight="1">
      <c r="B18" s="1582"/>
      <c r="C18" s="1582"/>
      <c r="D18" s="27" t="str">
        <f>+'01-FR-03 POA INSTITUCIONAL'!D89</f>
        <v>4.5.3 Decidir de fondo 400 procesos disciplinarios que se encuentren en términos o con periodos vencidos, dando prelación a aquellos con mayor antigüedad o aquellos próximos a prescribir o caducar.</v>
      </c>
      <c r="E18" s="38">
        <f>+'01-FR-03 POA INSTITUCIONAL'!E89</f>
        <v>0.2</v>
      </c>
      <c r="F18" s="265">
        <f>+'01-FR-03 POA INSTITUCIONAL'!F89</f>
        <v>400</v>
      </c>
      <c r="G18" s="265">
        <f>+'01-FR-03 POA INSTITUCIONAL'!L89</f>
        <v>100</v>
      </c>
      <c r="H18" s="1030" t="str">
        <f>+'01-FR-03 POA INSTITUCIONAL'!G89</f>
        <v>115 (en el último año)</v>
      </c>
      <c r="I18" s="1030" t="str">
        <f>+'01-FR-03 POA INSTITUCIONAL'!H89</f>
        <v>Procesos disciplinarios con decisión de fondo proferida</v>
      </c>
      <c r="J18" s="185" t="s">
        <v>550</v>
      </c>
      <c r="K18" s="400" t="s">
        <v>557</v>
      </c>
      <c r="L18" s="187" t="s">
        <v>551</v>
      </c>
      <c r="M18" s="205" t="s">
        <v>558</v>
      </c>
      <c r="N18" s="187" t="s">
        <v>559</v>
      </c>
      <c r="O18" s="266" t="str">
        <f>+'01-FR-03 POA INSTITUCIONAL'!J89</f>
        <v>Oficina Control Interno Disciplinario</v>
      </c>
      <c r="P18" s="826">
        <v>7</v>
      </c>
      <c r="Q18" s="826">
        <v>8</v>
      </c>
      <c r="R18" s="826">
        <v>8</v>
      </c>
      <c r="S18" s="826">
        <v>9</v>
      </c>
      <c r="T18" s="826">
        <v>8</v>
      </c>
      <c r="U18" s="826">
        <v>13</v>
      </c>
      <c r="V18" s="64">
        <f t="shared" si="2"/>
        <v>23</v>
      </c>
      <c r="W18" s="64">
        <f t="shared" si="2"/>
        <v>30</v>
      </c>
      <c r="X18" s="826">
        <v>10</v>
      </c>
      <c r="Y18" s="826">
        <v>15</v>
      </c>
      <c r="Z18" s="826">
        <v>10</v>
      </c>
      <c r="AA18" s="826">
        <v>16</v>
      </c>
      <c r="AB18" s="826">
        <v>10</v>
      </c>
      <c r="AC18" s="826">
        <v>15</v>
      </c>
      <c r="AD18" s="64">
        <f t="shared" si="3"/>
        <v>30</v>
      </c>
      <c r="AE18" s="64">
        <f t="shared" si="3"/>
        <v>46</v>
      </c>
      <c r="AF18" s="826">
        <v>10</v>
      </c>
      <c r="AG18" s="826">
        <v>14</v>
      </c>
      <c r="AH18" s="826">
        <v>10</v>
      </c>
      <c r="AI18" s="826">
        <v>22</v>
      </c>
      <c r="AJ18" s="827">
        <v>10</v>
      </c>
      <c r="AK18" s="827">
        <v>15</v>
      </c>
      <c r="AL18" s="64">
        <f t="shared" si="4"/>
        <v>30</v>
      </c>
      <c r="AM18" s="64">
        <f t="shared" si="4"/>
        <v>51</v>
      </c>
      <c r="AN18" s="826">
        <v>6</v>
      </c>
      <c r="AO18" s="826">
        <v>21</v>
      </c>
      <c r="AP18" s="826">
        <v>6</v>
      </c>
      <c r="AQ18" s="826">
        <v>14</v>
      </c>
      <c r="AR18" s="826">
        <v>5</v>
      </c>
      <c r="AS18" s="826">
        <v>8</v>
      </c>
      <c r="AT18" s="64">
        <f t="shared" si="5"/>
        <v>17</v>
      </c>
      <c r="AU18" s="64">
        <f t="shared" si="5"/>
        <v>43</v>
      </c>
      <c r="AV18" s="206">
        <f t="shared" si="6"/>
        <v>100</v>
      </c>
      <c r="AW18" s="57">
        <f t="shared" si="7"/>
        <v>30</v>
      </c>
      <c r="AX18" s="57">
        <f t="shared" si="8"/>
        <v>76</v>
      </c>
      <c r="AY18" s="57">
        <f t="shared" si="9"/>
        <v>127</v>
      </c>
      <c r="AZ18" s="57">
        <f t="shared" si="10"/>
        <v>170</v>
      </c>
      <c r="BA18" s="34">
        <f t="shared" ref="BA18" si="12">IF(AND(AW18&gt;0,AV18&gt;0),AW18/AV18,0)</f>
        <v>0.3</v>
      </c>
      <c r="BB18" s="34">
        <f t="shared" si="0"/>
        <v>0.76</v>
      </c>
      <c r="BC18" s="34">
        <f t="shared" si="0"/>
        <v>1.27</v>
      </c>
      <c r="BD18" s="281">
        <f t="shared" si="0"/>
        <v>1.7</v>
      </c>
      <c r="BE18" s="304">
        <f t="shared" si="11"/>
        <v>7.4999999999999997E-2</v>
      </c>
      <c r="BF18" s="304">
        <f t="shared" si="1"/>
        <v>0.19</v>
      </c>
      <c r="BG18" s="304">
        <f t="shared" si="1"/>
        <v>0.3175</v>
      </c>
      <c r="BH18" s="304">
        <f t="shared" si="1"/>
        <v>0.42499999999999999</v>
      </c>
    </row>
    <row r="19" spans="2:60" ht="22.8">
      <c r="B19" s="1504"/>
      <c r="C19" s="1505"/>
      <c r="D19" s="1505"/>
      <c r="E19" s="1505"/>
      <c r="F19" s="1505"/>
      <c r="G19" s="1505"/>
      <c r="H19" s="1505"/>
      <c r="I19" s="1505"/>
      <c r="J19" s="1505"/>
      <c r="K19" s="1505"/>
      <c r="L19" s="1505"/>
      <c r="M19" s="1505"/>
      <c r="N19" s="1505"/>
      <c r="O19" s="1505"/>
      <c r="P19" s="1505"/>
      <c r="Q19" s="1505"/>
      <c r="R19" s="1505"/>
      <c r="S19" s="1505"/>
      <c r="T19" s="1505"/>
      <c r="U19" s="1505"/>
      <c r="V19" s="1505"/>
      <c r="W19" s="1505"/>
      <c r="X19" s="1505"/>
      <c r="Y19" s="1505"/>
      <c r="Z19" s="1505"/>
      <c r="AA19" s="1505"/>
      <c r="AB19" s="1505"/>
      <c r="AC19" s="1505"/>
      <c r="AD19" s="1505"/>
      <c r="AE19" s="1505"/>
      <c r="AF19" s="1505"/>
      <c r="AG19" s="1505"/>
      <c r="AH19" s="1505"/>
      <c r="AI19" s="1505"/>
      <c r="AJ19" s="1505"/>
      <c r="AK19" s="1505"/>
      <c r="AL19" s="1505"/>
      <c r="AM19" s="1505"/>
      <c r="AN19" s="1505"/>
      <c r="AO19" s="1505"/>
      <c r="AP19" s="1505"/>
      <c r="AQ19" s="1505"/>
      <c r="AR19" s="1505"/>
      <c r="AS19" s="1505"/>
      <c r="AT19" s="1505"/>
      <c r="AU19" s="1505"/>
      <c r="AV19" s="1505"/>
      <c r="AW19" s="1583"/>
      <c r="AX19" s="1538" t="s">
        <v>19</v>
      </c>
      <c r="AY19" s="1581"/>
      <c r="AZ19" s="1581"/>
      <c r="BA19" s="1037">
        <f t="shared" ref="BA19:BD19" si="13">AVERAGE(BA16:BA18)</f>
        <v>0.32222222222222219</v>
      </c>
      <c r="BB19" s="1037">
        <f t="shared" si="13"/>
        <v>0.62085470085470085</v>
      </c>
      <c r="BC19" s="1037">
        <f t="shared" si="13"/>
        <v>1.0045299145299145</v>
      </c>
      <c r="BD19" s="1037">
        <f t="shared" si="13"/>
        <v>1.3423076923076922</v>
      </c>
      <c r="BE19" s="1595"/>
      <c r="BF19" s="1596"/>
      <c r="BG19" s="1596"/>
      <c r="BH19" s="1597"/>
    </row>
    <row r="20" spans="2:60">
      <c r="B20" s="1500"/>
      <c r="C20" s="1500"/>
      <c r="D20" s="1500"/>
      <c r="E20" s="1500"/>
      <c r="F20" s="1500"/>
      <c r="G20" s="1500"/>
      <c r="H20" s="208"/>
      <c r="I20" s="209"/>
      <c r="J20" s="209"/>
      <c r="K20" s="209"/>
      <c r="L20" s="209"/>
      <c r="M20" s="209"/>
      <c r="N20" s="209"/>
      <c r="O20" s="209"/>
    </row>
    <row r="21" spans="2:60">
      <c r="B21" s="209"/>
      <c r="C21" s="209"/>
      <c r="D21" s="1520"/>
      <c r="E21" s="1520"/>
      <c r="F21" s="1520"/>
      <c r="G21" s="1520"/>
      <c r="H21" s="1520"/>
      <c r="I21" s="1520"/>
      <c r="J21" s="1520"/>
      <c r="K21" s="1520"/>
      <c r="L21" s="1520"/>
      <c r="M21" s="1520"/>
      <c r="N21" s="1520"/>
      <c r="O21" s="1520"/>
    </row>
    <row r="22" spans="2:60" ht="15.6">
      <c r="B22" s="54" t="s">
        <v>26</v>
      </c>
      <c r="C22" s="210">
        <v>44224</v>
      </c>
      <c r="D22" s="211"/>
      <c r="E22" s="1510" t="s">
        <v>50</v>
      </c>
      <c r="F22" s="1032"/>
      <c r="G22" s="1511" t="s">
        <v>553</v>
      </c>
      <c r="H22" s="1511"/>
      <c r="I22" s="1511"/>
      <c r="J22" s="1511"/>
      <c r="K22" s="212"/>
      <c r="L22" s="1567"/>
      <c r="M22" s="1567"/>
      <c r="N22" s="1567"/>
      <c r="O22" s="1587"/>
    </row>
    <row r="23" spans="2:60" ht="15.6">
      <c r="B23" s="209"/>
      <c r="C23" s="209"/>
      <c r="D23" s="212"/>
      <c r="E23" s="1510"/>
      <c r="F23" s="1032"/>
      <c r="G23" s="1511"/>
      <c r="H23" s="1511"/>
      <c r="I23" s="1511"/>
      <c r="J23" s="1511"/>
      <c r="K23" s="209"/>
      <c r="L23" s="209"/>
      <c r="M23" s="209"/>
      <c r="N23" s="209"/>
      <c r="O23" s="209"/>
    </row>
    <row r="24" spans="2:60" ht="15.6">
      <c r="B24" s="54" t="s">
        <v>49</v>
      </c>
      <c r="C24" s="210">
        <v>44581</v>
      </c>
      <c r="D24" s="209"/>
      <c r="E24" s="209"/>
      <c r="F24" s="209"/>
      <c r="K24" s="209"/>
      <c r="L24" s="209"/>
      <c r="M24" s="209"/>
      <c r="N24" s="209"/>
      <c r="O24" s="209"/>
    </row>
    <row r="25" spans="2:60">
      <c r="B25" s="209"/>
      <c r="C25" s="209"/>
      <c r="D25" s="209"/>
      <c r="E25" s="209"/>
      <c r="F25" s="209"/>
      <c r="K25" s="209"/>
      <c r="L25" s="209"/>
      <c r="M25" s="209"/>
      <c r="N25" s="209"/>
      <c r="O25" s="209"/>
    </row>
    <row r="26" spans="2:60">
      <c r="B26" s="1646" t="s">
        <v>916</v>
      </c>
      <c r="C26" s="1646"/>
      <c r="D26" s="1646"/>
      <c r="E26" s="1646"/>
      <c r="F26" s="1646"/>
      <c r="G26" s="1646"/>
      <c r="H26" s="208"/>
      <c r="I26" s="1586"/>
      <c r="J26" s="1586"/>
      <c r="K26" s="1586"/>
      <c r="L26" s="1586"/>
      <c r="M26" s="1034"/>
      <c r="N26" s="1034"/>
      <c r="O26" s="1034"/>
    </row>
    <row r="27" spans="2:60">
      <c r="B27" s="209"/>
      <c r="C27" s="209"/>
      <c r="D27" s="209"/>
      <c r="E27" s="209"/>
      <c r="F27" s="209"/>
      <c r="G27" s="208"/>
      <c r="H27" s="208"/>
      <c r="I27" s="209"/>
      <c r="J27" s="209"/>
      <c r="K27" s="214"/>
      <c r="L27" s="209"/>
      <c r="M27" s="209"/>
      <c r="N27" s="209"/>
      <c r="O27" s="209"/>
    </row>
    <row r="28" spans="2:60">
      <c r="B28" s="209"/>
      <c r="C28" s="209"/>
      <c r="D28" s="209"/>
      <c r="E28" s="209"/>
      <c r="F28" s="209"/>
      <c r="G28" s="208"/>
      <c r="H28" s="208"/>
      <c r="I28" s="1586"/>
      <c r="J28" s="1586"/>
      <c r="K28" s="1586"/>
      <c r="L28" s="1586"/>
      <c r="M28" s="1034"/>
      <c r="N28" s="1034"/>
      <c r="O28" s="1034"/>
    </row>
    <row r="29" spans="2:60">
      <c r="B29" s="209"/>
      <c r="C29" s="209"/>
      <c r="D29" s="209"/>
      <c r="E29" s="209"/>
      <c r="F29" s="209"/>
      <c r="G29" s="208"/>
      <c r="H29" s="208"/>
      <c r="I29" s="209"/>
      <c r="J29" s="209"/>
      <c r="K29" s="214"/>
      <c r="L29" s="209"/>
      <c r="M29" s="209"/>
      <c r="N29" s="209"/>
      <c r="O29" s="209"/>
    </row>
    <row r="30" spans="2:60">
      <c r="B30" s="209"/>
      <c r="C30" s="209"/>
      <c r="D30" s="209"/>
      <c r="E30" s="209"/>
      <c r="F30" s="209"/>
      <c r="G30" s="208"/>
      <c r="H30" s="208"/>
      <c r="I30" s="1586"/>
      <c r="J30" s="1586"/>
      <c r="K30" s="1586"/>
      <c r="L30" s="1586"/>
      <c r="M30" s="1034"/>
      <c r="N30" s="1034"/>
      <c r="O30" s="1034"/>
    </row>
  </sheetData>
  <sheetProtection algorithmName="SHA-512" hashValue="4FMUykiydIfkWmBdtZFLy6DsRRTn70TLgtZqBQBi4UFqpkw320AL1vUmT7vgPa9q2CmzDbrvtC37jFvw2G/UoA==" saltValue="Kxx9lRPgbxkCKPuQYhMeIA==" spinCount="100000" sheet="1" objects="1" scenarios="1"/>
  <mergeCells count="72">
    <mergeCell ref="BE19:BH19"/>
    <mergeCell ref="E22:E23"/>
    <mergeCell ref="G22:J23"/>
    <mergeCell ref="L22:O22"/>
    <mergeCell ref="I26:L26"/>
    <mergeCell ref="B26:G26"/>
    <mergeCell ref="I28:L28"/>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J12:J15"/>
    <mergeCell ref="AX19:AZ19"/>
    <mergeCell ref="D21:O21"/>
    <mergeCell ref="B16:B18"/>
    <mergeCell ref="C16:C18"/>
    <mergeCell ref="B20:G20"/>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92D050"/>
  </sheetPr>
  <dimension ref="B1:BH30"/>
  <sheetViews>
    <sheetView showGridLines="0" zoomScale="55" zoomScaleNormal="55" workbookViewId="0">
      <selection activeCell="B10" sqref="B10:O10"/>
    </sheetView>
  </sheetViews>
  <sheetFormatPr baseColWidth="10" defaultColWidth="17.33203125" defaultRowHeight="15" customHeight="1"/>
  <cols>
    <col min="1" max="1" width="4.33203125" style="107" customWidth="1"/>
    <col min="2" max="2" width="50.44140625" style="105" customWidth="1"/>
    <col min="3" max="3" width="31.44140625" style="105" customWidth="1"/>
    <col min="4" max="4" width="49.6640625" style="105" customWidth="1"/>
    <col min="5" max="6" width="27.5546875" style="105" customWidth="1"/>
    <col min="7" max="8" width="29.33203125" style="106" customWidth="1"/>
    <col min="9" max="9" width="21.44140625" style="105" customWidth="1"/>
    <col min="10" max="10" width="31.88671875" style="105" customWidth="1"/>
    <col min="11" max="11" width="55.88671875" style="105" customWidth="1"/>
    <col min="12" max="12" width="48.44140625" style="105" customWidth="1"/>
    <col min="13" max="14" width="28.5546875" style="105" customWidth="1"/>
    <col min="15" max="15" width="50" style="105" customWidth="1"/>
    <col min="16" max="47" width="15.88671875" style="107" customWidth="1"/>
    <col min="48" max="48" width="24.5546875" style="107" customWidth="1"/>
    <col min="49" max="49" width="22.88671875" style="107" customWidth="1"/>
    <col min="50" max="50" width="19.33203125" style="107" customWidth="1"/>
    <col min="51" max="51" width="18.44140625" style="107" customWidth="1"/>
    <col min="52" max="52" width="19.44140625" style="107" customWidth="1"/>
    <col min="53" max="53" width="23.33203125" style="107" customWidth="1"/>
    <col min="54" max="55" width="25.109375" style="107" customWidth="1"/>
    <col min="56" max="56" width="26.6640625" style="107" customWidth="1"/>
    <col min="57" max="57" width="26.33203125" style="107" customWidth="1"/>
    <col min="58" max="58" width="26.5546875" style="107" customWidth="1"/>
    <col min="59" max="59" width="26.33203125" style="107" customWidth="1"/>
    <col min="60" max="60" width="27.33203125" style="107" customWidth="1"/>
    <col min="61" max="16384" width="17.33203125" style="107"/>
  </cols>
  <sheetData>
    <row r="1" spans="2:60" ht="15.6" thickBot="1"/>
    <row r="2" spans="2:60" ht="15.6">
      <c r="B2" s="1521" t="s">
        <v>679</v>
      </c>
      <c r="C2" s="1524" t="s">
        <v>118</v>
      </c>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6"/>
      <c r="BG2" s="199" t="s">
        <v>31</v>
      </c>
      <c r="BH2" s="200"/>
    </row>
    <row r="3" spans="2:60" ht="15.6">
      <c r="B3" s="1522"/>
      <c r="C3" s="1527"/>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8"/>
      <c r="BF3" s="1529"/>
      <c r="BG3" s="179" t="s">
        <v>28</v>
      </c>
      <c r="BH3" s="24" t="s">
        <v>29</v>
      </c>
    </row>
    <row r="4" spans="2:60" ht="15" customHeight="1">
      <c r="B4" s="1522"/>
      <c r="C4" s="1527"/>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9"/>
      <c r="BG4" s="180">
        <v>5</v>
      </c>
      <c r="BH4" s="26" t="s">
        <v>652</v>
      </c>
    </row>
    <row r="5" spans="2:60" ht="15.6">
      <c r="B5" s="1522"/>
      <c r="C5" s="1527"/>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1528"/>
      <c r="AQ5" s="1528"/>
      <c r="AR5" s="1528"/>
      <c r="AS5" s="1528"/>
      <c r="AT5" s="1528"/>
      <c r="AU5" s="1528"/>
      <c r="AV5" s="1528"/>
      <c r="AW5" s="1528"/>
      <c r="AX5" s="1528"/>
      <c r="AY5" s="1528"/>
      <c r="AZ5" s="1528"/>
      <c r="BA5" s="1528"/>
      <c r="BB5" s="1528"/>
      <c r="BC5" s="1528"/>
      <c r="BD5" s="1528"/>
      <c r="BE5" s="1528"/>
      <c r="BF5" s="1529"/>
      <c r="BG5" s="181" t="s">
        <v>30</v>
      </c>
      <c r="BH5" s="182"/>
    </row>
    <row r="6" spans="2:60" ht="15.6" customHeight="1" thickBot="1">
      <c r="B6" s="1523"/>
      <c r="C6" s="1530"/>
      <c r="D6" s="1531"/>
      <c r="E6" s="1531"/>
      <c r="F6" s="1531"/>
      <c r="G6" s="1531"/>
      <c r="H6" s="1531"/>
      <c r="I6" s="1531"/>
      <c r="J6" s="1531"/>
      <c r="K6" s="1531"/>
      <c r="L6" s="1531"/>
      <c r="M6" s="1531"/>
      <c r="N6" s="1531"/>
      <c r="O6" s="1531"/>
      <c r="P6" s="1531"/>
      <c r="Q6" s="1531"/>
      <c r="R6" s="1531"/>
      <c r="S6" s="1531"/>
      <c r="T6" s="1531"/>
      <c r="U6" s="1531"/>
      <c r="V6" s="1531"/>
      <c r="W6" s="1531"/>
      <c r="X6" s="1531"/>
      <c r="Y6" s="1531"/>
      <c r="Z6" s="1531"/>
      <c r="AA6" s="1531"/>
      <c r="AB6" s="1531"/>
      <c r="AC6" s="1531"/>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1"/>
      <c r="BF6" s="1532"/>
      <c r="BG6" s="1508">
        <v>44306</v>
      </c>
      <c r="BH6" s="1509"/>
    </row>
    <row r="7" spans="2:60">
      <c r="B7" s="108"/>
      <c r="C7" s="108"/>
      <c r="D7" s="108"/>
      <c r="E7" s="108"/>
      <c r="F7" s="108"/>
      <c r="G7" s="109"/>
      <c r="H7" s="109"/>
      <c r="I7" s="108"/>
      <c r="J7" s="108"/>
      <c r="K7" s="108"/>
      <c r="L7" s="108"/>
      <c r="M7" s="108"/>
      <c r="N7" s="108"/>
      <c r="O7" s="108"/>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545"/>
      <c r="AX7" s="1567"/>
      <c r="AY7" s="1567"/>
      <c r="AZ7" s="1567"/>
      <c r="BA7" s="1547"/>
      <c r="BB7" s="1035"/>
      <c r="BC7" s="1035"/>
      <c r="BD7" s="1035"/>
      <c r="BE7" s="110"/>
      <c r="BF7" s="110"/>
    </row>
    <row r="8" spans="2:60" ht="21">
      <c r="B8" s="183" t="s">
        <v>45</v>
      </c>
      <c r="C8" s="1594" t="s">
        <v>98</v>
      </c>
      <c r="D8" s="1594"/>
      <c r="E8" s="184"/>
      <c r="F8" s="184"/>
      <c r="G8" s="184"/>
      <c r="H8" s="184"/>
      <c r="I8" s="184"/>
      <c r="J8" s="184"/>
      <c r="K8" s="184"/>
      <c r="L8" s="184"/>
      <c r="M8" s="184"/>
      <c r="N8" s="184"/>
      <c r="O8" s="184"/>
      <c r="AW8" s="1035"/>
      <c r="AX8" s="1035"/>
      <c r="AY8" s="1035"/>
      <c r="AZ8" s="1035"/>
      <c r="BA8" s="1035"/>
      <c r="BB8" s="1035"/>
      <c r="BC8" s="1035"/>
      <c r="BD8" s="1035"/>
    </row>
    <row r="9" spans="2:60" ht="93" customHeight="1">
      <c r="B9" s="183" t="s">
        <v>34</v>
      </c>
      <c r="C9" s="1534" t="s">
        <v>564</v>
      </c>
      <c r="D9" s="1535"/>
      <c r="E9" s="184"/>
      <c r="F9" s="184"/>
      <c r="G9" s="184"/>
      <c r="H9" s="184"/>
      <c r="I9" s="184"/>
      <c r="J9" s="184"/>
      <c r="K9" s="184"/>
      <c r="L9" s="184"/>
      <c r="M9" s="184"/>
      <c r="N9" s="184"/>
      <c r="O9" s="184"/>
      <c r="AW9" s="1035"/>
      <c r="AX9" s="1035"/>
      <c r="AY9" s="1035"/>
      <c r="AZ9" s="1035"/>
      <c r="BA9" s="1035"/>
      <c r="BB9" s="1035"/>
      <c r="BC9" s="1035"/>
      <c r="BD9" s="1035"/>
    </row>
    <row r="10" spans="2:60" ht="24.6">
      <c r="B10" s="183" t="s">
        <v>101</v>
      </c>
      <c r="C10" s="1536">
        <v>2022</v>
      </c>
      <c r="D10" s="1537"/>
      <c r="E10" s="184"/>
      <c r="F10" s="184"/>
      <c r="G10" s="184"/>
      <c r="H10" s="184"/>
      <c r="I10" s="184"/>
      <c r="J10" s="184"/>
      <c r="K10" s="184"/>
      <c r="L10" s="184"/>
      <c r="M10" s="184"/>
      <c r="N10" s="184"/>
      <c r="O10" s="184"/>
      <c r="AW10" s="1035"/>
      <c r="AX10" s="1035"/>
      <c r="AY10" s="1035"/>
      <c r="AZ10" s="1035"/>
      <c r="BA10" s="1035"/>
      <c r="BB10" s="1035"/>
      <c r="BC10" s="1035"/>
      <c r="BD10" s="1035"/>
    </row>
    <row r="11" spans="2:60">
      <c r="B11" s="108"/>
      <c r="C11" s="108"/>
      <c r="D11" s="108"/>
      <c r="E11" s="108"/>
      <c r="F11" s="108"/>
      <c r="G11" s="109"/>
      <c r="H11" s="109"/>
      <c r="I11" s="108"/>
      <c r="J11" s="108"/>
      <c r="K11" s="108"/>
      <c r="L11" s="108"/>
      <c r="M11" s="108"/>
      <c r="N11" s="108"/>
      <c r="O11" s="108"/>
      <c r="AW11" s="1035"/>
      <c r="AX11" s="1035"/>
      <c r="AY11" s="1035"/>
      <c r="AZ11" s="1035"/>
      <c r="BA11" s="1035"/>
      <c r="BB11" s="1035"/>
      <c r="BC11" s="1035"/>
      <c r="BD11" s="1035"/>
    </row>
    <row r="12" spans="2:60" ht="15.6" customHeight="1">
      <c r="B12" s="1430" t="s">
        <v>0</v>
      </c>
      <c r="C12" s="1430" t="s">
        <v>52</v>
      </c>
      <c r="D12" s="1202" t="s">
        <v>704</v>
      </c>
      <c r="E12" s="1430" t="s">
        <v>61</v>
      </c>
      <c r="F12" s="1202" t="s">
        <v>675</v>
      </c>
      <c r="G12" s="1430" t="s">
        <v>58</v>
      </c>
      <c r="H12" s="1430" t="s">
        <v>25</v>
      </c>
      <c r="I12" s="1430" t="s">
        <v>60</v>
      </c>
      <c r="J12" s="1430" t="s">
        <v>39</v>
      </c>
      <c r="K12" s="1430" t="s">
        <v>36</v>
      </c>
      <c r="L12" s="1430" t="s">
        <v>20</v>
      </c>
      <c r="M12" s="1430" t="s">
        <v>51</v>
      </c>
      <c r="N12" s="1430" t="s">
        <v>40</v>
      </c>
      <c r="O12" s="1430" t="s">
        <v>42</v>
      </c>
      <c r="P12" s="1448" t="s">
        <v>112</v>
      </c>
      <c r="Q12" s="1448"/>
      <c r="R12" s="1448"/>
      <c r="S12" s="1448"/>
      <c r="T12" s="1448"/>
      <c r="U12" s="1448"/>
      <c r="V12" s="1448"/>
      <c r="W12" s="1448"/>
      <c r="X12" s="1448"/>
      <c r="Y12" s="1448"/>
      <c r="Z12" s="1448"/>
      <c r="AA12" s="1448"/>
      <c r="AB12" s="1448"/>
      <c r="AC12" s="1448"/>
      <c r="AD12" s="1448"/>
      <c r="AE12" s="1448"/>
      <c r="AF12" s="1448"/>
      <c r="AG12" s="1448"/>
      <c r="AH12" s="1448"/>
      <c r="AI12" s="1448"/>
      <c r="AJ12" s="1448"/>
      <c r="AK12" s="1448"/>
      <c r="AL12" s="1448"/>
      <c r="AM12" s="1448"/>
      <c r="AN12" s="1448"/>
      <c r="AO12" s="1448"/>
      <c r="AP12" s="1448"/>
      <c r="AQ12" s="1448"/>
      <c r="AR12" s="1448"/>
      <c r="AS12" s="1448"/>
      <c r="AT12" s="1448"/>
      <c r="AU12" s="1448"/>
      <c r="AV12" s="1548" t="s">
        <v>62</v>
      </c>
      <c r="AW12" s="1549" t="s">
        <v>676</v>
      </c>
      <c r="AX12" s="1550"/>
      <c r="AY12" s="1550"/>
      <c r="AZ12" s="1551"/>
      <c r="BA12" s="1555" t="s">
        <v>677</v>
      </c>
      <c r="BB12" s="1556"/>
      <c r="BC12" s="1556"/>
      <c r="BD12" s="1557"/>
      <c r="BE12" s="1542" t="s">
        <v>678</v>
      </c>
      <c r="BF12" s="1543"/>
      <c r="BG12" s="1543"/>
      <c r="BH12" s="1544"/>
    </row>
    <row r="13" spans="2:60" ht="15.6">
      <c r="B13" s="1430"/>
      <c r="C13" s="1430"/>
      <c r="D13" s="1202"/>
      <c r="E13" s="1430"/>
      <c r="F13" s="1202"/>
      <c r="G13" s="1430"/>
      <c r="H13" s="1430"/>
      <c r="I13" s="1430"/>
      <c r="J13" s="1430"/>
      <c r="K13" s="1430"/>
      <c r="L13" s="1430"/>
      <c r="M13" s="1430"/>
      <c r="N13" s="1430"/>
      <c r="O13" s="1430"/>
      <c r="P13" s="1513" t="s">
        <v>21</v>
      </c>
      <c r="Q13" s="1513"/>
      <c r="R13" s="1513"/>
      <c r="S13" s="1513"/>
      <c r="T13" s="1513"/>
      <c r="U13" s="1513"/>
      <c r="V13" s="1513"/>
      <c r="W13" s="1513"/>
      <c r="X13" s="1513" t="s">
        <v>22</v>
      </c>
      <c r="Y13" s="1513"/>
      <c r="Z13" s="1513"/>
      <c r="AA13" s="1513"/>
      <c r="AB13" s="1513"/>
      <c r="AC13" s="1513"/>
      <c r="AD13" s="1513"/>
      <c r="AE13" s="1513"/>
      <c r="AF13" s="1513" t="s">
        <v>23</v>
      </c>
      <c r="AG13" s="1513"/>
      <c r="AH13" s="1513"/>
      <c r="AI13" s="1513"/>
      <c r="AJ13" s="1513"/>
      <c r="AK13" s="1513"/>
      <c r="AL13" s="1513"/>
      <c r="AM13" s="1513"/>
      <c r="AN13" s="1513" t="s">
        <v>24</v>
      </c>
      <c r="AO13" s="1513"/>
      <c r="AP13" s="1513"/>
      <c r="AQ13" s="1513"/>
      <c r="AR13" s="1513"/>
      <c r="AS13" s="1513"/>
      <c r="AT13" s="1513"/>
      <c r="AU13" s="1513"/>
      <c r="AV13" s="1548"/>
      <c r="AW13" s="1552" t="s">
        <v>119</v>
      </c>
      <c r="AX13" s="1552" t="s">
        <v>22</v>
      </c>
      <c r="AY13" s="1552" t="s">
        <v>120</v>
      </c>
      <c r="AZ13" s="1552" t="s">
        <v>121</v>
      </c>
      <c r="BA13" s="1558" t="s">
        <v>119</v>
      </c>
      <c r="BB13" s="1558" t="s">
        <v>122</v>
      </c>
      <c r="BC13" s="1558" t="s">
        <v>123</v>
      </c>
      <c r="BD13" s="1558" t="s">
        <v>124</v>
      </c>
      <c r="BE13" s="1561" t="s">
        <v>21</v>
      </c>
      <c r="BF13" s="1561" t="s">
        <v>22</v>
      </c>
      <c r="BG13" s="1561" t="s">
        <v>23</v>
      </c>
      <c r="BH13" s="1561" t="s">
        <v>24</v>
      </c>
    </row>
    <row r="14" spans="2:60" ht="15.6">
      <c r="B14" s="1430"/>
      <c r="C14" s="1430"/>
      <c r="D14" s="1202"/>
      <c r="E14" s="1430"/>
      <c r="F14" s="1202"/>
      <c r="G14" s="1430"/>
      <c r="H14" s="1430"/>
      <c r="I14" s="1430"/>
      <c r="J14" s="1430"/>
      <c r="K14" s="1430"/>
      <c r="L14" s="1430"/>
      <c r="M14" s="1430"/>
      <c r="N14" s="1430"/>
      <c r="O14" s="1430"/>
      <c r="P14" s="1572" t="s">
        <v>5</v>
      </c>
      <c r="Q14" s="1572"/>
      <c r="R14" s="1572" t="s">
        <v>6</v>
      </c>
      <c r="S14" s="1572"/>
      <c r="T14" s="1572" t="s">
        <v>7</v>
      </c>
      <c r="U14" s="1572"/>
      <c r="V14" s="1448" t="s">
        <v>8</v>
      </c>
      <c r="W14" s="1448"/>
      <c r="X14" s="1572" t="s">
        <v>27</v>
      </c>
      <c r="Y14" s="1572"/>
      <c r="Z14" s="1572" t="s">
        <v>9</v>
      </c>
      <c r="AA14" s="1572"/>
      <c r="AB14" s="1572" t="s">
        <v>10</v>
      </c>
      <c r="AC14" s="1572"/>
      <c r="AD14" s="1448" t="s">
        <v>8</v>
      </c>
      <c r="AE14" s="1448"/>
      <c r="AF14" s="1572" t="s">
        <v>11</v>
      </c>
      <c r="AG14" s="1572"/>
      <c r="AH14" s="1572" t="s">
        <v>12</v>
      </c>
      <c r="AI14" s="1572"/>
      <c r="AJ14" s="1572" t="s">
        <v>13</v>
      </c>
      <c r="AK14" s="1572"/>
      <c r="AL14" s="1448" t="s">
        <v>8</v>
      </c>
      <c r="AM14" s="1448"/>
      <c r="AN14" s="1572" t="s">
        <v>14</v>
      </c>
      <c r="AO14" s="1572"/>
      <c r="AP14" s="1572" t="s">
        <v>15</v>
      </c>
      <c r="AQ14" s="1572"/>
      <c r="AR14" s="1572" t="s">
        <v>16</v>
      </c>
      <c r="AS14" s="1572"/>
      <c r="AT14" s="1448" t="s">
        <v>8</v>
      </c>
      <c r="AU14" s="1448"/>
      <c r="AV14" s="1548"/>
      <c r="AW14" s="1553"/>
      <c r="AX14" s="1553"/>
      <c r="AY14" s="1553"/>
      <c r="AZ14" s="1553"/>
      <c r="BA14" s="1559"/>
      <c r="BB14" s="1559"/>
      <c r="BC14" s="1559"/>
      <c r="BD14" s="1559"/>
      <c r="BE14" s="1562"/>
      <c r="BF14" s="1562"/>
      <c r="BG14" s="1562"/>
      <c r="BH14" s="1562"/>
    </row>
    <row r="15" spans="2:60" ht="13.2" customHeight="1">
      <c r="B15" s="1430"/>
      <c r="C15" s="1430"/>
      <c r="D15" s="1202"/>
      <c r="E15" s="1430"/>
      <c r="F15" s="1202"/>
      <c r="G15" s="1430"/>
      <c r="H15" s="1430"/>
      <c r="I15" s="1430"/>
      <c r="J15" s="1430"/>
      <c r="K15" s="1430"/>
      <c r="L15" s="1430"/>
      <c r="M15" s="1430"/>
      <c r="N15" s="1430"/>
      <c r="O15" s="1430"/>
      <c r="P15" s="202" t="s">
        <v>17</v>
      </c>
      <c r="Q15" s="203" t="s">
        <v>18</v>
      </c>
      <c r="R15" s="202" t="s">
        <v>17</v>
      </c>
      <c r="S15" s="203" t="s">
        <v>18</v>
      </c>
      <c r="T15" s="202" t="s">
        <v>17</v>
      </c>
      <c r="U15" s="203" t="s">
        <v>18</v>
      </c>
      <c r="V15" s="52" t="s">
        <v>17</v>
      </c>
      <c r="W15" s="53" t="s">
        <v>18</v>
      </c>
      <c r="X15" s="202" t="s">
        <v>17</v>
      </c>
      <c r="Y15" s="203" t="s">
        <v>18</v>
      </c>
      <c r="Z15" s="202" t="s">
        <v>17</v>
      </c>
      <c r="AA15" s="203" t="s">
        <v>18</v>
      </c>
      <c r="AB15" s="202" t="s">
        <v>17</v>
      </c>
      <c r="AC15" s="203" t="s">
        <v>18</v>
      </c>
      <c r="AD15" s="52" t="s">
        <v>17</v>
      </c>
      <c r="AE15" s="53" t="s">
        <v>18</v>
      </c>
      <c r="AF15" s="202" t="s">
        <v>17</v>
      </c>
      <c r="AG15" s="203" t="s">
        <v>18</v>
      </c>
      <c r="AH15" s="202" t="s">
        <v>17</v>
      </c>
      <c r="AI15" s="203" t="s">
        <v>18</v>
      </c>
      <c r="AJ15" s="202" t="s">
        <v>17</v>
      </c>
      <c r="AK15" s="203" t="s">
        <v>18</v>
      </c>
      <c r="AL15" s="52" t="s">
        <v>17</v>
      </c>
      <c r="AM15" s="53" t="s">
        <v>18</v>
      </c>
      <c r="AN15" s="202" t="s">
        <v>17</v>
      </c>
      <c r="AO15" s="203" t="s">
        <v>18</v>
      </c>
      <c r="AP15" s="202" t="s">
        <v>17</v>
      </c>
      <c r="AQ15" s="203" t="s">
        <v>18</v>
      </c>
      <c r="AR15" s="202" t="s">
        <v>17</v>
      </c>
      <c r="AS15" s="203" t="s">
        <v>18</v>
      </c>
      <c r="AT15" s="52" t="s">
        <v>17</v>
      </c>
      <c r="AU15" s="53" t="s">
        <v>18</v>
      </c>
      <c r="AV15" s="1548"/>
      <c r="AW15" s="1554"/>
      <c r="AX15" s="1554"/>
      <c r="AY15" s="1554"/>
      <c r="AZ15" s="1554"/>
      <c r="BA15" s="1560"/>
      <c r="BB15" s="1560"/>
      <c r="BC15" s="1560"/>
      <c r="BD15" s="1560"/>
      <c r="BE15" s="1563"/>
      <c r="BF15" s="1563"/>
      <c r="BG15" s="1563"/>
      <c r="BH15" s="1563"/>
    </row>
    <row r="16" spans="2:60" ht="98.25" customHeight="1">
      <c r="B16" s="1540" t="str">
        <f>+'01-FR-03 POA INSTITUCIONAL'!B48</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540" t="str">
        <f>+'01-FR-03 POA INSTITUCIONAL'!C87</f>
        <v>4.5. Desarrollar el 100% de las acciones relacionadas con el fomento de la Cultura del Autocontrol, la Autorregulación y la Autogestión institucional.</v>
      </c>
      <c r="D16" s="27" t="str">
        <f>+'01-FR-03 POA INSTITUCIONAL'!D90</f>
        <v>4.5.4 Ejecutar  4 programas anuales de auditorias, aprobados por el Comité Institucional de Coordinación del Sistema de Control Interno.</v>
      </c>
      <c r="E16" s="38">
        <f>+'01-FR-03 POA INSTITUCIONAL'!E90</f>
        <v>0.5</v>
      </c>
      <c r="F16" s="47">
        <f>+'01-FR-03 POA INSTITUCIONAL'!F90</f>
        <v>4</v>
      </c>
      <c r="G16" s="47">
        <f>+'01-FR-03 POA INSTITUCIONAL'!L90</f>
        <v>1</v>
      </c>
      <c r="H16" s="47">
        <f>+'01-FR-03 POA INSTITUCIONAL'!G90</f>
        <v>4</v>
      </c>
      <c r="I16" s="1030" t="str">
        <f>+'01-FR-03 POA INSTITUCIONAL'!H90</f>
        <v>Programa anual de auditorías ejecutado.</v>
      </c>
      <c r="J16" s="185" t="s">
        <v>658</v>
      </c>
      <c r="K16" s="400" t="s">
        <v>565</v>
      </c>
      <c r="L16" s="187" t="s">
        <v>566</v>
      </c>
      <c r="M16" s="187" t="s">
        <v>567</v>
      </c>
      <c r="N16" s="187" t="s">
        <v>568</v>
      </c>
      <c r="O16" s="205" t="str">
        <f>+'[7]POA Anualizado (Pág 1 de 3)'!J13</f>
        <v>Oficina de Control Interno</v>
      </c>
      <c r="P16" s="826">
        <v>0.06</v>
      </c>
      <c r="Q16" s="826">
        <v>0.06</v>
      </c>
      <c r="R16" s="826">
        <v>0.06</v>
      </c>
      <c r="S16" s="826">
        <v>0.06</v>
      </c>
      <c r="T16" s="826">
        <v>0.23</v>
      </c>
      <c r="U16" s="826">
        <v>0.23</v>
      </c>
      <c r="V16" s="65">
        <f>P16+R16+T16</f>
        <v>0.35</v>
      </c>
      <c r="W16" s="65">
        <f>Q16+S16+U16</f>
        <v>0.35</v>
      </c>
      <c r="X16" s="826">
        <v>0.03</v>
      </c>
      <c r="Y16" s="826">
        <v>0.03</v>
      </c>
      <c r="Z16" s="826">
        <v>0.09</v>
      </c>
      <c r="AA16" s="826">
        <v>0.09</v>
      </c>
      <c r="AB16" s="826">
        <v>0.03</v>
      </c>
      <c r="AC16" s="826">
        <v>0.03</v>
      </c>
      <c r="AD16" s="65">
        <f>X16+Z16+AB16</f>
        <v>0.15</v>
      </c>
      <c r="AE16" s="65">
        <f>Y16+AA16+AC16</f>
        <v>0.15</v>
      </c>
      <c r="AF16" s="826">
        <v>0.15</v>
      </c>
      <c r="AG16" s="826">
        <v>0.15</v>
      </c>
      <c r="AH16" s="826">
        <v>0.13</v>
      </c>
      <c r="AI16" s="826">
        <v>0.13</v>
      </c>
      <c r="AJ16" s="826">
        <v>0.16</v>
      </c>
      <c r="AK16" s="827">
        <v>0.16</v>
      </c>
      <c r="AL16" s="65">
        <f>AF16+AH16+AJ16</f>
        <v>0.44000000000000006</v>
      </c>
      <c r="AM16" s="65">
        <f>AG16+AI16+AK16</f>
        <v>0.44000000000000006</v>
      </c>
      <c r="AN16" s="826">
        <v>0.02</v>
      </c>
      <c r="AO16" s="826">
        <v>0.02</v>
      </c>
      <c r="AP16" s="826">
        <v>0.04</v>
      </c>
      <c r="AQ16" s="826">
        <v>0.04</v>
      </c>
      <c r="AR16" s="826">
        <v>0</v>
      </c>
      <c r="AS16" s="826">
        <v>0</v>
      </c>
      <c r="AT16" s="65">
        <f>AN16+AP16+AR16</f>
        <v>0.06</v>
      </c>
      <c r="AU16" s="65">
        <f>AO16+AQ16+AS16</f>
        <v>0.06</v>
      </c>
      <c r="AV16" s="206">
        <f>V16+AD16+AL16+AT16</f>
        <v>1</v>
      </c>
      <c r="AW16" s="282">
        <f>+W16</f>
        <v>0.35</v>
      </c>
      <c r="AX16" s="282">
        <f>+W16+AE16</f>
        <v>0.5</v>
      </c>
      <c r="AY16" s="282">
        <f>+W16+AE16+AM16</f>
        <v>0.94000000000000006</v>
      </c>
      <c r="AZ16" s="57">
        <f>+W16+AE16+AM16+AU16</f>
        <v>1</v>
      </c>
      <c r="BA16" s="34">
        <f>IF(AND(AW16&gt;0,$AV16&gt;0),AW16/$AV16,0)</f>
        <v>0.35</v>
      </c>
      <c r="BB16" s="34">
        <f t="shared" ref="BB16:BD18" si="0">IF(AND(AX16&gt;0,$AV16&gt;0),AX16/$AV16,0)</f>
        <v>0.5</v>
      </c>
      <c r="BC16" s="34">
        <f t="shared" si="0"/>
        <v>0.94000000000000006</v>
      </c>
      <c r="BD16" s="34">
        <f t="shared" si="0"/>
        <v>1</v>
      </c>
      <c r="BE16" s="272">
        <f>(IF(AND(AW16&gt;0,$F16&gt;0),AW16/$F16,0))</f>
        <v>8.7499999999999994E-2</v>
      </c>
      <c r="BF16" s="272">
        <f t="shared" ref="BF16:BH18" si="1">(IF(AND(AX16&gt;0,$F16&gt;0),AX16/$F16,0))</f>
        <v>0.125</v>
      </c>
      <c r="BG16" s="304">
        <f t="shared" si="1"/>
        <v>0.23500000000000001</v>
      </c>
      <c r="BH16" s="272">
        <f t="shared" si="1"/>
        <v>0.25</v>
      </c>
    </row>
    <row r="17" spans="2:60" ht="120">
      <c r="B17" s="1541"/>
      <c r="C17" s="1541"/>
      <c r="D17" s="27" t="str">
        <f>+'01-FR-03 POA INSTITUCIONAL'!D91</f>
        <v>4.5.5 Desarrollar 4 estrategias de sensibilización acerca de la cultura del control.</v>
      </c>
      <c r="E17" s="38">
        <f>+'01-FR-03 POA INSTITUCIONAL'!E91</f>
        <v>0.1</v>
      </c>
      <c r="F17" s="47">
        <f>+'01-FR-03 POA INSTITUCIONAL'!F91</f>
        <v>4</v>
      </c>
      <c r="G17" s="47">
        <f>+'01-FR-03 POA INSTITUCIONAL'!L91</f>
        <v>1</v>
      </c>
      <c r="H17" s="47">
        <f>+'01-FR-03 POA INSTITUCIONAL'!G91</f>
        <v>4</v>
      </c>
      <c r="I17" s="1030" t="str">
        <f>+'01-FR-03 POA INSTITUCIONAL'!H91</f>
        <v>Estrategia de Sensibilización acerca de la Cultura del Control realizada</v>
      </c>
      <c r="J17" s="185" t="s">
        <v>569</v>
      </c>
      <c r="K17" s="400" t="s">
        <v>574</v>
      </c>
      <c r="L17" s="187" t="s">
        <v>570</v>
      </c>
      <c r="M17" s="187" t="s">
        <v>567</v>
      </c>
      <c r="N17" s="187" t="s">
        <v>568</v>
      </c>
      <c r="O17" s="205" t="str">
        <f>+'[7]POA Anualizado (Pág 1 de 3)'!J14</f>
        <v>Oficina de Control Interno</v>
      </c>
      <c r="P17" s="826">
        <v>0</v>
      </c>
      <c r="Q17" s="826">
        <v>0</v>
      </c>
      <c r="R17" s="826">
        <v>0</v>
      </c>
      <c r="S17" s="826">
        <v>0</v>
      </c>
      <c r="T17" s="826">
        <v>0</v>
      </c>
      <c r="U17" s="826">
        <v>0</v>
      </c>
      <c r="V17" s="64">
        <f t="shared" ref="V17:W18" si="2">P17+R17+T17</f>
        <v>0</v>
      </c>
      <c r="W17" s="64">
        <f t="shared" si="2"/>
        <v>0</v>
      </c>
      <c r="X17" s="826">
        <v>0</v>
      </c>
      <c r="Y17" s="826">
        <v>0</v>
      </c>
      <c r="Z17" s="826">
        <v>0</v>
      </c>
      <c r="AA17" s="826">
        <v>0</v>
      </c>
      <c r="AB17" s="826">
        <v>0</v>
      </c>
      <c r="AC17" s="826">
        <v>0</v>
      </c>
      <c r="AD17" s="64">
        <f t="shared" ref="AD17:AE18" si="3">X17+Z17+AB17</f>
        <v>0</v>
      </c>
      <c r="AE17" s="64">
        <f t="shared" si="3"/>
        <v>0</v>
      </c>
      <c r="AF17" s="826">
        <v>0</v>
      </c>
      <c r="AG17" s="826">
        <v>0</v>
      </c>
      <c r="AH17" s="826">
        <v>0</v>
      </c>
      <c r="AI17" s="826">
        <v>0</v>
      </c>
      <c r="AJ17" s="826">
        <v>0</v>
      </c>
      <c r="AK17" s="827">
        <v>0</v>
      </c>
      <c r="AL17" s="64">
        <f t="shared" ref="AL17:AM18" si="4">AF17+AH17+AJ17</f>
        <v>0</v>
      </c>
      <c r="AM17" s="64">
        <f t="shared" si="4"/>
        <v>0</v>
      </c>
      <c r="AN17" s="826">
        <v>0</v>
      </c>
      <c r="AO17" s="826">
        <v>0</v>
      </c>
      <c r="AP17" s="826">
        <v>1</v>
      </c>
      <c r="AQ17" s="826">
        <v>1</v>
      </c>
      <c r="AR17" s="826">
        <v>0</v>
      </c>
      <c r="AS17" s="826">
        <v>0</v>
      </c>
      <c r="AT17" s="64">
        <f t="shared" ref="AT17:AU18" si="5">AN17+AP17+AR17</f>
        <v>1</v>
      </c>
      <c r="AU17" s="64">
        <f t="shared" si="5"/>
        <v>1</v>
      </c>
      <c r="AV17" s="206">
        <f t="shared" ref="AV17:AV18" si="6">V17+AD17+AL17+AT17</f>
        <v>1</v>
      </c>
      <c r="AW17" s="57">
        <f t="shared" ref="AW17:AW18" si="7">+W17</f>
        <v>0</v>
      </c>
      <c r="AX17" s="57">
        <f t="shared" ref="AX17:AX18" si="8">+W17+AE17</f>
        <v>0</v>
      </c>
      <c r="AY17" s="57">
        <f t="shared" ref="AY17:AY18" si="9">+W17+AE17+AM17</f>
        <v>0</v>
      </c>
      <c r="AZ17" s="57">
        <f t="shared" ref="AZ17:AZ18" si="10">+W17+AE17+AM17+AU17</f>
        <v>1</v>
      </c>
      <c r="BA17" s="34">
        <f>IF(AND(AW17&gt;0,AV17&gt;0),AW17/AV17,0)</f>
        <v>0</v>
      </c>
      <c r="BB17" s="34">
        <f t="shared" si="0"/>
        <v>0</v>
      </c>
      <c r="BC17" s="34">
        <f t="shared" si="0"/>
        <v>0</v>
      </c>
      <c r="BD17" s="34">
        <f t="shared" si="0"/>
        <v>1</v>
      </c>
      <c r="BE17" s="272">
        <f t="shared" ref="BE17:BE18" si="11">(IF(AND(AW17&gt;0,$F17&gt;0),AW17/$F17,0))</f>
        <v>0</v>
      </c>
      <c r="BF17" s="272">
        <f t="shared" si="1"/>
        <v>0</v>
      </c>
      <c r="BG17" s="272">
        <f t="shared" si="1"/>
        <v>0</v>
      </c>
      <c r="BH17" s="272">
        <f t="shared" si="1"/>
        <v>0.25</v>
      </c>
    </row>
    <row r="18" spans="2:60" ht="104.25" customHeight="1">
      <c r="B18" s="1582"/>
      <c r="C18" s="1582"/>
      <c r="D18" s="27" t="str">
        <f>+'01-FR-03 POA INSTITUCIONAL'!D92</f>
        <v>4.5.6 Realizar 4 jornadas de sensibilización a Directivos y Referentes de proceso sobre la Séptima Dimensión.</v>
      </c>
      <c r="E18" s="38">
        <f>+'01-FR-03 POA INSTITUCIONAL'!E92</f>
        <v>0.1</v>
      </c>
      <c r="F18" s="47">
        <f>+'01-FR-03 POA INSTITUCIONAL'!F92</f>
        <v>4</v>
      </c>
      <c r="G18" s="47">
        <f>+'01-FR-03 POA INSTITUCIONAL'!L92</f>
        <v>1</v>
      </c>
      <c r="H18" s="47">
        <f>+'01-FR-03 POA INSTITUCIONAL'!G92</f>
        <v>4</v>
      </c>
      <c r="I18" s="1030" t="str">
        <f>+'01-FR-03 POA INSTITUCIONAL'!H92</f>
        <v>Sensibilización a Directivos y Referentes de Gestión sobre la Séptima Dimensión del MIPG realizada</v>
      </c>
      <c r="J18" s="185" t="s">
        <v>571</v>
      </c>
      <c r="K18" s="400" t="s">
        <v>575</v>
      </c>
      <c r="L18" s="187" t="s">
        <v>572</v>
      </c>
      <c r="M18" s="187" t="s">
        <v>567</v>
      </c>
      <c r="N18" s="187" t="s">
        <v>568</v>
      </c>
      <c r="O18" s="205" t="str">
        <f>+'[7]POA Anualizado (Pág 1 de 3)'!J15</f>
        <v>Oficina de Control Interno</v>
      </c>
      <c r="P18" s="826">
        <v>0</v>
      </c>
      <c r="Q18" s="826">
        <v>0</v>
      </c>
      <c r="R18" s="826">
        <v>0</v>
      </c>
      <c r="S18" s="826">
        <v>0</v>
      </c>
      <c r="T18" s="826">
        <v>0</v>
      </c>
      <c r="U18" s="826">
        <v>0</v>
      </c>
      <c r="V18" s="64">
        <f t="shared" si="2"/>
        <v>0</v>
      </c>
      <c r="W18" s="64">
        <f t="shared" si="2"/>
        <v>0</v>
      </c>
      <c r="X18" s="826">
        <v>0</v>
      </c>
      <c r="Y18" s="826">
        <v>0</v>
      </c>
      <c r="Z18" s="826">
        <v>1</v>
      </c>
      <c r="AA18" s="826">
        <v>1</v>
      </c>
      <c r="AB18" s="826">
        <v>0</v>
      </c>
      <c r="AC18" s="826">
        <v>0</v>
      </c>
      <c r="AD18" s="64">
        <f t="shared" si="3"/>
        <v>1</v>
      </c>
      <c r="AE18" s="64">
        <f t="shared" si="3"/>
        <v>1</v>
      </c>
      <c r="AF18" s="826">
        <v>0</v>
      </c>
      <c r="AG18" s="826">
        <v>0</v>
      </c>
      <c r="AH18" s="826">
        <v>0</v>
      </c>
      <c r="AI18" s="826">
        <v>0</v>
      </c>
      <c r="AJ18" s="826">
        <v>0</v>
      </c>
      <c r="AK18" s="827">
        <v>0</v>
      </c>
      <c r="AL18" s="64">
        <f t="shared" si="4"/>
        <v>0</v>
      </c>
      <c r="AM18" s="64">
        <f t="shared" si="4"/>
        <v>0</v>
      </c>
      <c r="AN18" s="826">
        <v>0</v>
      </c>
      <c r="AO18" s="826">
        <v>0</v>
      </c>
      <c r="AP18" s="826">
        <v>0</v>
      </c>
      <c r="AQ18" s="826">
        <v>0</v>
      </c>
      <c r="AR18" s="826">
        <v>0</v>
      </c>
      <c r="AS18" s="826">
        <v>0</v>
      </c>
      <c r="AT18" s="64">
        <f t="shared" si="5"/>
        <v>0</v>
      </c>
      <c r="AU18" s="64">
        <f t="shared" si="5"/>
        <v>0</v>
      </c>
      <c r="AV18" s="206">
        <f t="shared" si="6"/>
        <v>1</v>
      </c>
      <c r="AW18" s="57">
        <f t="shared" si="7"/>
        <v>0</v>
      </c>
      <c r="AX18" s="57">
        <f t="shared" si="8"/>
        <v>1</v>
      </c>
      <c r="AY18" s="57">
        <f t="shared" si="9"/>
        <v>1</v>
      </c>
      <c r="AZ18" s="57">
        <f t="shared" si="10"/>
        <v>1</v>
      </c>
      <c r="BA18" s="34">
        <f t="shared" ref="BA18" si="12">IF(AND(AW18&gt;0,AV18&gt;0),AW18/AV18,0)</f>
        <v>0</v>
      </c>
      <c r="BB18" s="34">
        <f t="shared" si="0"/>
        <v>1</v>
      </c>
      <c r="BC18" s="34">
        <f t="shared" si="0"/>
        <v>1</v>
      </c>
      <c r="BD18" s="34">
        <f t="shared" si="0"/>
        <v>1</v>
      </c>
      <c r="BE18" s="272">
        <f t="shared" si="11"/>
        <v>0</v>
      </c>
      <c r="BF18" s="272">
        <f t="shared" si="1"/>
        <v>0.25</v>
      </c>
      <c r="BG18" s="304">
        <f t="shared" si="1"/>
        <v>0.25</v>
      </c>
      <c r="BH18" s="272">
        <f t="shared" si="1"/>
        <v>0.25</v>
      </c>
    </row>
    <row r="19" spans="2:60" ht="22.8">
      <c r="B19" s="1504"/>
      <c r="C19" s="1505"/>
      <c r="D19" s="1505"/>
      <c r="E19" s="1505"/>
      <c r="F19" s="1505"/>
      <c r="G19" s="1505"/>
      <c r="H19" s="1505"/>
      <c r="I19" s="1505"/>
      <c r="J19" s="1505"/>
      <c r="K19" s="1505"/>
      <c r="L19" s="1505"/>
      <c r="M19" s="1505"/>
      <c r="N19" s="1505"/>
      <c r="O19" s="1505"/>
      <c r="P19" s="1505"/>
      <c r="Q19" s="1505"/>
      <c r="R19" s="1505"/>
      <c r="S19" s="1505"/>
      <c r="T19" s="1505"/>
      <c r="U19" s="1505"/>
      <c r="V19" s="1505"/>
      <c r="W19" s="1505"/>
      <c r="X19" s="1505"/>
      <c r="Y19" s="1505"/>
      <c r="Z19" s="1505"/>
      <c r="AA19" s="1505"/>
      <c r="AB19" s="1505"/>
      <c r="AC19" s="1505"/>
      <c r="AD19" s="1505"/>
      <c r="AE19" s="1505"/>
      <c r="AF19" s="1505"/>
      <c r="AG19" s="1505"/>
      <c r="AH19" s="1505"/>
      <c r="AI19" s="1505"/>
      <c r="AJ19" s="1505"/>
      <c r="AK19" s="1505"/>
      <c r="AL19" s="1505"/>
      <c r="AM19" s="1505"/>
      <c r="AN19" s="1505"/>
      <c r="AO19" s="1505"/>
      <c r="AP19" s="1505"/>
      <c r="AQ19" s="1505"/>
      <c r="AR19" s="1505"/>
      <c r="AS19" s="1505"/>
      <c r="AT19" s="1505"/>
      <c r="AU19" s="1505"/>
      <c r="AV19" s="1505"/>
      <c r="AW19" s="1583"/>
      <c r="AX19" s="1538" t="s">
        <v>19</v>
      </c>
      <c r="AY19" s="1581"/>
      <c r="AZ19" s="1581"/>
      <c r="BA19" s="1037">
        <f t="shared" ref="BA19:BD19" si="13">AVERAGE(BA16:BA18)</f>
        <v>0.11666666666666665</v>
      </c>
      <c r="BB19" s="1037">
        <f t="shared" si="13"/>
        <v>0.5</v>
      </c>
      <c r="BC19" s="1037">
        <f t="shared" si="13"/>
        <v>0.64666666666666661</v>
      </c>
      <c r="BD19" s="1037">
        <f t="shared" si="13"/>
        <v>1</v>
      </c>
      <c r="BE19" s="1595"/>
      <c r="BF19" s="1596"/>
      <c r="BG19" s="1596"/>
      <c r="BH19" s="1597"/>
    </row>
    <row r="20" spans="2:60">
      <c r="B20" s="1500"/>
      <c r="C20" s="1500"/>
      <c r="D20" s="1500"/>
      <c r="E20" s="1500"/>
      <c r="F20" s="1500"/>
      <c r="G20" s="1500"/>
      <c r="H20" s="208"/>
      <c r="I20" s="209"/>
      <c r="J20" s="209"/>
      <c r="K20" s="209"/>
      <c r="L20" s="209"/>
      <c r="M20" s="209"/>
      <c r="N20" s="209"/>
      <c r="O20" s="209"/>
    </row>
    <row r="21" spans="2:60">
      <c r="B21" s="209"/>
      <c r="C21" s="209"/>
      <c r="D21" s="1520"/>
      <c r="E21" s="1520"/>
      <c r="F21" s="1520"/>
      <c r="G21" s="1520"/>
      <c r="H21" s="1520"/>
      <c r="I21" s="1520"/>
      <c r="J21" s="1520"/>
      <c r="K21" s="1520"/>
      <c r="L21" s="1520"/>
      <c r="M21" s="1520"/>
      <c r="N21" s="1520"/>
      <c r="O21" s="1520"/>
    </row>
    <row r="22" spans="2:60" ht="15.6" customHeight="1">
      <c r="B22" s="54" t="s">
        <v>26</v>
      </c>
      <c r="C22" s="210">
        <v>44224</v>
      </c>
      <c r="D22" s="211"/>
      <c r="E22" s="1510" t="s">
        <v>50</v>
      </c>
      <c r="F22" s="1588" t="s">
        <v>573</v>
      </c>
      <c r="G22" s="1589"/>
      <c r="H22" s="1589"/>
      <c r="I22" s="1589"/>
      <c r="J22" s="1590"/>
      <c r="K22" s="212"/>
      <c r="L22" s="1567"/>
      <c r="M22" s="1567"/>
      <c r="N22" s="1567"/>
      <c r="O22" s="1587"/>
    </row>
    <row r="23" spans="2:60" ht="15.6">
      <c r="B23" s="209"/>
      <c r="C23" s="209"/>
      <c r="D23" s="212"/>
      <c r="E23" s="1510"/>
      <c r="F23" s="1591"/>
      <c r="G23" s="1592"/>
      <c r="H23" s="1592"/>
      <c r="I23" s="1592"/>
      <c r="J23" s="1593"/>
      <c r="K23" s="209"/>
      <c r="L23" s="209"/>
      <c r="M23" s="209"/>
      <c r="N23" s="209"/>
      <c r="O23" s="209"/>
    </row>
    <row r="24" spans="2:60" ht="15.6">
      <c r="B24" s="54" t="s">
        <v>49</v>
      </c>
      <c r="C24" s="210">
        <v>44581</v>
      </c>
      <c r="D24" s="209"/>
      <c r="E24" s="209"/>
      <c r="F24" s="209"/>
      <c r="K24" s="209"/>
      <c r="L24" s="209"/>
      <c r="M24" s="209"/>
      <c r="N24" s="209"/>
      <c r="O24" s="209"/>
    </row>
    <row r="25" spans="2:60">
      <c r="B25" s="209"/>
      <c r="C25" s="209"/>
      <c r="D25" s="209"/>
      <c r="E25" s="209"/>
      <c r="F25" s="209"/>
      <c r="K25" s="209"/>
      <c r="L25" s="209"/>
      <c r="M25" s="209"/>
      <c r="N25" s="209"/>
      <c r="O25" s="209"/>
    </row>
    <row r="26" spans="2:60">
      <c r="B26" s="1646" t="s">
        <v>916</v>
      </c>
      <c r="C26" s="1646"/>
      <c r="D26" s="1646"/>
      <c r="E26" s="1646"/>
      <c r="F26" s="1646"/>
      <c r="G26" s="1646"/>
      <c r="H26" s="208"/>
      <c r="I26" s="1586"/>
      <c r="J26" s="1586"/>
      <c r="K26" s="1586"/>
      <c r="L26" s="1586"/>
      <c r="M26" s="1034"/>
      <c r="N26" s="1034"/>
      <c r="O26" s="1034"/>
    </row>
    <row r="27" spans="2:60">
      <c r="B27" s="209"/>
      <c r="C27" s="209"/>
      <c r="D27" s="209"/>
      <c r="E27" s="209"/>
      <c r="F27" s="209"/>
      <c r="G27" s="208"/>
      <c r="H27" s="208"/>
      <c r="I27" s="209"/>
      <c r="J27" s="209"/>
      <c r="K27" s="214"/>
      <c r="L27" s="209"/>
      <c r="M27" s="209"/>
      <c r="N27" s="209"/>
      <c r="O27" s="209"/>
    </row>
    <row r="28" spans="2:60">
      <c r="B28" s="209"/>
      <c r="C28" s="209"/>
      <c r="D28" s="209"/>
      <c r="E28" s="209"/>
      <c r="F28" s="209"/>
      <c r="G28" s="208"/>
      <c r="H28" s="208"/>
      <c r="I28" s="1586"/>
      <c r="J28" s="1586"/>
      <c r="K28" s="1586"/>
      <c r="L28" s="1586"/>
      <c r="M28" s="1034"/>
      <c r="N28" s="1034"/>
      <c r="O28" s="1034"/>
    </row>
    <row r="29" spans="2:60">
      <c r="B29" s="209"/>
      <c r="C29" s="209"/>
      <c r="D29" s="209"/>
      <c r="E29" s="209"/>
      <c r="F29" s="209"/>
      <c r="G29" s="208"/>
      <c r="H29" s="208"/>
      <c r="I29" s="209"/>
      <c r="J29" s="209"/>
      <c r="K29" s="214"/>
      <c r="L29" s="209"/>
      <c r="M29" s="209"/>
      <c r="N29" s="209"/>
      <c r="O29" s="209"/>
    </row>
    <row r="30" spans="2:60">
      <c r="B30" s="209"/>
      <c r="C30" s="209"/>
      <c r="D30" s="209"/>
      <c r="E30" s="209"/>
      <c r="F30" s="209"/>
      <c r="G30" s="208"/>
      <c r="H30" s="208"/>
      <c r="I30" s="1586"/>
      <c r="J30" s="1586"/>
      <c r="K30" s="1586"/>
      <c r="L30" s="1586"/>
      <c r="M30" s="1034"/>
      <c r="N30" s="1034"/>
      <c r="O30" s="1034"/>
    </row>
  </sheetData>
  <sheetProtection algorithmName="SHA-512" hashValue="AfKcDsGCV6rP+86xl8zcgrtyeQIWPEJiN+1ScbC1qXpAgk7+XAQmV2Q7J63xNgh7UXaFGQ4a7md8osi9k4UGLA==" saltValue="B9krd0dQe4NSRuq1qzd58Q==" spinCount="100000" sheet="1" objects="1" scenarios="1"/>
  <mergeCells count="72">
    <mergeCell ref="BE19:BH19"/>
    <mergeCell ref="I28:L28"/>
    <mergeCell ref="I30:L30"/>
    <mergeCell ref="B20:G20"/>
    <mergeCell ref="AX19:AZ19"/>
    <mergeCell ref="D21:O21"/>
    <mergeCell ref="E22:E23"/>
    <mergeCell ref="L22:O22"/>
    <mergeCell ref="I26:L26"/>
    <mergeCell ref="B19:AW19"/>
    <mergeCell ref="F22:J23"/>
    <mergeCell ref="B26:G26"/>
    <mergeCell ref="AL14:AM14"/>
    <mergeCell ref="AN14:AO14"/>
    <mergeCell ref="N12:N15"/>
    <mergeCell ref="O12:O15"/>
    <mergeCell ref="H12:H15"/>
    <mergeCell ref="I12:I15"/>
    <mergeCell ref="J12:J15"/>
    <mergeCell ref="B16:B18"/>
    <mergeCell ref="C16:C18"/>
    <mergeCell ref="AD14:AE14"/>
    <mergeCell ref="AF14:AG14"/>
    <mergeCell ref="AH14:AI14"/>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sheetPr>
    <tabColor rgb="FF00B050"/>
  </sheetPr>
  <dimension ref="B1:P68"/>
  <sheetViews>
    <sheetView showGridLines="0" workbookViewId="0">
      <selection activeCell="B10" sqref="B10:O10"/>
    </sheetView>
  </sheetViews>
  <sheetFormatPr baseColWidth="10" defaultColWidth="11.44140625" defaultRowHeight="13.2"/>
  <cols>
    <col min="1" max="1" width="4.33203125" style="298" customWidth="1"/>
    <col min="2" max="2" width="42.88671875" style="298" customWidth="1"/>
    <col min="3" max="13" width="7.109375" style="298" customWidth="1"/>
    <col min="14" max="14" width="14.33203125" style="298" customWidth="1"/>
    <col min="15" max="15" width="14.44140625" style="298" customWidth="1"/>
    <col min="16" max="16" width="6.6640625" style="298" customWidth="1"/>
    <col min="17" max="17" width="9.5546875" style="298" customWidth="1"/>
    <col min="18" max="18" width="17.109375" style="298" customWidth="1"/>
    <col min="19" max="16384" width="11.44140625" style="298"/>
  </cols>
  <sheetData>
    <row r="1" spans="2:16" s="6" customFormat="1" ht="7.5" customHeight="1" thickBot="1">
      <c r="B1" s="296"/>
      <c r="C1" s="296"/>
      <c r="D1" s="296"/>
      <c r="E1" s="296"/>
      <c r="F1" s="296"/>
      <c r="G1" s="296"/>
      <c r="H1" s="296"/>
      <c r="I1" s="296"/>
      <c r="J1" s="296"/>
      <c r="K1" s="296"/>
      <c r="L1" s="296"/>
      <c r="M1" s="296"/>
      <c r="N1" s="296"/>
      <c r="O1" s="296"/>
      <c r="P1" s="296"/>
    </row>
    <row r="2" spans="2:16" s="6" customFormat="1" ht="15.6">
      <c r="B2" s="1659" t="s">
        <v>679</v>
      </c>
      <c r="C2" s="1662" t="s">
        <v>4</v>
      </c>
      <c r="D2" s="1663"/>
      <c r="E2" s="1663"/>
      <c r="F2" s="1663"/>
      <c r="G2" s="1663"/>
      <c r="H2" s="1663"/>
      <c r="I2" s="1663"/>
      <c r="J2" s="1663"/>
      <c r="K2" s="1663"/>
      <c r="L2" s="1663"/>
      <c r="M2" s="1663"/>
      <c r="N2" s="1325" t="s">
        <v>31</v>
      </c>
      <c r="O2" s="1326"/>
      <c r="P2" s="296"/>
    </row>
    <row r="3" spans="2:16" s="6" customFormat="1" ht="15.6">
      <c r="B3" s="1660"/>
      <c r="C3" s="1664"/>
      <c r="D3" s="1665"/>
      <c r="E3" s="1665"/>
      <c r="F3" s="1665"/>
      <c r="G3" s="1665"/>
      <c r="H3" s="1665"/>
      <c r="I3" s="1665"/>
      <c r="J3" s="1665"/>
      <c r="K3" s="1665"/>
      <c r="L3" s="1665"/>
      <c r="M3" s="1665"/>
      <c r="N3" s="7" t="s">
        <v>28</v>
      </c>
      <c r="O3" s="8" t="s">
        <v>29</v>
      </c>
      <c r="P3" s="296"/>
    </row>
    <row r="4" spans="2:16" s="6" customFormat="1" ht="15.75" customHeight="1">
      <c r="B4" s="1660"/>
      <c r="C4" s="1664"/>
      <c r="D4" s="1665"/>
      <c r="E4" s="1665"/>
      <c r="F4" s="1665"/>
      <c r="G4" s="1665"/>
      <c r="H4" s="1665"/>
      <c r="I4" s="1665"/>
      <c r="J4" s="1665"/>
      <c r="K4" s="1665"/>
      <c r="L4" s="1665"/>
      <c r="M4" s="1665"/>
      <c r="N4" s="9">
        <v>5</v>
      </c>
      <c r="O4" s="10" t="s">
        <v>680</v>
      </c>
      <c r="P4" s="296"/>
    </row>
    <row r="5" spans="2:16" s="6" customFormat="1" ht="15.6">
      <c r="B5" s="1660"/>
      <c r="C5" s="1664"/>
      <c r="D5" s="1665"/>
      <c r="E5" s="1665"/>
      <c r="F5" s="1665"/>
      <c r="G5" s="1665"/>
      <c r="H5" s="1665"/>
      <c r="I5" s="1665"/>
      <c r="J5" s="1665"/>
      <c r="K5" s="1665"/>
      <c r="L5" s="1665"/>
      <c r="M5" s="1665"/>
      <c r="N5" s="1668" t="s">
        <v>30</v>
      </c>
      <c r="O5" s="1669"/>
      <c r="P5" s="296"/>
    </row>
    <row r="6" spans="2:16" s="6" customFormat="1" ht="16.5" customHeight="1" thickBot="1">
      <c r="B6" s="1661"/>
      <c r="C6" s="1666"/>
      <c r="D6" s="1667"/>
      <c r="E6" s="1667"/>
      <c r="F6" s="1667"/>
      <c r="G6" s="1667"/>
      <c r="H6" s="1667"/>
      <c r="I6" s="1667"/>
      <c r="J6" s="1667"/>
      <c r="K6" s="1667"/>
      <c r="L6" s="1667"/>
      <c r="M6" s="1667"/>
      <c r="N6" s="1670">
        <v>44306</v>
      </c>
      <c r="O6" s="1671"/>
      <c r="P6" s="296"/>
    </row>
    <row r="7" spans="2:16" s="6" customFormat="1" ht="7.5" customHeight="1">
      <c r="B7" s="296"/>
      <c r="C7" s="296"/>
      <c r="D7" s="296"/>
      <c r="E7" s="296"/>
      <c r="F7" s="297">
        <f>D13</f>
        <v>0</v>
      </c>
      <c r="G7" s="296"/>
      <c r="H7" s="296"/>
      <c r="I7" s="296"/>
      <c r="J7" s="296"/>
      <c r="K7" s="296"/>
      <c r="L7" s="296"/>
      <c r="M7" s="296"/>
      <c r="N7" s="296"/>
      <c r="O7" s="296"/>
      <c r="P7" s="296"/>
    </row>
    <row r="8" spans="2:16" s="6" customFormat="1" ht="22.5" customHeight="1">
      <c r="B8" s="1672" t="s">
        <v>46</v>
      </c>
      <c r="C8" s="1672"/>
      <c r="D8" s="1672"/>
      <c r="E8" s="1672"/>
      <c r="F8" s="1672"/>
      <c r="G8" s="1672"/>
      <c r="H8" s="1672"/>
      <c r="I8" s="1672"/>
      <c r="J8" s="1672"/>
      <c r="K8" s="1672"/>
      <c r="L8" s="1672"/>
      <c r="M8" s="1672"/>
      <c r="N8" s="1672"/>
      <c r="O8" s="1672"/>
      <c r="P8" s="296"/>
    </row>
    <row r="9" spans="2:16" s="6" customFormat="1" ht="7.5" customHeight="1">
      <c r="B9" s="296"/>
      <c r="C9" s="296"/>
      <c r="D9" s="296"/>
      <c r="E9" s="296"/>
      <c r="F9" s="297"/>
      <c r="G9" s="296"/>
      <c r="H9" s="296"/>
      <c r="I9" s="296"/>
      <c r="J9" s="296"/>
      <c r="K9" s="296"/>
      <c r="L9" s="296"/>
      <c r="M9" s="296"/>
      <c r="N9" s="296"/>
      <c r="O9" s="296"/>
      <c r="P9" s="296"/>
    </row>
    <row r="10" spans="2:16" s="6" customFormat="1" ht="28.5" customHeight="1">
      <c r="B10" s="1658" t="s">
        <v>47</v>
      </c>
      <c r="C10" s="1658"/>
      <c r="D10" s="1658"/>
      <c r="E10" s="1658"/>
      <c r="F10" s="1658"/>
      <c r="G10" s="1658"/>
      <c r="H10" s="1658"/>
      <c r="I10" s="1658"/>
      <c r="J10" s="1658"/>
      <c r="K10" s="1658"/>
      <c r="L10" s="1658"/>
      <c r="M10" s="1658"/>
      <c r="N10" s="1658"/>
      <c r="O10" s="1658"/>
      <c r="P10" s="296"/>
    </row>
    <row r="11" spans="2:16" s="6" customFormat="1" ht="7.5" customHeight="1">
      <c r="B11" s="296"/>
      <c r="C11" s="296"/>
      <c r="D11" s="296"/>
      <c r="E11" s="296"/>
      <c r="F11" s="297"/>
      <c r="G11" s="296"/>
      <c r="H11" s="296"/>
      <c r="I11" s="296"/>
      <c r="J11" s="296"/>
      <c r="K11" s="296"/>
      <c r="L11" s="296"/>
      <c r="M11" s="296"/>
      <c r="N11" s="296"/>
      <c r="O11" s="296"/>
      <c r="P11" s="296"/>
    </row>
    <row r="12" spans="2:16" s="6" customFormat="1" ht="22.5" customHeight="1">
      <c r="B12" s="291" t="s">
        <v>32</v>
      </c>
      <c r="C12" s="1657" t="s">
        <v>33</v>
      </c>
      <c r="D12" s="1657"/>
      <c r="E12" s="1657"/>
      <c r="F12" s="1657"/>
      <c r="G12" s="1657"/>
      <c r="H12" s="1657"/>
      <c r="I12" s="1657"/>
      <c r="J12" s="1657"/>
      <c r="K12" s="1657"/>
      <c r="L12" s="1657"/>
      <c r="M12" s="1657"/>
      <c r="N12" s="1657"/>
      <c r="O12" s="1657"/>
      <c r="P12" s="296"/>
    </row>
    <row r="13" spans="2:16" s="6" customFormat="1" ht="45.75" customHeight="1">
      <c r="B13" s="18" t="s">
        <v>64</v>
      </c>
      <c r="C13" s="1655" t="s">
        <v>65</v>
      </c>
      <c r="D13" s="1655"/>
      <c r="E13" s="1655"/>
      <c r="F13" s="1655"/>
      <c r="G13" s="1655"/>
      <c r="H13" s="1655"/>
      <c r="I13" s="1655"/>
      <c r="J13" s="1655"/>
      <c r="K13" s="1655"/>
      <c r="L13" s="1655"/>
      <c r="M13" s="1655"/>
      <c r="N13" s="1655"/>
      <c r="O13" s="1655"/>
    </row>
    <row r="14" spans="2:16" s="6" customFormat="1" ht="45.75" customHeight="1">
      <c r="B14" s="18" t="s">
        <v>681</v>
      </c>
      <c r="C14" s="1655" t="s">
        <v>66</v>
      </c>
      <c r="D14" s="1655"/>
      <c r="E14" s="1655"/>
      <c r="F14" s="1655"/>
      <c r="G14" s="1655"/>
      <c r="H14" s="1655"/>
      <c r="I14" s="1655"/>
      <c r="J14" s="1655"/>
      <c r="K14" s="1655"/>
      <c r="L14" s="1655"/>
      <c r="M14" s="1655"/>
      <c r="N14" s="1655"/>
      <c r="O14" s="1655"/>
    </row>
    <row r="15" spans="2:16" s="6" customFormat="1" ht="76.5" customHeight="1">
      <c r="B15" s="18" t="s">
        <v>682</v>
      </c>
      <c r="C15" s="1655" t="s">
        <v>129</v>
      </c>
      <c r="D15" s="1655"/>
      <c r="E15" s="1655"/>
      <c r="F15" s="1655"/>
      <c r="G15" s="1655"/>
      <c r="H15" s="1655"/>
      <c r="I15" s="1655"/>
      <c r="J15" s="1655"/>
      <c r="K15" s="1655"/>
      <c r="L15" s="1655"/>
      <c r="M15" s="1655"/>
      <c r="N15" s="1655"/>
      <c r="O15" s="1655"/>
    </row>
    <row r="16" spans="2:16" s="6" customFormat="1" ht="45.75" customHeight="1">
      <c r="B16" s="18" t="s">
        <v>683</v>
      </c>
      <c r="C16" s="1655" t="s">
        <v>67</v>
      </c>
      <c r="D16" s="1655"/>
      <c r="E16" s="1655"/>
      <c r="F16" s="1655"/>
      <c r="G16" s="1655"/>
      <c r="H16" s="1655"/>
      <c r="I16" s="1655"/>
      <c r="J16" s="1655"/>
      <c r="K16" s="1655"/>
      <c r="L16" s="1655"/>
      <c r="M16" s="1655"/>
      <c r="N16" s="1655"/>
      <c r="O16" s="1655"/>
    </row>
    <row r="17" spans="2:16" s="6" customFormat="1" ht="61.5" customHeight="1">
      <c r="B17" s="18" t="s">
        <v>684</v>
      </c>
      <c r="C17" s="1655" t="s">
        <v>685</v>
      </c>
      <c r="D17" s="1655"/>
      <c r="E17" s="1655"/>
      <c r="F17" s="1655"/>
      <c r="G17" s="1655"/>
      <c r="H17" s="1655"/>
      <c r="I17" s="1655"/>
      <c r="J17" s="1655"/>
      <c r="K17" s="1655"/>
      <c r="L17" s="1655"/>
      <c r="M17" s="1655"/>
      <c r="N17" s="1655"/>
      <c r="O17" s="1655"/>
    </row>
    <row r="18" spans="2:16" s="6" customFormat="1" ht="45.75" customHeight="1">
      <c r="B18" s="18" t="s">
        <v>69</v>
      </c>
      <c r="C18" s="1655" t="s">
        <v>71</v>
      </c>
      <c r="D18" s="1655"/>
      <c r="E18" s="1655"/>
      <c r="F18" s="1655"/>
      <c r="G18" s="1655"/>
      <c r="H18" s="1655"/>
      <c r="I18" s="1655"/>
      <c r="J18" s="1655"/>
      <c r="K18" s="1655"/>
      <c r="L18" s="1655"/>
      <c r="M18" s="1655"/>
      <c r="N18" s="1655"/>
      <c r="O18" s="1655"/>
    </row>
    <row r="19" spans="2:16" s="6" customFormat="1" ht="45.75" customHeight="1">
      <c r="B19" s="18" t="s">
        <v>686</v>
      </c>
      <c r="C19" s="1655" t="s">
        <v>72</v>
      </c>
      <c r="D19" s="1655"/>
      <c r="E19" s="1655"/>
      <c r="F19" s="1655"/>
      <c r="G19" s="1655"/>
      <c r="H19" s="1655"/>
      <c r="I19" s="1655"/>
      <c r="J19" s="1655"/>
      <c r="K19" s="1655"/>
      <c r="L19" s="1655"/>
      <c r="M19" s="1655"/>
      <c r="N19" s="1655"/>
      <c r="O19" s="1655"/>
    </row>
    <row r="20" spans="2:16" s="6" customFormat="1" ht="45.75" customHeight="1">
      <c r="B20" s="18" t="s">
        <v>45</v>
      </c>
      <c r="C20" s="1655" t="s">
        <v>73</v>
      </c>
      <c r="D20" s="1655"/>
      <c r="E20" s="1655"/>
      <c r="F20" s="1655"/>
      <c r="G20" s="1655"/>
      <c r="H20" s="1655"/>
      <c r="I20" s="1655"/>
      <c r="J20" s="1655"/>
      <c r="K20" s="1655"/>
      <c r="L20" s="1655"/>
      <c r="M20" s="1655"/>
      <c r="N20" s="1655"/>
      <c r="O20" s="1655"/>
    </row>
    <row r="21" spans="2:16" s="6" customFormat="1" ht="45.75" customHeight="1">
      <c r="B21" s="18" t="s">
        <v>68</v>
      </c>
      <c r="C21" s="1655" t="s">
        <v>74</v>
      </c>
      <c r="D21" s="1655"/>
      <c r="E21" s="1655"/>
      <c r="F21" s="1655"/>
      <c r="G21" s="1655"/>
      <c r="H21" s="1655"/>
      <c r="I21" s="1655"/>
      <c r="J21" s="1655"/>
      <c r="K21" s="1655"/>
      <c r="L21" s="1655"/>
      <c r="M21" s="1655"/>
      <c r="N21" s="1655"/>
      <c r="O21" s="1655"/>
    </row>
    <row r="22" spans="2:16" s="6" customFormat="1" ht="78" customHeight="1">
      <c r="B22" s="14" t="s">
        <v>76</v>
      </c>
      <c r="C22" s="1655" t="s">
        <v>116</v>
      </c>
      <c r="D22" s="1655"/>
      <c r="E22" s="1655"/>
      <c r="F22" s="1655"/>
      <c r="G22" s="1655"/>
      <c r="H22" s="1655"/>
      <c r="I22" s="1655"/>
      <c r="J22" s="1655"/>
      <c r="K22" s="1655"/>
      <c r="L22" s="1655"/>
      <c r="M22" s="1655"/>
      <c r="N22" s="1655"/>
      <c r="O22" s="1655"/>
    </row>
    <row r="23" spans="2:16" s="6" customFormat="1" ht="45.75" customHeight="1">
      <c r="B23" s="14" t="s">
        <v>77</v>
      </c>
      <c r="C23" s="1656" t="s">
        <v>117</v>
      </c>
      <c r="D23" s="1656"/>
      <c r="E23" s="1656"/>
      <c r="F23" s="1656"/>
      <c r="G23" s="1656"/>
      <c r="H23" s="1656"/>
      <c r="I23" s="1656"/>
      <c r="J23" s="1656"/>
      <c r="K23" s="1656"/>
      <c r="L23" s="1656"/>
      <c r="M23" s="1656"/>
      <c r="N23" s="1656"/>
      <c r="O23" s="1656"/>
    </row>
    <row r="24" spans="2:16" s="6" customFormat="1" ht="45.75" customHeight="1">
      <c r="B24" s="14" t="s">
        <v>37</v>
      </c>
      <c r="C24" s="1655" t="s">
        <v>83</v>
      </c>
      <c r="D24" s="1655"/>
      <c r="E24" s="1655"/>
      <c r="F24" s="1655"/>
      <c r="G24" s="1655"/>
      <c r="H24" s="1655"/>
      <c r="I24" s="1655"/>
      <c r="J24" s="1655"/>
      <c r="K24" s="1655"/>
      <c r="L24" s="1655"/>
      <c r="M24" s="1655"/>
      <c r="N24" s="1655"/>
      <c r="O24" s="1655"/>
    </row>
    <row r="25" spans="2:16" s="6" customFormat="1" ht="45.75" customHeight="1">
      <c r="B25" s="14" t="s">
        <v>82</v>
      </c>
      <c r="C25" s="1655" t="s">
        <v>84</v>
      </c>
      <c r="D25" s="1655"/>
      <c r="E25" s="1655"/>
      <c r="F25" s="1655"/>
      <c r="G25" s="1655"/>
      <c r="H25" s="1655"/>
      <c r="I25" s="1655"/>
      <c r="J25" s="1655"/>
      <c r="K25" s="1655"/>
      <c r="L25" s="1655"/>
      <c r="M25" s="1655"/>
      <c r="N25" s="1655"/>
      <c r="O25" s="1655"/>
    </row>
    <row r="26" spans="2:16" s="6" customFormat="1">
      <c r="B26" s="296"/>
      <c r="C26" s="296"/>
      <c r="D26" s="296"/>
      <c r="E26" s="296"/>
      <c r="F26" s="297"/>
      <c r="G26" s="296"/>
      <c r="H26" s="296"/>
      <c r="I26" s="296"/>
      <c r="J26" s="296"/>
      <c r="K26" s="296"/>
      <c r="L26" s="296"/>
      <c r="M26" s="296"/>
      <c r="N26" s="296"/>
      <c r="O26" s="296"/>
      <c r="P26" s="296"/>
    </row>
    <row r="27" spans="2:16" s="6" customFormat="1" ht="32.25" customHeight="1">
      <c r="B27" s="1658" t="s">
        <v>63</v>
      </c>
      <c r="C27" s="1658"/>
      <c r="D27" s="1658"/>
      <c r="E27" s="1658"/>
      <c r="F27" s="1658"/>
      <c r="G27" s="1658"/>
      <c r="H27" s="1658"/>
      <c r="I27" s="1658"/>
      <c r="J27" s="1658"/>
      <c r="K27" s="1658"/>
      <c r="L27" s="1658"/>
      <c r="M27" s="1658"/>
      <c r="N27" s="1658"/>
      <c r="O27" s="1658"/>
      <c r="P27" s="296"/>
    </row>
    <row r="28" spans="2:16" s="6" customFormat="1" ht="7.5" customHeight="1">
      <c r="B28" s="296"/>
      <c r="C28" s="296"/>
      <c r="D28" s="296"/>
      <c r="E28" s="296"/>
      <c r="F28" s="297"/>
      <c r="G28" s="296"/>
      <c r="H28" s="296"/>
      <c r="I28" s="296"/>
      <c r="J28" s="296"/>
      <c r="K28" s="296"/>
      <c r="L28" s="296"/>
      <c r="M28" s="296"/>
      <c r="N28" s="296"/>
      <c r="O28" s="296"/>
      <c r="P28" s="296"/>
    </row>
    <row r="29" spans="2:16" s="6" customFormat="1" ht="22.5" customHeight="1">
      <c r="B29" s="291" t="s">
        <v>32</v>
      </c>
      <c r="C29" s="1657" t="s">
        <v>33</v>
      </c>
      <c r="D29" s="1657"/>
      <c r="E29" s="1657"/>
      <c r="F29" s="1657"/>
      <c r="G29" s="1657"/>
      <c r="H29" s="1657"/>
      <c r="I29" s="1657"/>
      <c r="J29" s="1657"/>
      <c r="K29" s="1657"/>
      <c r="L29" s="1657"/>
      <c r="M29" s="1657"/>
      <c r="N29" s="1657"/>
      <c r="O29" s="1657"/>
      <c r="P29" s="296"/>
    </row>
    <row r="30" spans="2:16" s="6" customFormat="1" ht="45.75" customHeight="1">
      <c r="B30" s="18" t="s">
        <v>45</v>
      </c>
      <c r="C30" s="1655" t="s">
        <v>100</v>
      </c>
      <c r="D30" s="1655"/>
      <c r="E30" s="1655"/>
      <c r="F30" s="1655"/>
      <c r="G30" s="1655"/>
      <c r="H30" s="1655"/>
      <c r="I30" s="1655"/>
      <c r="J30" s="1655"/>
      <c r="K30" s="1655"/>
      <c r="L30" s="1655"/>
      <c r="M30" s="1655"/>
      <c r="N30" s="1655"/>
      <c r="O30" s="1655"/>
    </row>
    <row r="31" spans="2:16" s="6" customFormat="1" ht="45.75" customHeight="1">
      <c r="B31" s="18" t="s">
        <v>34</v>
      </c>
      <c r="C31" s="1655" t="s">
        <v>85</v>
      </c>
      <c r="D31" s="1655"/>
      <c r="E31" s="1655"/>
      <c r="F31" s="1655"/>
      <c r="G31" s="1655"/>
      <c r="H31" s="1655"/>
      <c r="I31" s="1655"/>
      <c r="J31" s="1655"/>
      <c r="K31" s="1655"/>
      <c r="L31" s="1655"/>
      <c r="M31" s="1655"/>
      <c r="N31" s="1655"/>
      <c r="O31" s="1655"/>
    </row>
    <row r="32" spans="2:16" s="6" customFormat="1" ht="45.75" customHeight="1">
      <c r="B32" s="19" t="s">
        <v>101</v>
      </c>
      <c r="C32" s="1655" t="s">
        <v>102</v>
      </c>
      <c r="D32" s="1655"/>
      <c r="E32" s="1655"/>
      <c r="F32" s="1655"/>
      <c r="G32" s="1655"/>
      <c r="H32" s="1655"/>
      <c r="I32" s="1655"/>
      <c r="J32" s="1655"/>
      <c r="K32" s="1655"/>
      <c r="L32" s="1655"/>
      <c r="M32" s="1655"/>
      <c r="N32" s="1655"/>
      <c r="O32" s="1655"/>
    </row>
    <row r="33" spans="2:15" s="6" customFormat="1" ht="45.75" customHeight="1">
      <c r="B33" s="18" t="s">
        <v>684</v>
      </c>
      <c r="C33" s="1655" t="s">
        <v>687</v>
      </c>
      <c r="D33" s="1655"/>
      <c r="E33" s="1655"/>
      <c r="F33" s="1655"/>
      <c r="G33" s="1655"/>
      <c r="H33" s="1655"/>
      <c r="I33" s="1655"/>
      <c r="J33" s="1655"/>
      <c r="K33" s="1655"/>
      <c r="L33" s="1655"/>
      <c r="M33" s="1655"/>
      <c r="N33" s="1655"/>
      <c r="O33" s="1655"/>
    </row>
    <row r="34" spans="2:15" s="6" customFormat="1" ht="45.75" customHeight="1">
      <c r="B34" s="18" t="s">
        <v>688</v>
      </c>
      <c r="C34" s="1655" t="s">
        <v>689</v>
      </c>
      <c r="D34" s="1655"/>
      <c r="E34" s="1655"/>
      <c r="F34" s="1655"/>
      <c r="G34" s="1655"/>
      <c r="H34" s="1655"/>
      <c r="I34" s="1655"/>
      <c r="J34" s="1655"/>
      <c r="K34" s="1655"/>
      <c r="L34" s="1655"/>
      <c r="M34" s="1655"/>
      <c r="N34" s="1655"/>
      <c r="O34" s="1655"/>
    </row>
    <row r="35" spans="2:15" s="6" customFormat="1" ht="144" customHeight="1">
      <c r="B35" s="20" t="s">
        <v>690</v>
      </c>
      <c r="C35" s="1655" t="s">
        <v>103</v>
      </c>
      <c r="D35" s="1655"/>
      <c r="E35" s="1655"/>
      <c r="F35" s="1655"/>
      <c r="G35" s="1655"/>
      <c r="H35" s="1655"/>
      <c r="I35" s="1655"/>
      <c r="J35" s="1655"/>
      <c r="K35" s="1655"/>
      <c r="L35" s="1655"/>
      <c r="M35" s="1655"/>
      <c r="N35" s="1655"/>
      <c r="O35" s="1655"/>
    </row>
    <row r="36" spans="2:15" s="6" customFormat="1" ht="45.75" customHeight="1">
      <c r="B36" s="17" t="s">
        <v>104</v>
      </c>
      <c r="C36" s="1655" t="s">
        <v>105</v>
      </c>
      <c r="D36" s="1655"/>
      <c r="E36" s="1655"/>
      <c r="F36" s="1655"/>
      <c r="G36" s="1655"/>
      <c r="H36" s="1655"/>
      <c r="I36" s="1655"/>
      <c r="J36" s="1655"/>
      <c r="K36" s="1655"/>
      <c r="L36" s="1655"/>
      <c r="M36" s="1655"/>
      <c r="N36" s="1655"/>
      <c r="O36" s="1655"/>
    </row>
    <row r="37" spans="2:15" s="6" customFormat="1" ht="45.75" customHeight="1">
      <c r="B37" s="18" t="s">
        <v>36</v>
      </c>
      <c r="C37" s="1655" t="s">
        <v>106</v>
      </c>
      <c r="D37" s="1655"/>
      <c r="E37" s="1655"/>
      <c r="F37" s="1655"/>
      <c r="G37" s="1655"/>
      <c r="H37" s="1655"/>
      <c r="I37" s="1655"/>
      <c r="J37" s="1655"/>
      <c r="K37" s="1655"/>
      <c r="L37" s="1655"/>
      <c r="M37" s="1655"/>
      <c r="N37" s="1655"/>
      <c r="O37" s="1655"/>
    </row>
    <row r="38" spans="2:15" s="6" customFormat="1" ht="45.75" customHeight="1">
      <c r="B38" s="14" t="s">
        <v>35</v>
      </c>
      <c r="C38" s="1655" t="s">
        <v>107</v>
      </c>
      <c r="D38" s="1655"/>
      <c r="E38" s="1655"/>
      <c r="F38" s="1655"/>
      <c r="G38" s="1655"/>
      <c r="H38" s="1655"/>
      <c r="I38" s="1655"/>
      <c r="J38" s="1655"/>
      <c r="K38" s="1655"/>
      <c r="L38" s="1655"/>
      <c r="M38" s="1655"/>
      <c r="N38" s="1655"/>
      <c r="O38" s="1655"/>
    </row>
    <row r="39" spans="2:15" s="6" customFormat="1" ht="45.75" customHeight="1">
      <c r="B39" s="17" t="s">
        <v>111</v>
      </c>
      <c r="C39" s="1655" t="s">
        <v>108</v>
      </c>
      <c r="D39" s="1655"/>
      <c r="E39" s="1655"/>
      <c r="F39" s="1655"/>
      <c r="G39" s="1655"/>
      <c r="H39" s="1655"/>
      <c r="I39" s="1655"/>
      <c r="J39" s="1655"/>
      <c r="K39" s="1655"/>
      <c r="L39" s="1655"/>
      <c r="M39" s="1655"/>
      <c r="N39" s="1655"/>
      <c r="O39" s="1655"/>
    </row>
    <row r="40" spans="2:15" s="6" customFormat="1" ht="45.75" customHeight="1">
      <c r="B40" s="14" t="s">
        <v>110</v>
      </c>
      <c r="C40" s="1655" t="s">
        <v>109</v>
      </c>
      <c r="D40" s="1655"/>
      <c r="E40" s="1655"/>
      <c r="F40" s="1655"/>
      <c r="G40" s="1655"/>
      <c r="H40" s="1655"/>
      <c r="I40" s="1655"/>
      <c r="J40" s="1655"/>
      <c r="K40" s="1655"/>
      <c r="L40" s="1655"/>
      <c r="M40" s="1655"/>
      <c r="N40" s="1655"/>
      <c r="O40" s="1655"/>
    </row>
    <row r="41" spans="2:15" s="6" customFormat="1" ht="108.75" customHeight="1">
      <c r="B41" s="14" t="s">
        <v>113</v>
      </c>
      <c r="C41" s="1655" t="s">
        <v>114</v>
      </c>
      <c r="D41" s="1655"/>
      <c r="E41" s="1655"/>
      <c r="F41" s="1655"/>
      <c r="G41" s="1655"/>
      <c r="H41" s="1655"/>
      <c r="I41" s="1655"/>
      <c r="J41" s="1655"/>
      <c r="K41" s="1655"/>
      <c r="L41" s="1655"/>
      <c r="M41" s="1655"/>
      <c r="N41" s="1655"/>
      <c r="O41" s="1655"/>
    </row>
    <row r="42" spans="2:15" s="6" customFormat="1" ht="45.75" customHeight="1">
      <c r="B42" s="17" t="s">
        <v>115</v>
      </c>
      <c r="C42" s="1656" t="s">
        <v>125</v>
      </c>
      <c r="D42" s="1656"/>
      <c r="E42" s="1656"/>
      <c r="F42" s="1656"/>
      <c r="G42" s="1656"/>
      <c r="H42" s="1656"/>
      <c r="I42" s="1656"/>
      <c r="J42" s="1656"/>
      <c r="K42" s="1656"/>
      <c r="L42" s="1656"/>
      <c r="M42" s="1656"/>
      <c r="N42" s="1656"/>
      <c r="O42" s="1656"/>
    </row>
    <row r="43" spans="2:15" s="6" customFormat="1" ht="45.75" customHeight="1">
      <c r="B43" s="14" t="s">
        <v>691</v>
      </c>
      <c r="C43" s="1656" t="s">
        <v>126</v>
      </c>
      <c r="D43" s="1656"/>
      <c r="E43" s="1656"/>
      <c r="F43" s="1656"/>
      <c r="G43" s="1656"/>
      <c r="H43" s="1656"/>
      <c r="I43" s="1656"/>
      <c r="J43" s="1656"/>
      <c r="K43" s="1656"/>
      <c r="L43" s="1656"/>
      <c r="M43" s="1656"/>
      <c r="N43" s="1656"/>
      <c r="O43" s="1656"/>
    </row>
    <row r="44" spans="2:15" s="6" customFormat="1" ht="75" customHeight="1">
      <c r="B44" s="14" t="s">
        <v>677</v>
      </c>
      <c r="C44" s="1656" t="s">
        <v>692</v>
      </c>
      <c r="D44" s="1656"/>
      <c r="E44" s="1656"/>
      <c r="F44" s="1656"/>
      <c r="G44" s="1656"/>
      <c r="H44" s="1656"/>
      <c r="I44" s="1656"/>
      <c r="J44" s="1656"/>
      <c r="K44" s="1656"/>
      <c r="L44" s="1656"/>
      <c r="M44" s="1656"/>
      <c r="N44" s="1656"/>
      <c r="O44" s="1656"/>
    </row>
    <row r="45" spans="2:15" s="6" customFormat="1" ht="64.2" customHeight="1">
      <c r="B45" s="14" t="s">
        <v>693</v>
      </c>
      <c r="C45" s="1656" t="s">
        <v>694</v>
      </c>
      <c r="D45" s="1656"/>
      <c r="E45" s="1656"/>
      <c r="F45" s="1656"/>
      <c r="G45" s="1656"/>
      <c r="H45" s="1656"/>
      <c r="I45" s="1656"/>
      <c r="J45" s="1656"/>
      <c r="K45" s="1656"/>
      <c r="L45" s="1656"/>
      <c r="M45" s="1656"/>
      <c r="N45" s="1656"/>
      <c r="O45" s="1656"/>
    </row>
    <row r="46" spans="2:15" s="6" customFormat="1" ht="45.75" customHeight="1">
      <c r="B46" s="14" t="s">
        <v>37</v>
      </c>
      <c r="C46" s="1655" t="s">
        <v>127</v>
      </c>
      <c r="D46" s="1655"/>
      <c r="E46" s="1655"/>
      <c r="F46" s="1655"/>
      <c r="G46" s="1655"/>
      <c r="H46" s="1655"/>
      <c r="I46" s="1655"/>
      <c r="J46" s="1655"/>
      <c r="K46" s="1655"/>
      <c r="L46" s="1655"/>
      <c r="M46" s="1655"/>
      <c r="N46" s="1655"/>
      <c r="O46" s="1655"/>
    </row>
    <row r="47" spans="2:15" s="6" customFormat="1" ht="45.75" customHeight="1">
      <c r="B47" s="14" t="s">
        <v>82</v>
      </c>
      <c r="C47" s="1655" t="s">
        <v>128</v>
      </c>
      <c r="D47" s="1655"/>
      <c r="E47" s="1655"/>
      <c r="F47" s="1655"/>
      <c r="G47" s="1655"/>
      <c r="H47" s="1655"/>
      <c r="I47" s="1655"/>
      <c r="J47" s="1655"/>
      <c r="K47" s="1655"/>
      <c r="L47" s="1655"/>
      <c r="M47" s="1655"/>
      <c r="N47" s="1655"/>
      <c r="O47" s="1655"/>
    </row>
    <row r="48" spans="2:15" s="6" customFormat="1" ht="45" customHeight="1">
      <c r="B48" s="14" t="s">
        <v>50</v>
      </c>
      <c r="C48" s="1655" t="s">
        <v>38</v>
      </c>
      <c r="D48" s="1655"/>
      <c r="E48" s="1655"/>
      <c r="F48" s="1655"/>
      <c r="G48" s="1655"/>
      <c r="H48" s="1655"/>
      <c r="I48" s="1655"/>
      <c r="J48" s="1655"/>
      <c r="K48" s="1655"/>
      <c r="L48" s="1655"/>
      <c r="M48" s="1655"/>
      <c r="N48" s="1655"/>
      <c r="O48" s="1655"/>
    </row>
    <row r="50" spans="2:15" ht="34.200000000000003" customHeight="1">
      <c r="B50" s="1654" t="s">
        <v>916</v>
      </c>
      <c r="C50" s="1654"/>
      <c r="D50" s="1654"/>
      <c r="E50" s="1654"/>
      <c r="F50" s="1654"/>
      <c r="G50" s="1654"/>
      <c r="H50" s="1654"/>
      <c r="I50" s="1654"/>
      <c r="J50" s="1654"/>
      <c r="K50" s="1654"/>
      <c r="L50" s="1654"/>
      <c r="M50" s="1654"/>
      <c r="N50" s="1654"/>
      <c r="O50" s="1654"/>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sheetProtection algorithmName="SHA-512" hashValue="Hr4bdyFraZfnT2YrvI8WvJi0ZhA0jg89lzQJ2JY3y+5av9M/CKtCls+j1UJJFq74Nx4CF38DW0tWlN6kekM6XA==" saltValue="Qiof59kNb8aIBPNtejzqPQ==" spinCount="100000" sheet="1" objects="1" scenarios="1"/>
  <mergeCells count="43">
    <mergeCell ref="B10:O10"/>
    <mergeCell ref="B2:B6"/>
    <mergeCell ref="C2:M6"/>
    <mergeCell ref="N2:O2"/>
    <mergeCell ref="N5:O5"/>
    <mergeCell ref="N6:O6"/>
    <mergeCell ref="B8:O8"/>
    <mergeCell ref="C22:O22"/>
    <mergeCell ref="C25:O25"/>
    <mergeCell ref="C29:O29"/>
    <mergeCell ref="C31:O31"/>
    <mergeCell ref="C32:O32"/>
    <mergeCell ref="C23:O23"/>
    <mergeCell ref="C24:O24"/>
    <mergeCell ref="C30:O30"/>
    <mergeCell ref="B27:O27"/>
    <mergeCell ref="C12:O12"/>
    <mergeCell ref="C13:O13"/>
    <mergeCell ref="C14:O14"/>
    <mergeCell ref="C15:O15"/>
    <mergeCell ref="C21:O21"/>
    <mergeCell ref="C16:O16"/>
    <mergeCell ref="C18:O18"/>
    <mergeCell ref="C17:O17"/>
    <mergeCell ref="C19:O19"/>
    <mergeCell ref="C20:O20"/>
    <mergeCell ref="C34:O34"/>
    <mergeCell ref="C33:O33"/>
    <mergeCell ref="C43:O43"/>
    <mergeCell ref="C44:O44"/>
    <mergeCell ref="C38:O38"/>
    <mergeCell ref="C39:O39"/>
    <mergeCell ref="C40:O40"/>
    <mergeCell ref="C41:O41"/>
    <mergeCell ref="C42:O42"/>
    <mergeCell ref="B50:O50"/>
    <mergeCell ref="C48:O48"/>
    <mergeCell ref="C35:O35"/>
    <mergeCell ref="C36:O36"/>
    <mergeCell ref="C37:O37"/>
    <mergeCell ref="C45:O45"/>
    <mergeCell ref="C46:O46"/>
    <mergeCell ref="C47:O47"/>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2</vt:i4>
      </vt:variant>
    </vt:vector>
  </HeadingPairs>
  <TitlesOfParts>
    <vt:vector size="41" baseType="lpstr">
      <vt:lpstr>01-PL-09 POA 2021 (Pág 1 de 2)</vt:lpstr>
      <vt:lpstr>01-PL-09 POA 2021 (Pág 2 de 2)</vt:lpstr>
      <vt:lpstr>Rango indicadores</vt:lpstr>
      <vt:lpstr>Listas1</vt:lpstr>
      <vt:lpstr>4-Grado Cum Objetivos Est &amp; Cal</vt:lpstr>
      <vt:lpstr>3-Grado Cump Metas Estratégicas</vt:lpstr>
      <vt:lpstr>2- Resumen Ejec PEI 2022</vt:lpstr>
      <vt:lpstr>1-Infor Det Sgto PEI 2021-2024 </vt:lpstr>
      <vt:lpstr>Matriz PEI 2021-2024</vt:lpstr>
      <vt:lpstr>INSTRUCCIONES DILG (Pág 2 de 2)</vt:lpstr>
      <vt:lpstr>4.Segto Medición POA 2022 T2</vt:lpstr>
      <vt:lpstr>3.Resum Desemp Procesos POA T2</vt:lpstr>
      <vt:lpstr>4.Segto Medición POA 2022 T3</vt:lpstr>
      <vt:lpstr>4.Segto Medición POA 2022 T4</vt:lpstr>
      <vt:lpstr>3.Resum Desemp Procesos POA T4 </vt:lpstr>
      <vt:lpstr>3.Resum Desemp Procesos POA T3</vt:lpstr>
      <vt:lpstr>4.Segto Medición POA 2022 T1</vt:lpstr>
      <vt:lpstr>3.Resum Desemp Procesos POA T1</vt:lpstr>
      <vt:lpstr>LISTAS</vt:lpstr>
      <vt:lpstr>2.Infor Detallado Desempeño POA</vt:lpstr>
      <vt:lpstr>1.Informe Seguimiento POA 2022</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2023-01-19T03:27:12Z</dcterms:modified>
</cp:coreProperties>
</file>