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defaultThemeVersion="124226"/>
  <mc:AlternateContent xmlns:mc="http://schemas.openxmlformats.org/markup-compatibility/2006">
    <mc:Choice Requires="x15">
      <x15ac:absPath xmlns:x15ac="http://schemas.microsoft.com/office/spreadsheetml/2010/11/ac" url="C:\Mayis\POA\Seguimiento Trimestre 4-2020\Publicacion\"/>
    </mc:Choice>
  </mc:AlternateContent>
  <xr:revisionPtr revIDLastSave="0" documentId="13_ncr:1_{7AB8472E-D25C-474F-9F4B-AD228EC0985D}" xr6:coauthVersionLast="45" xr6:coauthVersionMax="45" xr10:uidLastSave="{00000000-0000-0000-0000-000000000000}"/>
  <workbookProtection workbookAlgorithmName="SHA-512" workbookHashValue="9hvVOkiXRN98zZ0bFCHXOA4ZB04f4IK63t6bA0IeaE+cM/U/E3MXudjXgdtoBS7fkzLQV49E8qK37r/elwI/eA==" workbookSaltValue="ZmJDaqC/JEWsyRsCJomwKg==" workbookSpinCount="100000" lockStructure="1"/>
  <bookViews>
    <workbookView xWindow="-120" yWindow="-120" windowWidth="20730" windowHeight="11160" firstSheet="4" activeTab="5" xr2:uid="{00000000-000D-0000-FFFF-FFFF00000000}"/>
  </bookViews>
  <sheets>
    <sheet name="Listas" sheetId="58" state="hidden" r:id="rId1"/>
    <sheet name="Rango en indicadores" sheetId="57" state="hidden" r:id="rId2"/>
    <sheet name="Cont. Procesos a Política SGC" sheetId="59" state="hidden" r:id="rId3"/>
    <sheet name="Seguimiento Medición" sheetId="60" state="hidden" r:id="rId4"/>
    <sheet name="Resúmen Desempeño de Procesos" sheetId="56" r:id="rId5"/>
    <sheet name="Informe Cons. Desempeño - Sgto." sheetId="55" r:id="rId6"/>
    <sheet name="01 Direcc Estratégico POA 2020 " sheetId="39" r:id="rId7"/>
    <sheet name="02 G. Conoc Innovación POA 2020" sheetId="40" r:id="rId8"/>
    <sheet name="03 Direccionamient TIC POA 2020" sheetId="38" r:id="rId9"/>
    <sheet name="04 Comunicación Estrat POA 2020" sheetId="2" r:id="rId10"/>
    <sheet name="05 Prom Defen Derechos POA 2020" sheetId="41" r:id="rId11"/>
    <sheet name="06 Prev Ctrl Func Públ POA 2020" sheetId="43" r:id="rId12"/>
    <sheet name="07 Potestad Discip POA 2020" sheetId="44" r:id="rId13"/>
    <sheet name="08 Gestión Talento Hum POA 2020" sheetId="47" r:id="rId14"/>
    <sheet name="09 Gestión Admin POA 2020" sheetId="48" r:id="rId15"/>
    <sheet name="10 Gestión Financiera POA 2020" sheetId="49" r:id="rId16"/>
    <sheet name="11 Gestión Contractual POA 2020" sheetId="50" r:id="rId17"/>
    <sheet name="12 Gestión Documental POA 2020" sheetId="51" r:id="rId18"/>
    <sheet name="13 Gestión Jurídica POA 2020 " sheetId="52" r:id="rId19"/>
    <sheet name="14 Servicio al Usuario POA 2020" sheetId="53" r:id="rId20"/>
    <sheet name="15 Ctr Disc Interno POA 2020" sheetId="45" r:id="rId21"/>
    <sheet name="16 Evaluacion y Segto POA 2020" sheetId="54" r:id="rId22"/>
    <sheet name="INSTRUCTIVO PL (Pág 3 de 3)" sheetId="36" r:id="rId23"/>
    <sheet name="CONTROL CAMBIOS FR" sheetId="37" r:id="rId24"/>
  </sheets>
  <externalReferences>
    <externalReference r:id="rId25"/>
    <externalReference r:id="rId26"/>
  </externalReferences>
  <definedNames>
    <definedName name="_xlnm._FilterDatabase" localSheetId="9" hidden="1">'04 Comunicación Estrat POA 2020'!$B$9:$J$18</definedName>
    <definedName name="_xlnm._FilterDatabase" localSheetId="1" hidden="1">'Rango en indicadores'!$B$4:$N$109</definedName>
    <definedName name="_xlnm.Print_Area" localSheetId="9">'04 Comunicación Estrat POA 2020'!$A$1:$AT$19</definedName>
    <definedName name="MATAS1">[1]Hoja1!$B$3:$B$16</definedName>
    <definedName name="METAS">[2]Hoja1!$B$3:$B$16</definedName>
    <definedName name="OBJE">#REF!</definedName>
    <definedName name="OBJETIVO">[2]Hoja1!$A$3:$A$8</definedName>
    <definedName name="Objetivos">#REF!</definedName>
    <definedName name="_xlnm.Print_Titles" localSheetId="9">'04 Comunicación Estrat POA 2020'!$9:$9</definedName>
    <definedName name="_xlnm.Print_Titles" localSheetId="22">'INSTRUCTIVO PL (Pág 3 de 3)'!$B:$O,'INSTRUCTIVO PL (Pág 3 de 3)'!$1:$27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7" i="55" l="1"/>
  <c r="F55" i="55"/>
  <c r="F56" i="55"/>
  <c r="F54" i="55"/>
  <c r="F59" i="55"/>
  <c r="F58" i="55"/>
  <c r="G59" i="55"/>
  <c r="G58" i="55"/>
  <c r="I58" i="55"/>
  <c r="AO19" i="54" l="1"/>
  <c r="G204" i="55"/>
  <c r="F204" i="55"/>
  <c r="I203" i="55"/>
  <c r="H203" i="55"/>
  <c r="G203" i="55"/>
  <c r="F203" i="55"/>
  <c r="I202" i="55"/>
  <c r="H202" i="55"/>
  <c r="G202" i="55"/>
  <c r="F202" i="55"/>
  <c r="I201" i="55"/>
  <c r="H201" i="55"/>
  <c r="G201" i="55"/>
  <c r="F201" i="55"/>
  <c r="I200" i="55"/>
  <c r="H200" i="55"/>
  <c r="G200" i="55"/>
  <c r="F200" i="55"/>
  <c r="I199" i="55"/>
  <c r="H199" i="55"/>
  <c r="G199" i="55"/>
  <c r="F199" i="55"/>
  <c r="I198" i="55"/>
  <c r="H198" i="55"/>
  <c r="G198" i="55"/>
  <c r="F198" i="55"/>
  <c r="I197" i="55"/>
  <c r="H197" i="55"/>
  <c r="G197" i="55"/>
  <c r="F197" i="55"/>
  <c r="F191" i="55"/>
  <c r="G191" i="55"/>
  <c r="H191" i="55"/>
  <c r="I191" i="55"/>
  <c r="F189" i="55"/>
  <c r="G189" i="55"/>
  <c r="H189" i="55"/>
  <c r="I189" i="55"/>
  <c r="F190" i="55"/>
  <c r="G190" i="55"/>
  <c r="H190" i="55"/>
  <c r="I190" i="55"/>
  <c r="I188" i="55"/>
  <c r="H188" i="55"/>
  <c r="G188" i="55"/>
  <c r="F188" i="55"/>
  <c r="I182" i="55"/>
  <c r="H182" i="55"/>
  <c r="G182" i="55"/>
  <c r="F182" i="55"/>
  <c r="I181" i="55"/>
  <c r="H181" i="55"/>
  <c r="G181" i="55"/>
  <c r="F181" i="55"/>
  <c r="I180" i="55"/>
  <c r="H180" i="55"/>
  <c r="G180" i="55"/>
  <c r="F180" i="55"/>
  <c r="I179" i="55"/>
  <c r="H179" i="55"/>
  <c r="G179" i="55"/>
  <c r="F179" i="55"/>
  <c r="I178" i="55"/>
  <c r="H178" i="55"/>
  <c r="G178" i="55"/>
  <c r="F178" i="55"/>
  <c r="I172" i="55"/>
  <c r="H172" i="55"/>
  <c r="G172" i="55"/>
  <c r="F172" i="55"/>
  <c r="I171" i="55"/>
  <c r="H171" i="55"/>
  <c r="G171" i="55"/>
  <c r="F171" i="55"/>
  <c r="I170" i="55"/>
  <c r="H170" i="55"/>
  <c r="G170" i="55"/>
  <c r="F170" i="55"/>
  <c r="I164" i="55"/>
  <c r="G164" i="55"/>
  <c r="H164" i="55"/>
  <c r="F164" i="55"/>
  <c r="I130" i="55"/>
  <c r="I151" i="55"/>
  <c r="I152" i="55"/>
  <c r="I158" i="55"/>
  <c r="H158" i="55"/>
  <c r="G158" i="55"/>
  <c r="F158" i="55"/>
  <c r="G152" i="55"/>
  <c r="H152" i="55"/>
  <c r="F152" i="55"/>
  <c r="H151" i="55"/>
  <c r="G151" i="55"/>
  <c r="F151" i="55"/>
  <c r="I150" i="55"/>
  <c r="H150" i="55"/>
  <c r="G150" i="55"/>
  <c r="F150" i="55"/>
  <c r="I149" i="55"/>
  <c r="H149" i="55"/>
  <c r="G149" i="55"/>
  <c r="F149" i="55"/>
  <c r="I148" i="55"/>
  <c r="H148" i="55"/>
  <c r="G148" i="55"/>
  <c r="F148" i="55"/>
  <c r="I147" i="55"/>
  <c r="H147" i="55"/>
  <c r="G147" i="55"/>
  <c r="F147" i="55"/>
  <c r="F138" i="55"/>
  <c r="G138" i="55"/>
  <c r="H138" i="55"/>
  <c r="I138" i="55"/>
  <c r="G136" i="55"/>
  <c r="H136" i="55"/>
  <c r="I136" i="55"/>
  <c r="G137" i="55"/>
  <c r="H137" i="55"/>
  <c r="I137" i="55"/>
  <c r="F136" i="55"/>
  <c r="F137" i="55"/>
  <c r="L130" i="55"/>
  <c r="L131" i="55"/>
  <c r="I141" i="55"/>
  <c r="H141" i="55"/>
  <c r="G141" i="55"/>
  <c r="F141" i="55"/>
  <c r="I140" i="55"/>
  <c r="H140" i="55"/>
  <c r="G140" i="55"/>
  <c r="F140" i="55"/>
  <c r="I139" i="55"/>
  <c r="H139" i="55"/>
  <c r="G139" i="55"/>
  <c r="F139" i="55"/>
  <c r="I135" i="55"/>
  <c r="G135" i="55"/>
  <c r="H135" i="55"/>
  <c r="F135" i="55"/>
  <c r="I134" i="55"/>
  <c r="H134" i="55"/>
  <c r="G134" i="55"/>
  <c r="F134" i="55"/>
  <c r="I133" i="55"/>
  <c r="H133" i="55"/>
  <c r="G133" i="55"/>
  <c r="F133" i="55"/>
  <c r="I132" i="55"/>
  <c r="H132" i="55"/>
  <c r="G132" i="55"/>
  <c r="F132" i="55"/>
  <c r="I131" i="55"/>
  <c r="H131" i="55"/>
  <c r="G131" i="55"/>
  <c r="F131" i="55"/>
  <c r="AP14" i="47"/>
  <c r="G130" i="55"/>
  <c r="F130" i="55"/>
  <c r="I129" i="55"/>
  <c r="H129" i="55"/>
  <c r="G129" i="55"/>
  <c r="F129" i="55"/>
  <c r="F123" i="55"/>
  <c r="G123" i="55"/>
  <c r="H123" i="55"/>
  <c r="I123" i="55"/>
  <c r="F121" i="55"/>
  <c r="G121" i="55"/>
  <c r="H121" i="55"/>
  <c r="I121" i="55"/>
  <c r="F122" i="55"/>
  <c r="G122" i="55"/>
  <c r="H122" i="55"/>
  <c r="I122" i="55"/>
  <c r="I120" i="55"/>
  <c r="H120" i="55"/>
  <c r="G120" i="55"/>
  <c r="F120" i="55"/>
  <c r="AP17" i="43"/>
  <c r="I113" i="55" s="1"/>
  <c r="F113" i="55"/>
  <c r="I114" i="55"/>
  <c r="H114" i="55"/>
  <c r="F114" i="55"/>
  <c r="I112" i="55"/>
  <c r="H112" i="55"/>
  <c r="G112" i="55"/>
  <c r="F112" i="55"/>
  <c r="I111" i="55"/>
  <c r="H111" i="55"/>
  <c r="G111" i="55"/>
  <c r="F111" i="55"/>
  <c r="I110" i="55"/>
  <c r="H110" i="55"/>
  <c r="G110" i="55"/>
  <c r="F110" i="55"/>
  <c r="I109" i="55"/>
  <c r="H109" i="55"/>
  <c r="G109" i="55"/>
  <c r="F109" i="55"/>
  <c r="I103" i="55"/>
  <c r="H103" i="55"/>
  <c r="G103" i="55"/>
  <c r="F103" i="55"/>
  <c r="I102" i="55"/>
  <c r="H102" i="55"/>
  <c r="G102" i="55"/>
  <c r="F102" i="55"/>
  <c r="I101" i="55"/>
  <c r="H101" i="55"/>
  <c r="G101" i="55"/>
  <c r="F101" i="55"/>
  <c r="I100" i="55"/>
  <c r="H100" i="55"/>
  <c r="G100" i="55"/>
  <c r="F100" i="55"/>
  <c r="I99" i="55"/>
  <c r="H99" i="55"/>
  <c r="G99" i="55"/>
  <c r="F99" i="55"/>
  <c r="I98" i="55"/>
  <c r="H98" i="55"/>
  <c r="G98" i="55"/>
  <c r="F98" i="55"/>
  <c r="I97" i="55"/>
  <c r="H97" i="55"/>
  <c r="G97" i="55"/>
  <c r="F97" i="55"/>
  <c r="I96" i="55"/>
  <c r="H96" i="55"/>
  <c r="G96" i="55"/>
  <c r="F96" i="55"/>
  <c r="I95" i="55"/>
  <c r="H95" i="55"/>
  <c r="G95" i="55"/>
  <c r="F95" i="55"/>
  <c r="I94" i="55"/>
  <c r="H94" i="55"/>
  <c r="G94" i="55"/>
  <c r="F94" i="55"/>
  <c r="I93" i="55"/>
  <c r="H93" i="55"/>
  <c r="G93" i="55"/>
  <c r="F93" i="55"/>
  <c r="I92" i="55"/>
  <c r="H92" i="55"/>
  <c r="G92" i="55"/>
  <c r="F92" i="55"/>
  <c r="I91" i="55"/>
  <c r="H91" i="55"/>
  <c r="G91" i="55"/>
  <c r="F91" i="55"/>
  <c r="F90" i="55"/>
  <c r="G90" i="55"/>
  <c r="H90" i="55"/>
  <c r="I90" i="55"/>
  <c r="F88" i="55"/>
  <c r="G88" i="55"/>
  <c r="H88" i="55"/>
  <c r="I88" i="55"/>
  <c r="F89" i="55"/>
  <c r="G89" i="55"/>
  <c r="H89" i="55"/>
  <c r="I89" i="55"/>
  <c r="F87" i="55"/>
  <c r="G87" i="55"/>
  <c r="H87" i="55"/>
  <c r="I87" i="55"/>
  <c r="F86" i="55"/>
  <c r="G86" i="55"/>
  <c r="H86" i="55"/>
  <c r="I86" i="55"/>
  <c r="F85" i="55"/>
  <c r="G85" i="55"/>
  <c r="H85" i="55"/>
  <c r="I85" i="55"/>
  <c r="F84" i="55"/>
  <c r="G84" i="55"/>
  <c r="H84" i="55"/>
  <c r="I84" i="55"/>
  <c r="I83" i="55"/>
  <c r="H83" i="55"/>
  <c r="G83" i="55"/>
  <c r="F83" i="55"/>
  <c r="F76" i="55"/>
  <c r="G76" i="55"/>
  <c r="H76" i="55"/>
  <c r="I76" i="55"/>
  <c r="F77" i="55"/>
  <c r="G77" i="55"/>
  <c r="H77" i="55"/>
  <c r="I77" i="55"/>
  <c r="I75" i="55"/>
  <c r="H75" i="55"/>
  <c r="G75" i="55"/>
  <c r="F75" i="55"/>
  <c r="E69" i="55"/>
  <c r="F69" i="55"/>
  <c r="G69" i="55"/>
  <c r="H69" i="55"/>
  <c r="I69" i="55"/>
  <c r="E66" i="55"/>
  <c r="F66" i="55"/>
  <c r="G66" i="55"/>
  <c r="H66" i="55"/>
  <c r="I66" i="55"/>
  <c r="E67" i="55"/>
  <c r="F67" i="55"/>
  <c r="G67" i="55"/>
  <c r="H67" i="55"/>
  <c r="I67" i="55"/>
  <c r="E68" i="55"/>
  <c r="F68" i="55"/>
  <c r="G68" i="55"/>
  <c r="H68" i="55"/>
  <c r="I68" i="55"/>
  <c r="I65" i="55"/>
  <c r="H65" i="55"/>
  <c r="G65" i="55"/>
  <c r="F65" i="55"/>
  <c r="I59" i="55"/>
  <c r="AP18" i="38"/>
  <c r="AP17" i="38"/>
  <c r="I57" i="55"/>
  <c r="H130" i="55" l="1"/>
  <c r="G114" i="55"/>
  <c r="I55" i="55"/>
  <c r="I56" i="55"/>
  <c r="I54" i="55"/>
  <c r="H59" i="55"/>
  <c r="H58" i="55"/>
  <c r="H57" i="55"/>
  <c r="H55" i="55"/>
  <c r="H56" i="55"/>
  <c r="H54" i="55"/>
  <c r="H36" i="55"/>
  <c r="H37" i="55"/>
  <c r="H38" i="55"/>
  <c r="H39" i="55"/>
  <c r="H40" i="55"/>
  <c r="G56" i="55"/>
  <c r="G57" i="55"/>
  <c r="G55" i="55"/>
  <c r="G54" i="55"/>
  <c r="I48" i="55"/>
  <c r="I47" i="55"/>
  <c r="I46" i="55"/>
  <c r="H48" i="55"/>
  <c r="H47" i="55"/>
  <c r="H46" i="55"/>
  <c r="G48" i="55"/>
  <c r="G47" i="55"/>
  <c r="G46" i="55"/>
  <c r="F47" i="55"/>
  <c r="F48" i="55"/>
  <c r="F46" i="55"/>
  <c r="I40" i="55"/>
  <c r="I39" i="55"/>
  <c r="I37" i="55"/>
  <c r="I38" i="55"/>
  <c r="J40" i="55"/>
  <c r="J39" i="55"/>
  <c r="J38" i="55"/>
  <c r="J37" i="55"/>
  <c r="I36" i="55"/>
  <c r="I35" i="55"/>
  <c r="AP18" i="39"/>
  <c r="H35" i="55"/>
  <c r="G40" i="55"/>
  <c r="G39" i="55"/>
  <c r="G38" i="55"/>
  <c r="G37" i="55"/>
  <c r="G36" i="55"/>
  <c r="G35" i="55"/>
  <c r="F40" i="55"/>
  <c r="F39" i="55"/>
  <c r="F38" i="55"/>
  <c r="F37" i="55"/>
  <c r="F36" i="55"/>
  <c r="F35" i="55"/>
  <c r="G34" i="55" l="1"/>
  <c r="E27" i="60" l="1"/>
  <c r="G12" i="60"/>
  <c r="G13" i="60"/>
  <c r="G14" i="60"/>
  <c r="G15" i="60"/>
  <c r="G16" i="60"/>
  <c r="G17" i="60"/>
  <c r="G18" i="60"/>
  <c r="G19" i="60"/>
  <c r="G20" i="60"/>
  <c r="G21" i="60"/>
  <c r="G22" i="60"/>
  <c r="G23" i="60"/>
  <c r="G24" i="60"/>
  <c r="G25" i="60"/>
  <c r="G26" i="60"/>
  <c r="G11" i="60"/>
  <c r="F27" i="60"/>
  <c r="D27" i="60"/>
  <c r="B5" i="60"/>
  <c r="G27" i="60" l="1"/>
  <c r="B5" i="56"/>
  <c r="AF18" i="48" l="1"/>
  <c r="AD18" i="48"/>
  <c r="AB18" i="48"/>
  <c r="AF21" i="41" l="1"/>
  <c r="AD21" i="41"/>
  <c r="AB21" i="41"/>
  <c r="AF18" i="38" l="1"/>
  <c r="AD18" i="38"/>
  <c r="AB18" i="38"/>
  <c r="F8" i="55" l="1"/>
  <c r="G128" i="55" l="1"/>
  <c r="L196" i="55"/>
  <c r="L187" i="55"/>
  <c r="L177" i="55"/>
  <c r="L169" i="55"/>
  <c r="L163" i="55"/>
  <c r="L157" i="55"/>
  <c r="L146" i="55"/>
  <c r="L128" i="55"/>
  <c r="L119" i="55"/>
  <c r="L108" i="55"/>
  <c r="L82" i="55"/>
  <c r="L74" i="55"/>
  <c r="L64" i="55"/>
  <c r="I195" i="55"/>
  <c r="I186" i="55"/>
  <c r="I176" i="55"/>
  <c r="I168" i="55"/>
  <c r="I162" i="55"/>
  <c r="I156" i="55"/>
  <c r="I145" i="55"/>
  <c r="I127" i="55"/>
  <c r="I118" i="55"/>
  <c r="I107" i="55"/>
  <c r="I81" i="55"/>
  <c r="I73" i="55"/>
  <c r="I63" i="55"/>
  <c r="I52" i="55"/>
  <c r="I44" i="55"/>
  <c r="G196" i="55"/>
  <c r="G187" i="55"/>
  <c r="G177" i="55"/>
  <c r="G169" i="55"/>
  <c r="G163" i="55"/>
  <c r="G157" i="55"/>
  <c r="G146" i="55"/>
  <c r="G119" i="55"/>
  <c r="G108" i="55"/>
  <c r="G82" i="55"/>
  <c r="G74" i="55"/>
  <c r="G64" i="55"/>
  <c r="G53" i="55"/>
  <c r="G45" i="55"/>
  <c r="L34" i="55"/>
  <c r="I33" i="55"/>
  <c r="K53" i="55"/>
  <c r="F53" i="55"/>
  <c r="K34" i="55"/>
  <c r="F34" i="55"/>
  <c r="E8" i="55" l="1"/>
  <c r="Z19" i="47" l="1"/>
  <c r="Y31" i="41" l="1"/>
  <c r="B34" i="57" l="1"/>
  <c r="W29" i="41"/>
  <c r="W19" i="41"/>
  <c r="AO17" i="2" l="1"/>
  <c r="AO14" i="2"/>
  <c r="AO15" i="2"/>
  <c r="AO16" i="2"/>
  <c r="AO13" i="2"/>
  <c r="AG16" i="2"/>
  <c r="AG17" i="2"/>
  <c r="AG14" i="2"/>
  <c r="AG15" i="2"/>
  <c r="AG13" i="2"/>
  <c r="Y17" i="2"/>
  <c r="Y16" i="2"/>
  <c r="Y14" i="2"/>
  <c r="Y15" i="2"/>
  <c r="D47" i="56" l="1"/>
  <c r="E47" i="56"/>
  <c r="F47" i="56"/>
  <c r="N198" i="55" l="1"/>
  <c r="O198" i="55"/>
  <c r="U198" i="55"/>
  <c r="N199" i="55"/>
  <c r="O199" i="55"/>
  <c r="U199" i="55"/>
  <c r="N200" i="55"/>
  <c r="O200" i="55"/>
  <c r="U200" i="55"/>
  <c r="N201" i="55"/>
  <c r="O201" i="55"/>
  <c r="U201" i="55"/>
  <c r="N202" i="55"/>
  <c r="O202" i="55"/>
  <c r="U202" i="55"/>
  <c r="N203" i="55"/>
  <c r="O203" i="55"/>
  <c r="U203" i="55"/>
  <c r="N204" i="55"/>
  <c r="O204" i="55"/>
  <c r="U204" i="55"/>
  <c r="O197" i="55"/>
  <c r="U197" i="55"/>
  <c r="N197" i="55"/>
  <c r="D198" i="55"/>
  <c r="D199" i="55"/>
  <c r="D200" i="55"/>
  <c r="D201" i="55"/>
  <c r="D202" i="55"/>
  <c r="D203" i="55"/>
  <c r="D204" i="55"/>
  <c r="D197" i="55"/>
  <c r="N189" i="55"/>
  <c r="O189" i="55"/>
  <c r="U189" i="55"/>
  <c r="N190" i="55"/>
  <c r="O190" i="55"/>
  <c r="U190" i="55"/>
  <c r="N191" i="55"/>
  <c r="O191" i="55"/>
  <c r="U191" i="55"/>
  <c r="O188" i="55"/>
  <c r="U188" i="55"/>
  <c r="N188" i="55"/>
  <c r="D189" i="55"/>
  <c r="D190" i="55"/>
  <c r="D191" i="55"/>
  <c r="D188" i="55"/>
  <c r="N76" i="55"/>
  <c r="O76" i="55"/>
  <c r="U76" i="55"/>
  <c r="N77" i="55"/>
  <c r="O77" i="55"/>
  <c r="U77" i="55"/>
  <c r="O75" i="55"/>
  <c r="U75" i="55"/>
  <c r="N75" i="55"/>
  <c r="D76" i="55"/>
  <c r="D77" i="55"/>
  <c r="D75" i="55"/>
  <c r="K74" i="55"/>
  <c r="F74" i="55"/>
  <c r="N179" i="55"/>
  <c r="O179" i="55"/>
  <c r="U179" i="55"/>
  <c r="N180" i="55"/>
  <c r="O180" i="55"/>
  <c r="U180" i="55"/>
  <c r="N181" i="55"/>
  <c r="O181" i="55"/>
  <c r="U181" i="55"/>
  <c r="N182" i="55"/>
  <c r="O182" i="55"/>
  <c r="U182" i="55"/>
  <c r="O178" i="55"/>
  <c r="U178" i="55"/>
  <c r="N178" i="55"/>
  <c r="D179" i="55"/>
  <c r="D180" i="55"/>
  <c r="D181" i="55"/>
  <c r="D182" i="55"/>
  <c r="D178" i="55"/>
  <c r="N171" i="55"/>
  <c r="O171" i="55"/>
  <c r="U171" i="55"/>
  <c r="N172" i="55"/>
  <c r="O172" i="55"/>
  <c r="U172" i="55"/>
  <c r="O170" i="55"/>
  <c r="U170" i="55"/>
  <c r="N170" i="55"/>
  <c r="D171" i="55"/>
  <c r="D172" i="55"/>
  <c r="D170" i="55"/>
  <c r="O164" i="55"/>
  <c r="U164" i="55"/>
  <c r="N164" i="55"/>
  <c r="D164" i="55"/>
  <c r="O158" i="55"/>
  <c r="U158" i="55"/>
  <c r="N158" i="55"/>
  <c r="D158" i="55"/>
  <c r="N148" i="55"/>
  <c r="O148" i="55"/>
  <c r="U148" i="55"/>
  <c r="N149" i="55"/>
  <c r="O149" i="55"/>
  <c r="U149" i="55"/>
  <c r="N150" i="55"/>
  <c r="O150" i="55"/>
  <c r="U150" i="55"/>
  <c r="N151" i="55"/>
  <c r="O151" i="55"/>
  <c r="U151" i="55"/>
  <c r="N152" i="55"/>
  <c r="O152" i="55"/>
  <c r="U152" i="55"/>
  <c r="O147" i="55"/>
  <c r="U147" i="55"/>
  <c r="N147" i="55"/>
  <c r="D148" i="55"/>
  <c r="D149" i="55"/>
  <c r="D150" i="55"/>
  <c r="D151" i="55"/>
  <c r="D152" i="55"/>
  <c r="D147" i="55"/>
  <c r="N130" i="55"/>
  <c r="O130" i="55"/>
  <c r="U130" i="55"/>
  <c r="N131" i="55"/>
  <c r="O131" i="55"/>
  <c r="U131" i="55"/>
  <c r="N132" i="55"/>
  <c r="O132" i="55"/>
  <c r="U132" i="55"/>
  <c r="N133" i="55"/>
  <c r="O133" i="55"/>
  <c r="U133" i="55"/>
  <c r="N134" i="55"/>
  <c r="O134" i="55"/>
  <c r="U134" i="55"/>
  <c r="N135" i="55"/>
  <c r="O135" i="55"/>
  <c r="U135" i="55"/>
  <c r="N136" i="55"/>
  <c r="O136" i="55"/>
  <c r="U136" i="55"/>
  <c r="N137" i="55"/>
  <c r="O137" i="55"/>
  <c r="U137" i="55"/>
  <c r="N138" i="55"/>
  <c r="O138" i="55"/>
  <c r="U138" i="55"/>
  <c r="N139" i="55"/>
  <c r="O139" i="55"/>
  <c r="U139" i="55"/>
  <c r="N140" i="55"/>
  <c r="O140" i="55"/>
  <c r="U140" i="55"/>
  <c r="N141" i="55"/>
  <c r="O141" i="55"/>
  <c r="U141" i="55"/>
  <c r="O129" i="55"/>
  <c r="U129" i="55"/>
  <c r="N129" i="55"/>
  <c r="D130" i="55"/>
  <c r="D131" i="55"/>
  <c r="D132" i="55"/>
  <c r="D133" i="55"/>
  <c r="D134" i="55"/>
  <c r="D135" i="55"/>
  <c r="D136" i="55"/>
  <c r="D137" i="55"/>
  <c r="D138" i="55"/>
  <c r="D139" i="55"/>
  <c r="D140" i="55"/>
  <c r="D141" i="55"/>
  <c r="D129" i="55"/>
  <c r="O121" i="55"/>
  <c r="U121" i="55"/>
  <c r="O122" i="55"/>
  <c r="U122" i="55"/>
  <c r="O123" i="55"/>
  <c r="U123" i="55"/>
  <c r="O120" i="55"/>
  <c r="U120" i="55"/>
  <c r="N121" i="55"/>
  <c r="N122" i="55"/>
  <c r="N123" i="55"/>
  <c r="N120" i="55"/>
  <c r="D121" i="55"/>
  <c r="D122" i="55"/>
  <c r="D123" i="55"/>
  <c r="D120" i="55"/>
  <c r="M109" i="57"/>
  <c r="L109" i="57"/>
  <c r="K109" i="57"/>
  <c r="J109" i="57"/>
  <c r="I109" i="57"/>
  <c r="M108" i="57"/>
  <c r="L108" i="57"/>
  <c r="K108" i="57"/>
  <c r="J108" i="57"/>
  <c r="I108" i="57"/>
  <c r="M107" i="57"/>
  <c r="L107" i="57"/>
  <c r="K107" i="57"/>
  <c r="J107" i="57"/>
  <c r="I107" i="57"/>
  <c r="M106" i="57"/>
  <c r="L106" i="57"/>
  <c r="K106" i="57"/>
  <c r="J106" i="57"/>
  <c r="I106" i="57"/>
  <c r="M105" i="57"/>
  <c r="L105" i="57"/>
  <c r="K105" i="57"/>
  <c r="J105" i="57"/>
  <c r="I105" i="57"/>
  <c r="M104" i="57"/>
  <c r="L104" i="57"/>
  <c r="K104" i="57"/>
  <c r="J104" i="57"/>
  <c r="I104" i="57"/>
  <c r="M103" i="57"/>
  <c r="L103" i="57"/>
  <c r="K103" i="57"/>
  <c r="J103" i="57"/>
  <c r="I103" i="57"/>
  <c r="M102" i="57"/>
  <c r="L102" i="57"/>
  <c r="K102" i="57"/>
  <c r="J102" i="57"/>
  <c r="I102" i="57"/>
  <c r="M101" i="57"/>
  <c r="L101" i="57"/>
  <c r="K101" i="57"/>
  <c r="J101" i="57"/>
  <c r="I101" i="57"/>
  <c r="M100" i="57"/>
  <c r="L100" i="57"/>
  <c r="K100" i="57"/>
  <c r="J100" i="57"/>
  <c r="I100" i="57"/>
  <c r="U114" i="55"/>
  <c r="O114" i="55"/>
  <c r="N114" i="55"/>
  <c r="U113" i="55"/>
  <c r="O113" i="55"/>
  <c r="N113" i="55"/>
  <c r="U112" i="55"/>
  <c r="O112" i="55"/>
  <c r="N112" i="55"/>
  <c r="U111" i="55"/>
  <c r="O111" i="55"/>
  <c r="N111" i="55"/>
  <c r="U110" i="55"/>
  <c r="O110" i="55"/>
  <c r="N110" i="55"/>
  <c r="O109" i="55"/>
  <c r="U109" i="55"/>
  <c r="N109" i="55"/>
  <c r="D110" i="55"/>
  <c r="D111" i="55"/>
  <c r="D112" i="55"/>
  <c r="D113" i="55"/>
  <c r="D114" i="55"/>
  <c r="D109" i="55"/>
  <c r="N84" i="55"/>
  <c r="O84" i="55"/>
  <c r="U84" i="55"/>
  <c r="N85" i="55"/>
  <c r="O85" i="55"/>
  <c r="U85" i="55"/>
  <c r="N86" i="55"/>
  <c r="O86" i="55"/>
  <c r="U86" i="55"/>
  <c r="N87" i="55"/>
  <c r="O87" i="55"/>
  <c r="U87" i="55"/>
  <c r="N88" i="55"/>
  <c r="O88" i="55"/>
  <c r="U88" i="55"/>
  <c r="N89" i="55"/>
  <c r="O89" i="55"/>
  <c r="U89" i="55"/>
  <c r="N90" i="55"/>
  <c r="O90" i="55"/>
  <c r="U90" i="55"/>
  <c r="N91" i="55"/>
  <c r="O91" i="55"/>
  <c r="U91" i="55"/>
  <c r="N92" i="55"/>
  <c r="O92" i="55"/>
  <c r="U92" i="55"/>
  <c r="N93" i="55"/>
  <c r="O93" i="55"/>
  <c r="U93" i="55"/>
  <c r="N94" i="55"/>
  <c r="O94" i="55"/>
  <c r="U94" i="55"/>
  <c r="N95" i="55"/>
  <c r="O95" i="55"/>
  <c r="U95" i="55"/>
  <c r="N96" i="55"/>
  <c r="O96" i="55"/>
  <c r="U96" i="55"/>
  <c r="N97" i="55"/>
  <c r="O97" i="55"/>
  <c r="U97" i="55"/>
  <c r="N98" i="55"/>
  <c r="O98" i="55"/>
  <c r="U98" i="55"/>
  <c r="N99" i="55"/>
  <c r="O99" i="55"/>
  <c r="U99" i="55"/>
  <c r="N100" i="55"/>
  <c r="O100" i="55"/>
  <c r="U100" i="55"/>
  <c r="N101" i="55"/>
  <c r="O101" i="55"/>
  <c r="U101" i="55"/>
  <c r="N102" i="55"/>
  <c r="O102" i="55"/>
  <c r="U102" i="55"/>
  <c r="N103" i="55"/>
  <c r="O103" i="55"/>
  <c r="U103" i="55"/>
  <c r="O83" i="55"/>
  <c r="U83" i="55"/>
  <c r="N83" i="55"/>
  <c r="D102" i="55"/>
  <c r="D103" i="55"/>
  <c r="D84" i="55"/>
  <c r="D85" i="55"/>
  <c r="D86" i="55"/>
  <c r="D87" i="55"/>
  <c r="D88" i="55"/>
  <c r="D89" i="55"/>
  <c r="D90" i="55"/>
  <c r="D91" i="55"/>
  <c r="D92" i="55"/>
  <c r="D93" i="55"/>
  <c r="D94" i="55"/>
  <c r="D95" i="55"/>
  <c r="D96" i="55"/>
  <c r="D97" i="55"/>
  <c r="D98" i="55"/>
  <c r="D99" i="55"/>
  <c r="D100" i="55"/>
  <c r="D101" i="55"/>
  <c r="D83" i="55"/>
  <c r="U69" i="55"/>
  <c r="O69" i="55"/>
  <c r="N69" i="55"/>
  <c r="U68" i="55"/>
  <c r="O68" i="55"/>
  <c r="N68" i="55"/>
  <c r="U67" i="55"/>
  <c r="O67" i="55"/>
  <c r="N67" i="55"/>
  <c r="U66" i="55"/>
  <c r="O66" i="55"/>
  <c r="N66" i="55"/>
  <c r="O65" i="55"/>
  <c r="U65" i="55"/>
  <c r="N65" i="55"/>
  <c r="D66" i="55"/>
  <c r="D67" i="55"/>
  <c r="D68" i="55"/>
  <c r="D69" i="55"/>
  <c r="D65" i="55"/>
  <c r="N55" i="55"/>
  <c r="O55" i="55"/>
  <c r="U55" i="55"/>
  <c r="N56" i="55"/>
  <c r="O56" i="55"/>
  <c r="U56" i="55"/>
  <c r="N57" i="55"/>
  <c r="O57" i="55"/>
  <c r="U57" i="55"/>
  <c r="N58" i="55"/>
  <c r="O58" i="55"/>
  <c r="U58" i="55"/>
  <c r="N59" i="55"/>
  <c r="O59" i="55"/>
  <c r="U59" i="55"/>
  <c r="O54" i="55"/>
  <c r="U54" i="55"/>
  <c r="N54" i="55"/>
  <c r="D55" i="55"/>
  <c r="D56" i="55"/>
  <c r="D57" i="55"/>
  <c r="D58" i="55"/>
  <c r="D59" i="55"/>
  <c r="D54" i="55"/>
  <c r="N47" i="55" l="1"/>
  <c r="O47" i="55"/>
  <c r="U47" i="55"/>
  <c r="N48" i="55"/>
  <c r="O48" i="55"/>
  <c r="U48" i="55"/>
  <c r="O46" i="55"/>
  <c r="U46" i="55"/>
  <c r="N46" i="55"/>
  <c r="D47" i="55"/>
  <c r="D48" i="55"/>
  <c r="D46" i="55"/>
  <c r="N36" i="55"/>
  <c r="O36" i="55"/>
  <c r="U36" i="55"/>
  <c r="N37" i="55"/>
  <c r="O37" i="55"/>
  <c r="U37" i="55"/>
  <c r="N38" i="55"/>
  <c r="O38" i="55"/>
  <c r="U38" i="55"/>
  <c r="N39" i="55"/>
  <c r="O39" i="55"/>
  <c r="U39" i="55"/>
  <c r="N40" i="55"/>
  <c r="O40" i="55"/>
  <c r="U40" i="55"/>
  <c r="O35" i="55"/>
  <c r="U35" i="55"/>
  <c r="N35" i="55"/>
  <c r="D36" i="55"/>
  <c r="D37" i="55"/>
  <c r="D38" i="55"/>
  <c r="D39" i="55"/>
  <c r="D40" i="55"/>
  <c r="D35" i="55"/>
  <c r="M99" i="57" l="1"/>
  <c r="T204" i="55" s="1"/>
  <c r="L99" i="57"/>
  <c r="S204" i="55" s="1"/>
  <c r="K99" i="57"/>
  <c r="R204" i="55" s="1"/>
  <c r="J99" i="57"/>
  <c r="Q204" i="55" s="1"/>
  <c r="I99" i="57"/>
  <c r="P204" i="55" s="1"/>
  <c r="M98" i="57"/>
  <c r="T203" i="55" s="1"/>
  <c r="L98" i="57"/>
  <c r="S203" i="55" s="1"/>
  <c r="K98" i="57"/>
  <c r="R203" i="55" s="1"/>
  <c r="J98" i="57"/>
  <c r="Q203" i="55" s="1"/>
  <c r="I98" i="57"/>
  <c r="P203" i="55" s="1"/>
  <c r="M97" i="57"/>
  <c r="T202" i="55" s="1"/>
  <c r="L97" i="57"/>
  <c r="S202" i="55" s="1"/>
  <c r="K97" i="57"/>
  <c r="R202" i="55" s="1"/>
  <c r="J97" i="57"/>
  <c r="Q202" i="55" s="1"/>
  <c r="I97" i="57"/>
  <c r="P202" i="55" s="1"/>
  <c r="M96" i="57"/>
  <c r="T201" i="55" s="1"/>
  <c r="L96" i="57"/>
  <c r="S201" i="55" s="1"/>
  <c r="K96" i="57"/>
  <c r="R201" i="55" s="1"/>
  <c r="J96" i="57"/>
  <c r="Q201" i="55" s="1"/>
  <c r="I96" i="57"/>
  <c r="P201" i="55" s="1"/>
  <c r="M95" i="57"/>
  <c r="T200" i="55" s="1"/>
  <c r="L95" i="57"/>
  <c r="S200" i="55" s="1"/>
  <c r="K95" i="57"/>
  <c r="R200" i="55" s="1"/>
  <c r="J95" i="57"/>
  <c r="Q200" i="55" s="1"/>
  <c r="I95" i="57"/>
  <c r="P200" i="55" s="1"/>
  <c r="M94" i="57"/>
  <c r="T199" i="55" s="1"/>
  <c r="L94" i="57"/>
  <c r="S199" i="55" s="1"/>
  <c r="K94" i="57"/>
  <c r="R199" i="55" s="1"/>
  <c r="J94" i="57"/>
  <c r="Q199" i="55" s="1"/>
  <c r="I94" i="57"/>
  <c r="P199" i="55" s="1"/>
  <c r="M93" i="57"/>
  <c r="T198" i="55" s="1"/>
  <c r="L93" i="57"/>
  <c r="S198" i="55" s="1"/>
  <c r="K93" i="57"/>
  <c r="R198" i="55" s="1"/>
  <c r="J93" i="57"/>
  <c r="Q198" i="55" s="1"/>
  <c r="I93" i="57"/>
  <c r="P198" i="55" s="1"/>
  <c r="M92" i="57"/>
  <c r="T197" i="55" s="1"/>
  <c r="L92" i="57"/>
  <c r="S197" i="55" s="1"/>
  <c r="K92" i="57"/>
  <c r="R197" i="55" s="1"/>
  <c r="J92" i="57"/>
  <c r="Q197" i="55" s="1"/>
  <c r="I92" i="57"/>
  <c r="P197" i="55" s="1"/>
  <c r="M91" i="57"/>
  <c r="T191" i="55" s="1"/>
  <c r="L91" i="57"/>
  <c r="S191" i="55" s="1"/>
  <c r="K91" i="57"/>
  <c r="R191" i="55" s="1"/>
  <c r="J91" i="57"/>
  <c r="Q191" i="55" s="1"/>
  <c r="I91" i="57"/>
  <c r="P191" i="55" s="1"/>
  <c r="M90" i="57"/>
  <c r="T190" i="55" s="1"/>
  <c r="L90" i="57"/>
  <c r="S190" i="55" s="1"/>
  <c r="K90" i="57"/>
  <c r="R190" i="55" s="1"/>
  <c r="J90" i="57"/>
  <c r="Q190" i="55" s="1"/>
  <c r="I90" i="57"/>
  <c r="P190" i="55" s="1"/>
  <c r="M89" i="57"/>
  <c r="T189" i="55" s="1"/>
  <c r="L89" i="57"/>
  <c r="S189" i="55" s="1"/>
  <c r="K89" i="57"/>
  <c r="R189" i="55" s="1"/>
  <c r="J89" i="57"/>
  <c r="Q189" i="55" s="1"/>
  <c r="I89" i="57"/>
  <c r="P189" i="55" s="1"/>
  <c r="M88" i="57"/>
  <c r="T188" i="55" s="1"/>
  <c r="L88" i="57"/>
  <c r="S188" i="55" s="1"/>
  <c r="K88" i="57"/>
  <c r="R188" i="55" s="1"/>
  <c r="J88" i="57"/>
  <c r="Q188" i="55" s="1"/>
  <c r="I88" i="57"/>
  <c r="P188" i="55" s="1"/>
  <c r="M87" i="57"/>
  <c r="T77" i="55" s="1"/>
  <c r="L87" i="57"/>
  <c r="S77" i="55" s="1"/>
  <c r="K87" i="57"/>
  <c r="R77" i="55" s="1"/>
  <c r="J87" i="57"/>
  <c r="Q77" i="55" s="1"/>
  <c r="I87" i="57"/>
  <c r="P77" i="55" s="1"/>
  <c r="M86" i="57"/>
  <c r="T76" i="55" s="1"/>
  <c r="L86" i="57"/>
  <c r="S76" i="55" s="1"/>
  <c r="K86" i="57"/>
  <c r="R76" i="55" s="1"/>
  <c r="J86" i="57"/>
  <c r="Q76" i="55" s="1"/>
  <c r="I86" i="57"/>
  <c r="P76" i="55" s="1"/>
  <c r="M85" i="57"/>
  <c r="T75" i="55" s="1"/>
  <c r="L85" i="57"/>
  <c r="S75" i="55" s="1"/>
  <c r="K85" i="57"/>
  <c r="R75" i="55" s="1"/>
  <c r="J85" i="57"/>
  <c r="Q75" i="55" s="1"/>
  <c r="I85" i="57"/>
  <c r="P75" i="55" s="1"/>
  <c r="M84" i="57"/>
  <c r="T182" i="55" s="1"/>
  <c r="L84" i="57"/>
  <c r="S182" i="55" s="1"/>
  <c r="K84" i="57"/>
  <c r="R182" i="55" s="1"/>
  <c r="J84" i="57"/>
  <c r="Q182" i="55" s="1"/>
  <c r="I84" i="57"/>
  <c r="P182" i="55" s="1"/>
  <c r="M83" i="57"/>
  <c r="T181" i="55" s="1"/>
  <c r="L83" i="57"/>
  <c r="S181" i="55" s="1"/>
  <c r="K83" i="57"/>
  <c r="R181" i="55" s="1"/>
  <c r="J83" i="57"/>
  <c r="Q181" i="55" s="1"/>
  <c r="I83" i="57"/>
  <c r="P181" i="55" s="1"/>
  <c r="M82" i="57"/>
  <c r="T180" i="55" s="1"/>
  <c r="L82" i="57"/>
  <c r="S180" i="55" s="1"/>
  <c r="K82" i="57"/>
  <c r="R180" i="55" s="1"/>
  <c r="J82" i="57"/>
  <c r="Q180" i="55" s="1"/>
  <c r="I82" i="57"/>
  <c r="P180" i="55" s="1"/>
  <c r="M81" i="57"/>
  <c r="T179" i="55" s="1"/>
  <c r="L81" i="57"/>
  <c r="S179" i="55" s="1"/>
  <c r="K81" i="57"/>
  <c r="R179" i="55" s="1"/>
  <c r="J81" i="57"/>
  <c r="Q179" i="55" s="1"/>
  <c r="I81" i="57"/>
  <c r="P179" i="55" s="1"/>
  <c r="M80" i="57"/>
  <c r="T178" i="55" s="1"/>
  <c r="L80" i="57"/>
  <c r="S178" i="55" s="1"/>
  <c r="K80" i="57"/>
  <c r="R178" i="55" s="1"/>
  <c r="J80" i="57"/>
  <c r="Q178" i="55" s="1"/>
  <c r="I80" i="57"/>
  <c r="P178" i="55" s="1"/>
  <c r="M79" i="57"/>
  <c r="T172" i="55" s="1"/>
  <c r="L79" i="57"/>
  <c r="S172" i="55" s="1"/>
  <c r="K79" i="57"/>
  <c r="R172" i="55" s="1"/>
  <c r="J79" i="57"/>
  <c r="Q172" i="55" s="1"/>
  <c r="I79" i="57"/>
  <c r="P172" i="55" s="1"/>
  <c r="M78" i="57"/>
  <c r="T171" i="55" s="1"/>
  <c r="L78" i="57"/>
  <c r="S171" i="55" s="1"/>
  <c r="K78" i="57"/>
  <c r="R171" i="55" s="1"/>
  <c r="J78" i="57"/>
  <c r="Q171" i="55" s="1"/>
  <c r="I78" i="57"/>
  <c r="P171" i="55" s="1"/>
  <c r="M77" i="57"/>
  <c r="T170" i="55" s="1"/>
  <c r="L77" i="57"/>
  <c r="S170" i="55" s="1"/>
  <c r="K77" i="57"/>
  <c r="R170" i="55" s="1"/>
  <c r="J77" i="57"/>
  <c r="Q170" i="55" s="1"/>
  <c r="I77" i="57"/>
  <c r="P170" i="55" s="1"/>
  <c r="M76" i="57"/>
  <c r="T164" i="55" s="1"/>
  <c r="L76" i="57"/>
  <c r="S164" i="55" s="1"/>
  <c r="K76" i="57"/>
  <c r="R164" i="55" s="1"/>
  <c r="J76" i="57"/>
  <c r="Q164" i="55" s="1"/>
  <c r="I76" i="57"/>
  <c r="P164" i="55" s="1"/>
  <c r="M75" i="57"/>
  <c r="T158" i="55" s="1"/>
  <c r="L75" i="57"/>
  <c r="S158" i="55" s="1"/>
  <c r="K75" i="57"/>
  <c r="R158" i="55" s="1"/>
  <c r="J75" i="57"/>
  <c r="Q158" i="55" s="1"/>
  <c r="I75" i="57"/>
  <c r="P158" i="55" s="1"/>
  <c r="M74" i="57"/>
  <c r="T152" i="55" s="1"/>
  <c r="L74" i="57"/>
  <c r="S152" i="55" s="1"/>
  <c r="K74" i="57"/>
  <c r="R152" i="55" s="1"/>
  <c r="J74" i="57"/>
  <c r="Q152" i="55" s="1"/>
  <c r="I74" i="57"/>
  <c r="P152" i="55" s="1"/>
  <c r="M73" i="57"/>
  <c r="T151" i="55" s="1"/>
  <c r="L73" i="57"/>
  <c r="S151" i="55" s="1"/>
  <c r="K73" i="57"/>
  <c r="R151" i="55" s="1"/>
  <c r="J73" i="57"/>
  <c r="Q151" i="55" s="1"/>
  <c r="I73" i="57"/>
  <c r="P151" i="55" s="1"/>
  <c r="M72" i="57"/>
  <c r="T150" i="55" s="1"/>
  <c r="L72" i="57"/>
  <c r="S150" i="55" s="1"/>
  <c r="K72" i="57"/>
  <c r="R150" i="55" s="1"/>
  <c r="J72" i="57"/>
  <c r="Q150" i="55" s="1"/>
  <c r="I72" i="57"/>
  <c r="P150" i="55" s="1"/>
  <c r="M71" i="57"/>
  <c r="T149" i="55" s="1"/>
  <c r="L71" i="57"/>
  <c r="S149" i="55" s="1"/>
  <c r="K71" i="57"/>
  <c r="R149" i="55" s="1"/>
  <c r="J71" i="57"/>
  <c r="Q149" i="55" s="1"/>
  <c r="I71" i="57"/>
  <c r="P149" i="55" s="1"/>
  <c r="M70" i="57"/>
  <c r="T148" i="55" s="1"/>
  <c r="L70" i="57"/>
  <c r="S148" i="55" s="1"/>
  <c r="K70" i="57"/>
  <c r="R148" i="55" s="1"/>
  <c r="J70" i="57"/>
  <c r="Q148" i="55" s="1"/>
  <c r="I70" i="57"/>
  <c r="P148" i="55" s="1"/>
  <c r="M69" i="57"/>
  <c r="T147" i="55" s="1"/>
  <c r="L69" i="57"/>
  <c r="S147" i="55" s="1"/>
  <c r="K69" i="57"/>
  <c r="R147" i="55" s="1"/>
  <c r="J69" i="57"/>
  <c r="Q147" i="55" s="1"/>
  <c r="I69" i="57"/>
  <c r="P147" i="55" s="1"/>
  <c r="M68" i="57"/>
  <c r="T141" i="55" s="1"/>
  <c r="L68" i="57"/>
  <c r="S141" i="55" s="1"/>
  <c r="K68" i="57"/>
  <c r="R141" i="55" s="1"/>
  <c r="J68" i="57"/>
  <c r="Q141" i="55" s="1"/>
  <c r="I68" i="57"/>
  <c r="P141" i="55" s="1"/>
  <c r="M67" i="57"/>
  <c r="T140" i="55" s="1"/>
  <c r="L67" i="57"/>
  <c r="S140" i="55" s="1"/>
  <c r="K67" i="57"/>
  <c r="R140" i="55" s="1"/>
  <c r="J67" i="57"/>
  <c r="Q140" i="55" s="1"/>
  <c r="I67" i="57"/>
  <c r="P140" i="55" s="1"/>
  <c r="M66" i="57"/>
  <c r="T139" i="55" s="1"/>
  <c r="L66" i="57"/>
  <c r="S139" i="55" s="1"/>
  <c r="K66" i="57"/>
  <c r="R139" i="55" s="1"/>
  <c r="J66" i="57"/>
  <c r="Q139" i="55" s="1"/>
  <c r="I66" i="57"/>
  <c r="P139" i="55" s="1"/>
  <c r="M65" i="57"/>
  <c r="T138" i="55" s="1"/>
  <c r="L65" i="57"/>
  <c r="S138" i="55" s="1"/>
  <c r="K65" i="57"/>
  <c r="R138" i="55" s="1"/>
  <c r="J65" i="57"/>
  <c r="Q138" i="55" s="1"/>
  <c r="I65" i="57"/>
  <c r="P138" i="55" s="1"/>
  <c r="M64" i="57"/>
  <c r="T137" i="55" s="1"/>
  <c r="L64" i="57"/>
  <c r="S137" i="55" s="1"/>
  <c r="K64" i="57"/>
  <c r="R137" i="55" s="1"/>
  <c r="J64" i="57"/>
  <c r="Q137" i="55" s="1"/>
  <c r="I64" i="57"/>
  <c r="P137" i="55" s="1"/>
  <c r="M63" i="57"/>
  <c r="T136" i="55" s="1"/>
  <c r="L63" i="57"/>
  <c r="S136" i="55" s="1"/>
  <c r="K63" i="57"/>
  <c r="R136" i="55" s="1"/>
  <c r="J63" i="57"/>
  <c r="Q136" i="55" s="1"/>
  <c r="I63" i="57"/>
  <c r="P136" i="55" s="1"/>
  <c r="M62" i="57"/>
  <c r="T135" i="55" s="1"/>
  <c r="L62" i="57"/>
  <c r="S135" i="55" s="1"/>
  <c r="K62" i="57"/>
  <c r="R135" i="55" s="1"/>
  <c r="J62" i="57"/>
  <c r="Q135" i="55" s="1"/>
  <c r="I62" i="57"/>
  <c r="P135" i="55" s="1"/>
  <c r="M61" i="57"/>
  <c r="T134" i="55" s="1"/>
  <c r="L61" i="57"/>
  <c r="S134" i="55" s="1"/>
  <c r="K61" i="57"/>
  <c r="R134" i="55" s="1"/>
  <c r="J61" i="57"/>
  <c r="Q134" i="55" s="1"/>
  <c r="I61" i="57"/>
  <c r="P134" i="55" s="1"/>
  <c r="M60" i="57"/>
  <c r="T133" i="55" s="1"/>
  <c r="L60" i="57"/>
  <c r="S133" i="55" s="1"/>
  <c r="K60" i="57"/>
  <c r="R133" i="55" s="1"/>
  <c r="J60" i="57"/>
  <c r="Q133" i="55" s="1"/>
  <c r="I60" i="57"/>
  <c r="P133" i="55" s="1"/>
  <c r="M59" i="57"/>
  <c r="T132" i="55" s="1"/>
  <c r="L59" i="57"/>
  <c r="S132" i="55" s="1"/>
  <c r="K59" i="57"/>
  <c r="R132" i="55" s="1"/>
  <c r="J59" i="57"/>
  <c r="Q132" i="55" s="1"/>
  <c r="I59" i="57"/>
  <c r="P132" i="55" s="1"/>
  <c r="M58" i="57"/>
  <c r="T131" i="55" s="1"/>
  <c r="L58" i="57"/>
  <c r="S131" i="55" s="1"/>
  <c r="K58" i="57"/>
  <c r="R131" i="55" s="1"/>
  <c r="J58" i="57"/>
  <c r="Q131" i="55" s="1"/>
  <c r="I58" i="57"/>
  <c r="P131" i="55" s="1"/>
  <c r="M57" i="57"/>
  <c r="T130" i="55" s="1"/>
  <c r="L57" i="57"/>
  <c r="S130" i="55" s="1"/>
  <c r="K57" i="57"/>
  <c r="R130" i="55" s="1"/>
  <c r="J57" i="57"/>
  <c r="Q130" i="55" s="1"/>
  <c r="I57" i="57"/>
  <c r="P130" i="55" s="1"/>
  <c r="M56" i="57"/>
  <c r="T129" i="55" s="1"/>
  <c r="L56" i="57"/>
  <c r="S129" i="55" s="1"/>
  <c r="K56" i="57"/>
  <c r="R129" i="55" s="1"/>
  <c r="J56" i="57"/>
  <c r="Q129" i="55" s="1"/>
  <c r="I56" i="57"/>
  <c r="P129" i="55" s="1"/>
  <c r="M55" i="57"/>
  <c r="T123" i="55" s="1"/>
  <c r="L55" i="57"/>
  <c r="S123" i="55" s="1"/>
  <c r="K55" i="57"/>
  <c r="R123" i="55" s="1"/>
  <c r="J55" i="57"/>
  <c r="Q123" i="55" s="1"/>
  <c r="I55" i="57"/>
  <c r="P123" i="55" s="1"/>
  <c r="M54" i="57"/>
  <c r="T122" i="55" s="1"/>
  <c r="L54" i="57"/>
  <c r="S122" i="55" s="1"/>
  <c r="K54" i="57"/>
  <c r="R122" i="55" s="1"/>
  <c r="J54" i="57"/>
  <c r="Q122" i="55" s="1"/>
  <c r="I54" i="57"/>
  <c r="P122" i="55" s="1"/>
  <c r="M53" i="57"/>
  <c r="T121" i="55" s="1"/>
  <c r="L53" i="57"/>
  <c r="S121" i="55" s="1"/>
  <c r="K53" i="57"/>
  <c r="R121" i="55" s="1"/>
  <c r="J53" i="57"/>
  <c r="Q121" i="55" s="1"/>
  <c r="I53" i="57"/>
  <c r="P121" i="55" s="1"/>
  <c r="M52" i="57"/>
  <c r="T120" i="55" s="1"/>
  <c r="L52" i="57"/>
  <c r="S120" i="55" s="1"/>
  <c r="K52" i="57"/>
  <c r="R120" i="55" s="1"/>
  <c r="J52" i="57"/>
  <c r="Q120" i="55" s="1"/>
  <c r="I52" i="57"/>
  <c r="P120" i="55" s="1"/>
  <c r="M51" i="57"/>
  <c r="T114" i="55" s="1"/>
  <c r="L51" i="57"/>
  <c r="S114" i="55" s="1"/>
  <c r="K51" i="57"/>
  <c r="R114" i="55" s="1"/>
  <c r="J51" i="57"/>
  <c r="Q114" i="55" s="1"/>
  <c r="I51" i="57"/>
  <c r="P114" i="55" s="1"/>
  <c r="M50" i="57"/>
  <c r="T113" i="55" s="1"/>
  <c r="L50" i="57"/>
  <c r="S113" i="55" s="1"/>
  <c r="K50" i="57"/>
  <c r="R113" i="55" s="1"/>
  <c r="J50" i="57"/>
  <c r="Q113" i="55" s="1"/>
  <c r="I50" i="57"/>
  <c r="P113" i="55" s="1"/>
  <c r="M49" i="57"/>
  <c r="T112" i="55" s="1"/>
  <c r="L49" i="57"/>
  <c r="S112" i="55" s="1"/>
  <c r="K49" i="57"/>
  <c r="R112" i="55" s="1"/>
  <c r="J49" i="57"/>
  <c r="Q112" i="55" s="1"/>
  <c r="I49" i="57"/>
  <c r="P112" i="55" s="1"/>
  <c r="M48" i="57"/>
  <c r="T111" i="55" s="1"/>
  <c r="L48" i="57"/>
  <c r="S111" i="55" s="1"/>
  <c r="K48" i="57"/>
  <c r="R111" i="55" s="1"/>
  <c r="J48" i="57"/>
  <c r="Q111" i="55" s="1"/>
  <c r="I48" i="57"/>
  <c r="P111" i="55" s="1"/>
  <c r="M47" i="57"/>
  <c r="T110" i="55" s="1"/>
  <c r="L47" i="57"/>
  <c r="S110" i="55" s="1"/>
  <c r="K47" i="57"/>
  <c r="R110" i="55" s="1"/>
  <c r="J47" i="57"/>
  <c r="Q110" i="55" s="1"/>
  <c r="I47" i="57"/>
  <c r="P110" i="55" s="1"/>
  <c r="M46" i="57"/>
  <c r="T109" i="55" s="1"/>
  <c r="L46" i="57"/>
  <c r="S109" i="55" s="1"/>
  <c r="K46" i="57"/>
  <c r="R109" i="55" s="1"/>
  <c r="J46" i="57"/>
  <c r="Q109" i="55" s="1"/>
  <c r="I46" i="57"/>
  <c r="P109" i="55" s="1"/>
  <c r="M45" i="57"/>
  <c r="T103" i="55" s="1"/>
  <c r="L45" i="57"/>
  <c r="S103" i="55" s="1"/>
  <c r="K45" i="57"/>
  <c r="R103" i="55" s="1"/>
  <c r="J45" i="57"/>
  <c r="Q103" i="55" s="1"/>
  <c r="I45" i="57"/>
  <c r="P103" i="55" s="1"/>
  <c r="M44" i="57"/>
  <c r="T102" i="55" s="1"/>
  <c r="L44" i="57"/>
  <c r="S102" i="55" s="1"/>
  <c r="K44" i="57"/>
  <c r="R102" i="55" s="1"/>
  <c r="J44" i="57"/>
  <c r="Q102" i="55" s="1"/>
  <c r="I44" i="57"/>
  <c r="P102" i="55" s="1"/>
  <c r="M43" i="57"/>
  <c r="T101" i="55" s="1"/>
  <c r="L43" i="57"/>
  <c r="S101" i="55" s="1"/>
  <c r="K43" i="57"/>
  <c r="R101" i="55" s="1"/>
  <c r="J43" i="57"/>
  <c r="Q101" i="55" s="1"/>
  <c r="I43" i="57"/>
  <c r="P101" i="55" s="1"/>
  <c r="M42" i="57"/>
  <c r="T100" i="55" s="1"/>
  <c r="L42" i="57"/>
  <c r="S100" i="55" s="1"/>
  <c r="K42" i="57"/>
  <c r="R100" i="55" s="1"/>
  <c r="J42" i="57"/>
  <c r="Q100" i="55" s="1"/>
  <c r="I42" i="57"/>
  <c r="P100" i="55" s="1"/>
  <c r="M41" i="57"/>
  <c r="T99" i="55" s="1"/>
  <c r="L41" i="57"/>
  <c r="S99" i="55" s="1"/>
  <c r="K41" i="57"/>
  <c r="R99" i="55" s="1"/>
  <c r="J41" i="57"/>
  <c r="Q99" i="55" s="1"/>
  <c r="I41" i="57"/>
  <c r="P99" i="55" s="1"/>
  <c r="M40" i="57"/>
  <c r="T98" i="55" s="1"/>
  <c r="L40" i="57"/>
  <c r="S98" i="55" s="1"/>
  <c r="K40" i="57"/>
  <c r="R98" i="55" s="1"/>
  <c r="J40" i="57"/>
  <c r="Q98" i="55" s="1"/>
  <c r="I40" i="57"/>
  <c r="P98" i="55" s="1"/>
  <c r="M39" i="57"/>
  <c r="T97" i="55" s="1"/>
  <c r="L39" i="57"/>
  <c r="S97" i="55" s="1"/>
  <c r="K39" i="57"/>
  <c r="R97" i="55" s="1"/>
  <c r="J39" i="57"/>
  <c r="Q97" i="55" s="1"/>
  <c r="I39" i="57"/>
  <c r="P97" i="55" s="1"/>
  <c r="M38" i="57"/>
  <c r="T96" i="55" s="1"/>
  <c r="L38" i="57"/>
  <c r="S96" i="55" s="1"/>
  <c r="K38" i="57"/>
  <c r="R96" i="55" s="1"/>
  <c r="J38" i="57"/>
  <c r="Q96" i="55" s="1"/>
  <c r="I38" i="57"/>
  <c r="P96" i="55" s="1"/>
  <c r="M37" i="57"/>
  <c r="T95" i="55" s="1"/>
  <c r="L37" i="57"/>
  <c r="S95" i="55" s="1"/>
  <c r="K37" i="57"/>
  <c r="R95" i="55" s="1"/>
  <c r="J37" i="57"/>
  <c r="Q95" i="55" s="1"/>
  <c r="I37" i="57"/>
  <c r="P95" i="55" s="1"/>
  <c r="M36" i="57"/>
  <c r="T94" i="55" s="1"/>
  <c r="L36" i="57"/>
  <c r="S94" i="55" s="1"/>
  <c r="K36" i="57"/>
  <c r="R94" i="55" s="1"/>
  <c r="J36" i="57"/>
  <c r="Q94" i="55" s="1"/>
  <c r="I36" i="57"/>
  <c r="P94" i="55" s="1"/>
  <c r="M35" i="57"/>
  <c r="T93" i="55" s="1"/>
  <c r="L35" i="57"/>
  <c r="S93" i="55" s="1"/>
  <c r="K35" i="57"/>
  <c r="R93" i="55" s="1"/>
  <c r="J35" i="57"/>
  <c r="Q93" i="55" s="1"/>
  <c r="I35" i="57"/>
  <c r="P93" i="55" s="1"/>
  <c r="M34" i="57"/>
  <c r="T92" i="55" s="1"/>
  <c r="L34" i="57"/>
  <c r="S92" i="55" s="1"/>
  <c r="K34" i="57"/>
  <c r="R92" i="55" s="1"/>
  <c r="J34" i="57"/>
  <c r="Q92" i="55" s="1"/>
  <c r="I34" i="57"/>
  <c r="P92" i="55" s="1"/>
  <c r="M33" i="57"/>
  <c r="T91" i="55" s="1"/>
  <c r="L33" i="57"/>
  <c r="S91" i="55" s="1"/>
  <c r="K33" i="57"/>
  <c r="R91" i="55" s="1"/>
  <c r="J33" i="57"/>
  <c r="Q91" i="55" s="1"/>
  <c r="I33" i="57"/>
  <c r="P91" i="55" s="1"/>
  <c r="M32" i="57"/>
  <c r="T90" i="55" s="1"/>
  <c r="L32" i="57"/>
  <c r="S90" i="55" s="1"/>
  <c r="K32" i="57"/>
  <c r="R90" i="55" s="1"/>
  <c r="J32" i="57"/>
  <c r="Q90" i="55" s="1"/>
  <c r="I32" i="57"/>
  <c r="P90" i="55" s="1"/>
  <c r="M31" i="57"/>
  <c r="T89" i="55" s="1"/>
  <c r="L31" i="57"/>
  <c r="S89" i="55" s="1"/>
  <c r="K31" i="57"/>
  <c r="R89" i="55" s="1"/>
  <c r="J31" i="57"/>
  <c r="Q89" i="55" s="1"/>
  <c r="I31" i="57"/>
  <c r="P89" i="55" s="1"/>
  <c r="M30" i="57"/>
  <c r="T88" i="55" s="1"/>
  <c r="L30" i="57"/>
  <c r="S88" i="55" s="1"/>
  <c r="K30" i="57"/>
  <c r="R88" i="55" s="1"/>
  <c r="J30" i="57"/>
  <c r="Q88" i="55" s="1"/>
  <c r="I30" i="57"/>
  <c r="P88" i="55" s="1"/>
  <c r="M29" i="57"/>
  <c r="T87" i="55" s="1"/>
  <c r="L29" i="57"/>
  <c r="S87" i="55" s="1"/>
  <c r="K29" i="57"/>
  <c r="R87" i="55" s="1"/>
  <c r="J29" i="57"/>
  <c r="Q87" i="55" s="1"/>
  <c r="I29" i="57"/>
  <c r="P87" i="55" s="1"/>
  <c r="M28" i="57"/>
  <c r="T86" i="55" s="1"/>
  <c r="L28" i="57"/>
  <c r="S86" i="55" s="1"/>
  <c r="K28" i="57"/>
  <c r="R86" i="55" s="1"/>
  <c r="J28" i="57"/>
  <c r="Q86" i="55" s="1"/>
  <c r="I28" i="57"/>
  <c r="P86" i="55" s="1"/>
  <c r="M27" i="57"/>
  <c r="T85" i="55" s="1"/>
  <c r="L27" i="57"/>
  <c r="S85" i="55" s="1"/>
  <c r="K27" i="57"/>
  <c r="R85" i="55" s="1"/>
  <c r="J27" i="57"/>
  <c r="Q85" i="55" s="1"/>
  <c r="I27" i="57"/>
  <c r="P85" i="55" s="1"/>
  <c r="M26" i="57"/>
  <c r="T84" i="55" s="1"/>
  <c r="L26" i="57"/>
  <c r="S84" i="55" s="1"/>
  <c r="K26" i="57"/>
  <c r="R84" i="55" s="1"/>
  <c r="J26" i="57"/>
  <c r="Q84" i="55" s="1"/>
  <c r="I26" i="57"/>
  <c r="P84" i="55" s="1"/>
  <c r="M25" i="57"/>
  <c r="T83" i="55" s="1"/>
  <c r="L25" i="57"/>
  <c r="S83" i="55" s="1"/>
  <c r="K25" i="57"/>
  <c r="R83" i="55" s="1"/>
  <c r="J25" i="57"/>
  <c r="Q83" i="55" s="1"/>
  <c r="I25" i="57"/>
  <c r="P83" i="55" s="1"/>
  <c r="M24" i="57"/>
  <c r="T69" i="55" s="1"/>
  <c r="L24" i="57"/>
  <c r="S69" i="55" s="1"/>
  <c r="K24" i="57"/>
  <c r="R69" i="55" s="1"/>
  <c r="J24" i="57"/>
  <c r="Q69" i="55" s="1"/>
  <c r="I24" i="57"/>
  <c r="P69" i="55" s="1"/>
  <c r="M23" i="57"/>
  <c r="T68" i="55" s="1"/>
  <c r="L23" i="57"/>
  <c r="S68" i="55" s="1"/>
  <c r="K23" i="57"/>
  <c r="R68" i="55" s="1"/>
  <c r="J23" i="57"/>
  <c r="Q68" i="55" s="1"/>
  <c r="I23" i="57"/>
  <c r="P68" i="55" s="1"/>
  <c r="M22" i="57"/>
  <c r="T67" i="55" s="1"/>
  <c r="L22" i="57"/>
  <c r="S67" i="55" s="1"/>
  <c r="K22" i="57"/>
  <c r="R67" i="55" s="1"/>
  <c r="J22" i="57"/>
  <c r="Q67" i="55" s="1"/>
  <c r="I22" i="57"/>
  <c r="P67" i="55" s="1"/>
  <c r="M21" i="57"/>
  <c r="T66" i="55" s="1"/>
  <c r="L21" i="57"/>
  <c r="S66" i="55" s="1"/>
  <c r="K21" i="57"/>
  <c r="R66" i="55" s="1"/>
  <c r="J21" i="57"/>
  <c r="Q66" i="55" s="1"/>
  <c r="I21" i="57"/>
  <c r="P66" i="55" s="1"/>
  <c r="M20" i="57"/>
  <c r="T65" i="55" s="1"/>
  <c r="L20" i="57"/>
  <c r="S65" i="55" s="1"/>
  <c r="K20" i="57"/>
  <c r="R65" i="55" s="1"/>
  <c r="J20" i="57"/>
  <c r="Q65" i="55" s="1"/>
  <c r="I20" i="57"/>
  <c r="P65" i="55" s="1"/>
  <c r="M19" i="57"/>
  <c r="T59" i="55" s="1"/>
  <c r="L19" i="57"/>
  <c r="S59" i="55" s="1"/>
  <c r="K19" i="57"/>
  <c r="R59" i="55" s="1"/>
  <c r="J19" i="57"/>
  <c r="Q59" i="55" s="1"/>
  <c r="I19" i="57"/>
  <c r="P59" i="55" s="1"/>
  <c r="M18" i="57"/>
  <c r="T58" i="55" s="1"/>
  <c r="L18" i="57"/>
  <c r="S58" i="55" s="1"/>
  <c r="K18" i="57"/>
  <c r="R58" i="55" s="1"/>
  <c r="J18" i="57"/>
  <c r="Q58" i="55" s="1"/>
  <c r="I18" i="57"/>
  <c r="P58" i="55" s="1"/>
  <c r="M17" i="57"/>
  <c r="T57" i="55" s="1"/>
  <c r="L17" i="57"/>
  <c r="S57" i="55" s="1"/>
  <c r="K17" i="57"/>
  <c r="R57" i="55" s="1"/>
  <c r="J17" i="57"/>
  <c r="Q57" i="55" s="1"/>
  <c r="I17" i="57"/>
  <c r="P57" i="55" s="1"/>
  <c r="M16" i="57"/>
  <c r="T56" i="55" s="1"/>
  <c r="L16" i="57"/>
  <c r="S56" i="55" s="1"/>
  <c r="K16" i="57"/>
  <c r="R56" i="55" s="1"/>
  <c r="J16" i="57"/>
  <c r="Q56" i="55" s="1"/>
  <c r="I16" i="57"/>
  <c r="P56" i="55" s="1"/>
  <c r="M15" i="57"/>
  <c r="T55" i="55" s="1"/>
  <c r="L15" i="57"/>
  <c r="S55" i="55" s="1"/>
  <c r="K15" i="57"/>
  <c r="R55" i="55" s="1"/>
  <c r="J15" i="57"/>
  <c r="Q55" i="55" s="1"/>
  <c r="I15" i="57"/>
  <c r="P55" i="55" s="1"/>
  <c r="M14" i="57"/>
  <c r="T54" i="55" s="1"/>
  <c r="L14" i="57"/>
  <c r="S54" i="55" s="1"/>
  <c r="K14" i="57"/>
  <c r="R54" i="55" s="1"/>
  <c r="J14" i="57"/>
  <c r="Q54" i="55" s="1"/>
  <c r="I14" i="57"/>
  <c r="P54" i="55" s="1"/>
  <c r="M13" i="57"/>
  <c r="T48" i="55" s="1"/>
  <c r="L13" i="57"/>
  <c r="S48" i="55" s="1"/>
  <c r="K13" i="57"/>
  <c r="R48" i="55" s="1"/>
  <c r="J13" i="57"/>
  <c r="Q48" i="55" s="1"/>
  <c r="I13" i="57"/>
  <c r="P48" i="55" s="1"/>
  <c r="M12" i="57"/>
  <c r="T47" i="55" s="1"/>
  <c r="L12" i="57"/>
  <c r="S47" i="55" s="1"/>
  <c r="K12" i="57"/>
  <c r="R47" i="55" s="1"/>
  <c r="J12" i="57"/>
  <c r="Q47" i="55" s="1"/>
  <c r="I12" i="57"/>
  <c r="P47" i="55" s="1"/>
  <c r="M11" i="57"/>
  <c r="T46" i="55" s="1"/>
  <c r="L11" i="57"/>
  <c r="S46" i="55" s="1"/>
  <c r="K11" i="57"/>
  <c r="R46" i="55" s="1"/>
  <c r="J11" i="57"/>
  <c r="Q46" i="55" s="1"/>
  <c r="I11" i="57"/>
  <c r="P46" i="55" s="1"/>
  <c r="M10" i="57"/>
  <c r="T40" i="55" s="1"/>
  <c r="L10" i="57"/>
  <c r="S40" i="55" s="1"/>
  <c r="K10" i="57"/>
  <c r="R40" i="55" s="1"/>
  <c r="J10" i="57"/>
  <c r="Q40" i="55" s="1"/>
  <c r="I10" i="57"/>
  <c r="P40" i="55" s="1"/>
  <c r="M9" i="57"/>
  <c r="T39" i="55" s="1"/>
  <c r="L9" i="57"/>
  <c r="S39" i="55" s="1"/>
  <c r="K9" i="57"/>
  <c r="R39" i="55" s="1"/>
  <c r="J9" i="57"/>
  <c r="Q39" i="55" s="1"/>
  <c r="I9" i="57"/>
  <c r="P39" i="55" s="1"/>
  <c r="M8" i="57"/>
  <c r="T38" i="55" s="1"/>
  <c r="L8" i="57"/>
  <c r="S38" i="55" s="1"/>
  <c r="K8" i="57"/>
  <c r="R38" i="55" s="1"/>
  <c r="J8" i="57"/>
  <c r="Q38" i="55" s="1"/>
  <c r="I8" i="57"/>
  <c r="P38" i="55" s="1"/>
  <c r="M7" i="57"/>
  <c r="T37" i="55" s="1"/>
  <c r="L7" i="57"/>
  <c r="S37" i="55" s="1"/>
  <c r="K7" i="57"/>
  <c r="R37" i="55" s="1"/>
  <c r="J7" i="57"/>
  <c r="Q37" i="55" s="1"/>
  <c r="I7" i="57"/>
  <c r="P37" i="55" s="1"/>
  <c r="M5" i="57"/>
  <c r="T35" i="55" s="1"/>
  <c r="L5" i="57"/>
  <c r="S35" i="55" s="1"/>
  <c r="K5" i="57"/>
  <c r="R35" i="55" s="1"/>
  <c r="J5" i="57"/>
  <c r="Q35" i="55" s="1"/>
  <c r="I5" i="57"/>
  <c r="P35" i="55" s="1"/>
  <c r="L6" i="57"/>
  <c r="S36" i="55" s="1"/>
  <c r="K6" i="57"/>
  <c r="R36" i="55" s="1"/>
  <c r="J6" i="57"/>
  <c r="Q36" i="55" s="1"/>
  <c r="I6" i="57"/>
  <c r="P36" i="55" s="1"/>
  <c r="M6" i="57"/>
  <c r="T36" i="55" s="1"/>
  <c r="E45" i="57" l="1"/>
  <c r="C103" i="55" s="1"/>
  <c r="E38" i="57"/>
  <c r="C96" i="55" s="1"/>
  <c r="E39" i="57"/>
  <c r="C97" i="55" s="1"/>
  <c r="E40" i="57"/>
  <c r="C98" i="55" s="1"/>
  <c r="E41" i="57"/>
  <c r="C99" i="55" s="1"/>
  <c r="E42" i="57"/>
  <c r="C100" i="55" s="1"/>
  <c r="E43" i="57"/>
  <c r="C101" i="55" s="1"/>
  <c r="E44" i="57"/>
  <c r="C102" i="55" s="1"/>
  <c r="E35" i="57"/>
  <c r="C93" i="55" s="1"/>
  <c r="E36" i="57"/>
  <c r="C94" i="55" s="1"/>
  <c r="E37" i="57"/>
  <c r="C95" i="55" s="1"/>
  <c r="E26" i="57"/>
  <c r="C84" i="55" s="1"/>
  <c r="E27" i="57"/>
  <c r="C85" i="55" s="1"/>
  <c r="E28" i="57"/>
  <c r="E29" i="57"/>
  <c r="C87" i="55" s="1"/>
  <c r="E30" i="57"/>
  <c r="C88" i="55" s="1"/>
  <c r="E31" i="57"/>
  <c r="E32" i="57"/>
  <c r="E33" i="57"/>
  <c r="C91" i="55" s="1"/>
  <c r="E34" i="57"/>
  <c r="C92" i="55" s="1"/>
  <c r="E25" i="57"/>
  <c r="C83" i="55" s="1"/>
  <c r="E93" i="57"/>
  <c r="C198" i="55" s="1"/>
  <c r="E94" i="57"/>
  <c r="C199" i="55" s="1"/>
  <c r="E95" i="57"/>
  <c r="C200" i="55" s="1"/>
  <c r="E96" i="57"/>
  <c r="C201" i="55" s="1"/>
  <c r="E97" i="57"/>
  <c r="C202" i="55" s="1"/>
  <c r="E98" i="57"/>
  <c r="C203" i="55" s="1"/>
  <c r="E99" i="57"/>
  <c r="C204" i="55" s="1"/>
  <c r="E92" i="57"/>
  <c r="C197" i="55" s="1"/>
  <c r="E89" i="57"/>
  <c r="C189" i="55" s="1"/>
  <c r="E90" i="57"/>
  <c r="C190" i="55" s="1"/>
  <c r="E91" i="57"/>
  <c r="C191" i="55" s="1"/>
  <c r="E88" i="57"/>
  <c r="C188" i="55" s="1"/>
  <c r="E86" i="57"/>
  <c r="C76" i="55" s="1"/>
  <c r="E87" i="57"/>
  <c r="C77" i="55" s="1"/>
  <c r="E85" i="57"/>
  <c r="C75" i="55" s="1"/>
  <c r="E81" i="57"/>
  <c r="C179" i="55" s="1"/>
  <c r="E82" i="57"/>
  <c r="C180" i="55" s="1"/>
  <c r="E83" i="57"/>
  <c r="C181" i="55" s="1"/>
  <c r="E84" i="57"/>
  <c r="C182" i="55" s="1"/>
  <c r="E80" i="57"/>
  <c r="C178" i="55" s="1"/>
  <c r="E78" i="57"/>
  <c r="C171" i="55" s="1"/>
  <c r="E79" i="57"/>
  <c r="C172" i="55" s="1"/>
  <c r="E77" i="57"/>
  <c r="C170" i="55" s="1"/>
  <c r="E76" i="57"/>
  <c r="C164" i="55" s="1"/>
  <c r="E75" i="57"/>
  <c r="C158" i="55" s="1"/>
  <c r="E70" i="57" l="1"/>
  <c r="C148" i="55" s="1"/>
  <c r="E71" i="57"/>
  <c r="C149" i="55" s="1"/>
  <c r="E72" i="57"/>
  <c r="C150" i="55" s="1"/>
  <c r="E73" i="57"/>
  <c r="C151" i="55" s="1"/>
  <c r="E74" i="57"/>
  <c r="C152" i="55" s="1"/>
  <c r="E69" i="57"/>
  <c r="C147" i="55" s="1"/>
  <c r="E66" i="57"/>
  <c r="C139" i="55" s="1"/>
  <c r="E67" i="57"/>
  <c r="C140" i="55" s="1"/>
  <c r="E68" i="57"/>
  <c r="C141" i="55" s="1"/>
  <c r="E61" i="57"/>
  <c r="C134" i="55" s="1"/>
  <c r="E62" i="57"/>
  <c r="C135" i="55" s="1"/>
  <c r="E63" i="57"/>
  <c r="C136" i="55" s="1"/>
  <c r="E64" i="57"/>
  <c r="C137" i="55" s="1"/>
  <c r="E65" i="57"/>
  <c r="C138" i="55" s="1"/>
  <c r="E57" i="57"/>
  <c r="C130" i="55" s="1"/>
  <c r="E58" i="57"/>
  <c r="C131" i="55" s="1"/>
  <c r="E59" i="57"/>
  <c r="C132" i="55" s="1"/>
  <c r="E60" i="57"/>
  <c r="C133" i="55" s="1"/>
  <c r="E56" i="57"/>
  <c r="C129" i="55" s="1"/>
  <c r="E53" i="57"/>
  <c r="C121" i="55" s="1"/>
  <c r="E54" i="57"/>
  <c r="C122" i="55" s="1"/>
  <c r="E55" i="57"/>
  <c r="C123" i="55" s="1"/>
  <c r="E52" i="57"/>
  <c r="C120" i="55" s="1"/>
  <c r="E47" i="57"/>
  <c r="C110" i="55" s="1"/>
  <c r="E48" i="57"/>
  <c r="C111" i="55" s="1"/>
  <c r="E49" i="57"/>
  <c r="C112" i="55" s="1"/>
  <c r="E50" i="57"/>
  <c r="C113" i="55" s="1"/>
  <c r="E51" i="57"/>
  <c r="C114" i="55" s="1"/>
  <c r="E46" i="57"/>
  <c r="C109" i="55" s="1"/>
  <c r="E21" i="57"/>
  <c r="C66" i="55" s="1"/>
  <c r="E22" i="57"/>
  <c r="C67" i="55" s="1"/>
  <c r="E23" i="57"/>
  <c r="C68" i="55" s="1"/>
  <c r="E24" i="57"/>
  <c r="C69" i="55" s="1"/>
  <c r="E20" i="57"/>
  <c r="C65" i="55" s="1"/>
  <c r="E15" i="57"/>
  <c r="C55" i="55" s="1"/>
  <c r="E16" i="57"/>
  <c r="C56" i="55" s="1"/>
  <c r="E17" i="57"/>
  <c r="C57" i="55" s="1"/>
  <c r="E18" i="57"/>
  <c r="C58" i="55" s="1"/>
  <c r="E19" i="57"/>
  <c r="C59" i="55" s="1"/>
  <c r="E14" i="57"/>
  <c r="C54" i="55" s="1"/>
  <c r="E12" i="57"/>
  <c r="C47" i="55" s="1"/>
  <c r="E13" i="57"/>
  <c r="C48" i="55" s="1"/>
  <c r="E11" i="57"/>
  <c r="C46" i="55" s="1"/>
  <c r="E6" i="57"/>
  <c r="C36" i="55" s="1"/>
  <c r="E7" i="57"/>
  <c r="C37" i="55" s="1"/>
  <c r="E8" i="57"/>
  <c r="C38" i="55" s="1"/>
  <c r="E9" i="57"/>
  <c r="C39" i="55" s="1"/>
  <c r="E10" i="57"/>
  <c r="C40" i="55" s="1"/>
  <c r="E5" i="57"/>
  <c r="C35" i="55" s="1"/>
  <c r="AP14" i="54" l="1"/>
  <c r="AH14" i="54"/>
  <c r="Z14" i="54"/>
  <c r="R14" i="54"/>
  <c r="L198" i="55" l="1"/>
  <c r="AP23" i="47"/>
  <c r="AP22" i="47"/>
  <c r="AP21" i="47"/>
  <c r="AP20" i="47"/>
  <c r="AP19" i="47"/>
  <c r="AH23" i="47"/>
  <c r="AH22" i="47"/>
  <c r="AH21" i="47"/>
  <c r="AH20" i="47"/>
  <c r="AH19" i="47"/>
  <c r="AO17" i="43" l="1"/>
  <c r="Q17" i="43"/>
  <c r="G113" i="55" s="1"/>
  <c r="AQ17" i="43" l="1"/>
  <c r="AH17" i="43" s="1"/>
  <c r="H113" i="55" s="1"/>
  <c r="Z17" i="43" l="1"/>
  <c r="R17" i="43"/>
  <c r="AR17" i="43"/>
  <c r="J113" i="55" s="1"/>
  <c r="E113" i="55"/>
  <c r="L113" i="55" l="1"/>
  <c r="B6" i="57"/>
  <c r="B7" i="57" s="1"/>
  <c r="B8" i="57" s="1"/>
  <c r="B9" i="57" s="1"/>
  <c r="B10" i="57" s="1"/>
  <c r="B11" i="57" s="1"/>
  <c r="B12" i="57" s="1"/>
  <c r="B13" i="57" s="1"/>
  <c r="B14" i="57" s="1"/>
  <c r="B15" i="57" s="1"/>
  <c r="B16" i="57" s="1"/>
  <c r="B17" i="57" s="1"/>
  <c r="B18" i="57" s="1"/>
  <c r="B19" i="57" s="1"/>
  <c r="B20" i="57" s="1"/>
  <c r="B21" i="57" s="1"/>
  <c r="B22" i="57" s="1"/>
  <c r="B23" i="57" s="1"/>
  <c r="B24" i="57" s="1"/>
  <c r="B25" i="57" l="1"/>
  <c r="B26" i="57" s="1"/>
  <c r="B27" i="57" s="1"/>
  <c r="B30" i="57" s="1"/>
  <c r="B35" i="57" s="1"/>
  <c r="B36" i="57" s="1"/>
  <c r="B37" i="57" s="1"/>
  <c r="B38" i="57" s="1"/>
  <c r="B39" i="57" s="1"/>
  <c r="B40" i="57" s="1"/>
  <c r="B41" i="57" s="1"/>
  <c r="B42" i="57" s="1"/>
  <c r="B43" i="57" s="1"/>
  <c r="B44" i="57" s="1"/>
  <c r="B45" i="57" s="1"/>
  <c r="B46" i="57" s="1"/>
  <c r="B47" i="57" s="1"/>
  <c r="B48" i="57" s="1"/>
  <c r="B49" i="57" s="1"/>
  <c r="B50" i="57" s="1"/>
  <c r="B51" i="57" s="1"/>
  <c r="B52" i="57" s="1"/>
  <c r="B53" i="57" s="1"/>
  <c r="B54" i="57" s="1"/>
  <c r="B55" i="57" s="1"/>
  <c r="B56" i="57" s="1"/>
  <c r="B57" i="57" s="1"/>
  <c r="B58" i="57" s="1"/>
  <c r="B59" i="57" s="1"/>
  <c r="B60" i="57" s="1"/>
  <c r="B61" i="57" s="1"/>
  <c r="B62" i="57" s="1"/>
  <c r="B63" i="57" s="1"/>
  <c r="B64" i="57" s="1"/>
  <c r="B65" i="57" s="1"/>
  <c r="B66" i="57" s="1"/>
  <c r="B67" i="57" s="1"/>
  <c r="B68" i="57" s="1"/>
  <c r="B69" i="57" s="1"/>
  <c r="B70" i="57" s="1"/>
  <c r="B71" i="57" s="1"/>
  <c r="B72" i="57" s="1"/>
  <c r="B73" i="57" s="1"/>
  <c r="B74" i="57" s="1"/>
  <c r="B75" i="57" s="1"/>
  <c r="B76" i="57" s="1"/>
  <c r="B77" i="57" l="1"/>
  <c r="B78" i="57" s="1"/>
  <c r="B79" i="57" s="1"/>
  <c r="K196" i="55"/>
  <c r="F196" i="55"/>
  <c r="K187" i="55"/>
  <c r="F187" i="55"/>
  <c r="K177" i="55"/>
  <c r="F177" i="55"/>
  <c r="K169" i="55"/>
  <c r="F169" i="55"/>
  <c r="K163" i="55"/>
  <c r="F163" i="55"/>
  <c r="K157" i="55"/>
  <c r="F157" i="55"/>
  <c r="K146" i="55"/>
  <c r="F146" i="55"/>
  <c r="K128" i="55"/>
  <c r="F128" i="55"/>
  <c r="K119" i="55"/>
  <c r="F119" i="55"/>
  <c r="K108" i="55"/>
  <c r="F108" i="55"/>
  <c r="K82" i="55"/>
  <c r="F82" i="55"/>
  <c r="K64" i="55"/>
  <c r="F64" i="55"/>
  <c r="K45" i="55"/>
  <c r="F45" i="55"/>
  <c r="B80" i="57" l="1"/>
  <c r="B81" i="57" s="1"/>
  <c r="B82" i="57" s="1"/>
  <c r="B83" i="57" s="1"/>
  <c r="B84" i="57" s="1"/>
  <c r="B85" i="57" s="1"/>
  <c r="B86" i="57" s="1"/>
  <c r="B87" i="57" s="1"/>
  <c r="B88" i="57" s="1"/>
  <c r="B89" i="57" s="1"/>
  <c r="B90" i="57" s="1"/>
  <c r="B91" i="57" s="1"/>
  <c r="B92" i="57" s="1"/>
  <c r="B93" i="57" s="1"/>
  <c r="B94" i="57" s="1"/>
  <c r="B95" i="57" s="1"/>
  <c r="B96" i="57" s="1"/>
  <c r="B97" i="57" s="1"/>
  <c r="B98" i="57" s="1"/>
  <c r="B99" i="57" s="1"/>
  <c r="B100" i="57" s="1"/>
  <c r="B101" i="57" s="1"/>
  <c r="B102" i="57" s="1"/>
  <c r="B103" i="57" s="1"/>
  <c r="B104" i="57" s="1"/>
  <c r="B105" i="57" s="1"/>
  <c r="B106" i="57" s="1"/>
  <c r="B107" i="57" s="1"/>
  <c r="B108" i="57" s="1"/>
  <c r="B109" i="57" s="1"/>
  <c r="K198" i="55"/>
  <c r="AH14" i="40" l="1"/>
  <c r="AH13" i="40"/>
  <c r="AH15" i="40"/>
  <c r="AG15" i="40"/>
  <c r="R14" i="40"/>
  <c r="R13" i="40"/>
  <c r="AP18" i="43"/>
  <c r="AO18" i="43"/>
  <c r="AH18" i="43"/>
  <c r="AG18" i="43"/>
  <c r="Z18" i="43"/>
  <c r="Y18" i="43"/>
  <c r="R18" i="43"/>
  <c r="Q18" i="43"/>
  <c r="AP16" i="43"/>
  <c r="AO16" i="43"/>
  <c r="AH16" i="43"/>
  <c r="AG16" i="43"/>
  <c r="Z16" i="43"/>
  <c r="Y16" i="43"/>
  <c r="R16" i="43"/>
  <c r="Q16" i="43"/>
  <c r="AP20" i="41"/>
  <c r="AO20" i="41"/>
  <c r="AH20" i="41"/>
  <c r="AG20" i="41"/>
  <c r="Z20" i="41"/>
  <c r="Y20" i="41"/>
  <c r="R20" i="41"/>
  <c r="Q20" i="41"/>
  <c r="AP16" i="41"/>
  <c r="AO16" i="41"/>
  <c r="AH16" i="41"/>
  <c r="AG16" i="41"/>
  <c r="Z16" i="41"/>
  <c r="Y16" i="41"/>
  <c r="R16" i="41"/>
  <c r="Q16" i="41"/>
  <c r="AO18" i="39"/>
  <c r="AG18" i="39"/>
  <c r="Y18" i="39"/>
  <c r="Q18" i="39"/>
  <c r="AP16" i="39"/>
  <c r="AO16" i="39"/>
  <c r="AH16" i="39"/>
  <c r="AG16" i="39"/>
  <c r="Z16" i="39"/>
  <c r="Y16" i="39"/>
  <c r="R16" i="39"/>
  <c r="Q16" i="39"/>
  <c r="R15" i="39"/>
  <c r="Q15" i="39"/>
  <c r="Z15" i="39"/>
  <c r="Y15" i="39"/>
  <c r="AH15" i="39"/>
  <c r="AG15" i="39"/>
  <c r="AP15" i="39"/>
  <c r="AO15" i="39"/>
  <c r="AP15" i="53"/>
  <c r="AO15" i="53"/>
  <c r="AH15" i="53"/>
  <c r="AG15" i="53"/>
  <c r="Z15" i="53"/>
  <c r="Y15" i="53"/>
  <c r="R15" i="53"/>
  <c r="Q15" i="53"/>
  <c r="AP14" i="53"/>
  <c r="AO14" i="53"/>
  <c r="AH14" i="53"/>
  <c r="AG14" i="53"/>
  <c r="Z14" i="53"/>
  <c r="Y14" i="53"/>
  <c r="R14" i="53"/>
  <c r="Q14" i="53"/>
  <c r="AP13" i="53"/>
  <c r="AO13" i="53"/>
  <c r="AH13" i="53"/>
  <c r="AG13" i="53"/>
  <c r="Z13" i="53"/>
  <c r="Y13" i="53"/>
  <c r="R13" i="53"/>
  <c r="Q13" i="53"/>
  <c r="AP15" i="40"/>
  <c r="AO15" i="40"/>
  <c r="Z15" i="40"/>
  <c r="Y15" i="40"/>
  <c r="R15" i="40"/>
  <c r="Q15" i="40"/>
  <c r="AP14" i="40"/>
  <c r="AO14" i="40"/>
  <c r="AG14" i="40"/>
  <c r="Y14" i="40"/>
  <c r="Q14" i="40"/>
  <c r="AP13" i="40"/>
  <c r="AO13" i="40"/>
  <c r="AG13" i="40"/>
  <c r="Z13" i="40"/>
  <c r="Y13" i="40"/>
  <c r="Q13" i="40"/>
  <c r="AP17" i="39"/>
  <c r="AO17" i="39"/>
  <c r="AH17" i="39"/>
  <c r="AG17" i="39"/>
  <c r="Z17" i="39"/>
  <c r="Y17" i="39"/>
  <c r="R17" i="39"/>
  <c r="Q17" i="39"/>
  <c r="AP14" i="39"/>
  <c r="AO14" i="39"/>
  <c r="AH14" i="39"/>
  <c r="AG14" i="39"/>
  <c r="Z14" i="39"/>
  <c r="Y14" i="39"/>
  <c r="R14" i="39"/>
  <c r="Q14" i="39"/>
  <c r="AP13" i="39"/>
  <c r="AO13" i="39"/>
  <c r="AH13" i="39"/>
  <c r="AG13" i="39"/>
  <c r="Z13" i="39"/>
  <c r="Y13" i="39"/>
  <c r="R13" i="39"/>
  <c r="Q13" i="39"/>
  <c r="AO18" i="38"/>
  <c r="AO17" i="38"/>
  <c r="AG18" i="38"/>
  <c r="AG17" i="38"/>
  <c r="Y18" i="38"/>
  <c r="Y17" i="38"/>
  <c r="Q18" i="38"/>
  <c r="Q17" i="38"/>
  <c r="AP16" i="38"/>
  <c r="AO16" i="38"/>
  <c r="AH16" i="38"/>
  <c r="AG16" i="38"/>
  <c r="Z16" i="38"/>
  <c r="Y16" i="38"/>
  <c r="R16" i="38"/>
  <c r="Q16" i="38"/>
  <c r="AP15" i="38"/>
  <c r="AO15" i="38"/>
  <c r="AH15" i="38"/>
  <c r="AG15" i="38"/>
  <c r="Z15" i="38"/>
  <c r="Y15" i="38"/>
  <c r="R15" i="38"/>
  <c r="Q15" i="38"/>
  <c r="AP14" i="38"/>
  <c r="AO14" i="38"/>
  <c r="AH14" i="38"/>
  <c r="AG14" i="38"/>
  <c r="Z14" i="38"/>
  <c r="Y14" i="38"/>
  <c r="R14" i="38"/>
  <c r="Q14" i="38"/>
  <c r="AP13" i="38"/>
  <c r="AO13" i="38"/>
  <c r="AH13" i="38"/>
  <c r="AG13" i="38"/>
  <c r="Z13" i="38"/>
  <c r="Y13" i="38"/>
  <c r="R13" i="38"/>
  <c r="Q13" i="38"/>
  <c r="AR14" i="54"/>
  <c r="AQ14" i="54"/>
  <c r="E198" i="55" s="1"/>
  <c r="AP20" i="54"/>
  <c r="AO20" i="54"/>
  <c r="AH20" i="54"/>
  <c r="AG20" i="54"/>
  <c r="Z20" i="54"/>
  <c r="Y20" i="54"/>
  <c r="R20" i="54"/>
  <c r="Q20" i="54"/>
  <c r="AP19" i="54"/>
  <c r="AH19" i="54"/>
  <c r="AG19" i="54"/>
  <c r="Z19" i="54"/>
  <c r="Y19" i="54"/>
  <c r="R19" i="54"/>
  <c r="Q19" i="54"/>
  <c r="AP18" i="54"/>
  <c r="AO18" i="54"/>
  <c r="AH18" i="54"/>
  <c r="AG18" i="54"/>
  <c r="Z18" i="54"/>
  <c r="Y18" i="54"/>
  <c r="R18" i="54"/>
  <c r="Q18" i="54"/>
  <c r="AP17" i="54"/>
  <c r="AH17" i="54"/>
  <c r="AG17" i="54"/>
  <c r="Z17" i="54"/>
  <c r="Y17" i="54"/>
  <c r="R17" i="54"/>
  <c r="AP16" i="54"/>
  <c r="AH16" i="54"/>
  <c r="AG16" i="54"/>
  <c r="Z16" i="54"/>
  <c r="Y16" i="54"/>
  <c r="R16" i="54"/>
  <c r="Q16" i="54"/>
  <c r="AP15" i="54"/>
  <c r="AO15" i="54"/>
  <c r="AH15" i="54"/>
  <c r="AG15" i="54"/>
  <c r="Z15" i="54"/>
  <c r="Y15" i="54"/>
  <c r="R15" i="54"/>
  <c r="Q15" i="54"/>
  <c r="AP13" i="54"/>
  <c r="AO13" i="54"/>
  <c r="AH13" i="54"/>
  <c r="AG13" i="54"/>
  <c r="Z13" i="54"/>
  <c r="Y13" i="54"/>
  <c r="R13" i="54"/>
  <c r="Q13" i="54"/>
  <c r="AO17" i="52"/>
  <c r="AG17" i="52"/>
  <c r="Y17" i="52"/>
  <c r="Q17" i="52"/>
  <c r="AO16" i="52"/>
  <c r="AG16" i="52"/>
  <c r="Y16" i="52"/>
  <c r="Q16" i="52"/>
  <c r="AO15" i="52"/>
  <c r="AG15" i="52"/>
  <c r="Y15" i="52"/>
  <c r="Q15" i="52"/>
  <c r="AO14" i="52"/>
  <c r="AG14" i="52"/>
  <c r="Y14" i="52"/>
  <c r="Q14" i="52"/>
  <c r="AO13" i="52"/>
  <c r="AG13" i="52"/>
  <c r="Y13" i="52"/>
  <c r="Q13" i="52"/>
  <c r="AO13" i="51"/>
  <c r="AG13" i="51"/>
  <c r="Y13" i="51"/>
  <c r="Q13" i="51"/>
  <c r="AP15" i="51"/>
  <c r="AO15" i="51"/>
  <c r="AH15" i="51"/>
  <c r="AG15" i="51"/>
  <c r="Z15" i="51"/>
  <c r="Y15" i="51"/>
  <c r="R15" i="51"/>
  <c r="Q15" i="51"/>
  <c r="AP14" i="51"/>
  <c r="AO14" i="51"/>
  <c r="AH14" i="51"/>
  <c r="AG14" i="51"/>
  <c r="Z14" i="51"/>
  <c r="Y14" i="51"/>
  <c r="R14" i="51"/>
  <c r="Q14" i="51"/>
  <c r="AP13" i="50"/>
  <c r="AR13" i="50" s="1"/>
  <c r="AG13" i="50"/>
  <c r="AH13" i="50"/>
  <c r="Z13" i="50"/>
  <c r="R13" i="50"/>
  <c r="AO13" i="50"/>
  <c r="AQ13" i="50" s="1"/>
  <c r="E164" i="55" s="1"/>
  <c r="AO13" i="49"/>
  <c r="AG13" i="49"/>
  <c r="Y13" i="49"/>
  <c r="Q13" i="49"/>
  <c r="AO18" i="48"/>
  <c r="AO17" i="48"/>
  <c r="AO16" i="48"/>
  <c r="AO15" i="48"/>
  <c r="AO14" i="48"/>
  <c r="AO13" i="48"/>
  <c r="AG18" i="48"/>
  <c r="AG17" i="48"/>
  <c r="AG16" i="48"/>
  <c r="AG15" i="48"/>
  <c r="AG14" i="48"/>
  <c r="AG13" i="48"/>
  <c r="Y18" i="48"/>
  <c r="Y17" i="48"/>
  <c r="Y16" i="48"/>
  <c r="Y15" i="48"/>
  <c r="Y14" i="48"/>
  <c r="Y13" i="48"/>
  <c r="Q18" i="48"/>
  <c r="Q17" i="48"/>
  <c r="Q16" i="48"/>
  <c r="Q15" i="48"/>
  <c r="Q14" i="48"/>
  <c r="AQ14" i="48"/>
  <c r="Q13" i="48"/>
  <c r="R22" i="47"/>
  <c r="Q22" i="47"/>
  <c r="Z22" i="47"/>
  <c r="Y22" i="47"/>
  <c r="AG22" i="47"/>
  <c r="AO22" i="47"/>
  <c r="AO21" i="47"/>
  <c r="AG21" i="47"/>
  <c r="Z21" i="47"/>
  <c r="Y21" i="47"/>
  <c r="R21" i="47"/>
  <c r="Q21" i="47"/>
  <c r="AO19" i="47"/>
  <c r="AG19" i="47"/>
  <c r="Y19" i="47"/>
  <c r="R19" i="47"/>
  <c r="Q19" i="47"/>
  <c r="AO20" i="47"/>
  <c r="AG20" i="47"/>
  <c r="Z20" i="47"/>
  <c r="Y20" i="47"/>
  <c r="R20" i="47"/>
  <c r="Q20" i="47"/>
  <c r="AO25" i="47"/>
  <c r="AO24" i="47"/>
  <c r="AO23" i="47"/>
  <c r="AO18" i="47"/>
  <c r="AO17" i="47"/>
  <c r="AO16" i="47"/>
  <c r="AO15" i="47"/>
  <c r="AO14" i="47"/>
  <c r="AO13" i="47"/>
  <c r="AG25" i="47"/>
  <c r="AG24" i="47"/>
  <c r="AG23" i="47"/>
  <c r="AG18" i="47"/>
  <c r="AG17" i="47"/>
  <c r="AG16" i="47"/>
  <c r="AG15" i="47"/>
  <c r="AG14" i="47"/>
  <c r="AG13" i="47"/>
  <c r="Y25" i="47"/>
  <c r="Y24" i="47"/>
  <c r="Z23" i="47"/>
  <c r="Y23" i="47"/>
  <c r="Y18" i="47"/>
  <c r="Y17" i="47"/>
  <c r="Y16" i="47"/>
  <c r="Y15" i="47"/>
  <c r="Y14" i="47"/>
  <c r="Y13" i="47"/>
  <c r="Q25" i="47"/>
  <c r="Q24" i="47"/>
  <c r="R23" i="47"/>
  <c r="Q23" i="47"/>
  <c r="Q18" i="47"/>
  <c r="Q17" i="47"/>
  <c r="Q16" i="47"/>
  <c r="Q15" i="47"/>
  <c r="Q14" i="47"/>
  <c r="Q13" i="47"/>
  <c r="AQ25" i="47"/>
  <c r="AP16" i="45"/>
  <c r="AO16" i="45"/>
  <c r="AH16" i="45"/>
  <c r="AG16" i="45"/>
  <c r="Z16" i="45"/>
  <c r="Y16" i="45"/>
  <c r="R16" i="45"/>
  <c r="Q16" i="45"/>
  <c r="AP15" i="45"/>
  <c r="AO15" i="45"/>
  <c r="AH15" i="45"/>
  <c r="AG15" i="45"/>
  <c r="Z15" i="45"/>
  <c r="Y15" i="45"/>
  <c r="R15" i="45"/>
  <c r="Q15" i="45"/>
  <c r="AP14" i="45"/>
  <c r="AO14" i="45"/>
  <c r="AH14" i="45"/>
  <c r="AG14" i="45"/>
  <c r="Z14" i="45"/>
  <c r="Y14" i="45"/>
  <c r="R14" i="45"/>
  <c r="Q14" i="45"/>
  <c r="AP13" i="45"/>
  <c r="AO13" i="45"/>
  <c r="AH13" i="45"/>
  <c r="AG13" i="45"/>
  <c r="Z13" i="45"/>
  <c r="Y13" i="45"/>
  <c r="R13" i="45"/>
  <c r="Q13" i="45"/>
  <c r="AP16" i="44"/>
  <c r="AO16" i="44"/>
  <c r="AH16" i="44"/>
  <c r="AG16" i="44"/>
  <c r="Z16" i="44"/>
  <c r="Y16" i="44"/>
  <c r="R16" i="44"/>
  <c r="Q16" i="44"/>
  <c r="AP15" i="44"/>
  <c r="AO15" i="44"/>
  <c r="AH15" i="44"/>
  <c r="AG15" i="44"/>
  <c r="Z15" i="44"/>
  <c r="Y15" i="44"/>
  <c r="R15" i="44"/>
  <c r="Q15" i="44"/>
  <c r="AP14" i="44"/>
  <c r="AO14" i="44"/>
  <c r="AH14" i="44"/>
  <c r="AG14" i="44"/>
  <c r="Z14" i="44"/>
  <c r="Y14" i="44"/>
  <c r="R14" i="44"/>
  <c r="Q14" i="44"/>
  <c r="AP13" i="44"/>
  <c r="AO13" i="44"/>
  <c r="AH13" i="44"/>
  <c r="AG13" i="44"/>
  <c r="Z13" i="44"/>
  <c r="Y13" i="44"/>
  <c r="R13" i="44"/>
  <c r="Q13" i="44"/>
  <c r="AP15" i="43"/>
  <c r="AO15" i="43"/>
  <c r="AH15" i="43"/>
  <c r="AG15" i="43"/>
  <c r="Z15" i="43"/>
  <c r="Y15" i="43"/>
  <c r="R15" i="43"/>
  <c r="Q15" i="43"/>
  <c r="AP14" i="43"/>
  <c r="AO14" i="43"/>
  <c r="AH14" i="43"/>
  <c r="AG14" i="43"/>
  <c r="Z14" i="43"/>
  <c r="Y14" i="43"/>
  <c r="R14" i="43"/>
  <c r="Q14" i="43"/>
  <c r="AP13" i="43"/>
  <c r="AO13" i="43"/>
  <c r="AH13" i="43"/>
  <c r="AG13" i="43"/>
  <c r="Z13" i="43"/>
  <c r="Y13" i="43"/>
  <c r="R13" i="43"/>
  <c r="Q13" i="43"/>
  <c r="AP33" i="41"/>
  <c r="AO33" i="41"/>
  <c r="AP32" i="41"/>
  <c r="AO32" i="41"/>
  <c r="AP31" i="41"/>
  <c r="AO31" i="41"/>
  <c r="AP30" i="41"/>
  <c r="AO30" i="41"/>
  <c r="AP29" i="41"/>
  <c r="AO29" i="41"/>
  <c r="AP28" i="41"/>
  <c r="AO28" i="41"/>
  <c r="AP27" i="41"/>
  <c r="AO27" i="41"/>
  <c r="AH33" i="41"/>
  <c r="AG33" i="41"/>
  <c r="Z33" i="41"/>
  <c r="Y33" i="41"/>
  <c r="R33" i="41"/>
  <c r="Q33" i="41"/>
  <c r="AH32" i="41"/>
  <c r="AG32" i="41"/>
  <c r="Z32" i="41"/>
  <c r="Y32" i="41"/>
  <c r="R32" i="41"/>
  <c r="Q32" i="41"/>
  <c r="AH31" i="41"/>
  <c r="AG31" i="41"/>
  <c r="Z31" i="41"/>
  <c r="R31" i="41"/>
  <c r="Q31" i="41"/>
  <c r="AH30" i="41"/>
  <c r="AG30" i="41"/>
  <c r="Z30" i="41"/>
  <c r="Y30" i="41"/>
  <c r="R30" i="41"/>
  <c r="Q30" i="41"/>
  <c r="AH29" i="41"/>
  <c r="AG29" i="41"/>
  <c r="Z29" i="41"/>
  <c r="Y29" i="41"/>
  <c r="R29" i="41"/>
  <c r="Q29" i="41"/>
  <c r="AH28" i="41"/>
  <c r="AG28" i="41"/>
  <c r="Z28" i="41"/>
  <c r="Y28" i="41"/>
  <c r="R28" i="41"/>
  <c r="Q28" i="41"/>
  <c r="AH27" i="41"/>
  <c r="AG27" i="41"/>
  <c r="Z27" i="41"/>
  <c r="Y27" i="41"/>
  <c r="R27" i="41"/>
  <c r="Q27" i="41"/>
  <c r="AP19" i="41"/>
  <c r="AO19" i="41"/>
  <c r="AO18" i="41"/>
  <c r="AP18" i="41"/>
  <c r="AH19" i="41"/>
  <c r="AG19" i="41"/>
  <c r="Z19" i="41"/>
  <c r="Y19" i="41"/>
  <c r="R19" i="41"/>
  <c r="Q19" i="41"/>
  <c r="AP21" i="41"/>
  <c r="AH21" i="41"/>
  <c r="Z21" i="41"/>
  <c r="AP26" i="41"/>
  <c r="AO26" i="41"/>
  <c r="AH26" i="41"/>
  <c r="AG26" i="41"/>
  <c r="Z26" i="41"/>
  <c r="Y26" i="41"/>
  <c r="R26" i="41"/>
  <c r="Q26" i="41"/>
  <c r="AP14" i="41"/>
  <c r="AO14" i="41"/>
  <c r="AH14" i="41"/>
  <c r="AG14" i="41"/>
  <c r="Z14" i="41"/>
  <c r="Y14" i="41"/>
  <c r="R14" i="41"/>
  <c r="Q14" i="41"/>
  <c r="AO21" i="41"/>
  <c r="AG21" i="41"/>
  <c r="Y21" i="41"/>
  <c r="Q21" i="41"/>
  <c r="AP25" i="41"/>
  <c r="AO25" i="41"/>
  <c r="AH25" i="41"/>
  <c r="AG25" i="41"/>
  <c r="Z25" i="41"/>
  <c r="Y25" i="41"/>
  <c r="R25" i="41"/>
  <c r="Q25" i="41"/>
  <c r="AP24" i="41"/>
  <c r="AO24" i="41"/>
  <c r="AH24" i="41"/>
  <c r="AG24" i="41"/>
  <c r="Z24" i="41"/>
  <c r="Y24" i="41"/>
  <c r="R24" i="41"/>
  <c r="Q24" i="41"/>
  <c r="AP23" i="41"/>
  <c r="AO23" i="41"/>
  <c r="AH23" i="41"/>
  <c r="AG23" i="41"/>
  <c r="Z23" i="41"/>
  <c r="Y23" i="41"/>
  <c r="R23" i="41"/>
  <c r="Q23" i="41"/>
  <c r="AP22" i="41"/>
  <c r="AO22" i="41"/>
  <c r="AH22" i="41"/>
  <c r="AG22" i="41"/>
  <c r="Z22" i="41"/>
  <c r="Y22" i="41"/>
  <c r="R22" i="41"/>
  <c r="Q22" i="41"/>
  <c r="AH18" i="41"/>
  <c r="AG18" i="41"/>
  <c r="Z18" i="41"/>
  <c r="Y18" i="41"/>
  <c r="R18" i="41"/>
  <c r="Q18" i="41"/>
  <c r="AP17" i="41"/>
  <c r="AO17" i="41"/>
  <c r="AH17" i="41"/>
  <c r="AG17" i="41"/>
  <c r="Z17" i="41"/>
  <c r="Y17" i="41"/>
  <c r="R17" i="41"/>
  <c r="Q17" i="41"/>
  <c r="AP15" i="41"/>
  <c r="AO15" i="41"/>
  <c r="AH15" i="41"/>
  <c r="AG15" i="41"/>
  <c r="Z15" i="41"/>
  <c r="Y15" i="41"/>
  <c r="R15" i="41"/>
  <c r="Q15" i="41"/>
  <c r="AP13" i="41"/>
  <c r="AO13" i="41"/>
  <c r="AH13" i="41"/>
  <c r="AG13" i="41"/>
  <c r="Z13" i="41"/>
  <c r="Y13" i="41"/>
  <c r="R13" i="41"/>
  <c r="Q13" i="41"/>
  <c r="Q16" i="2"/>
  <c r="Q17" i="2"/>
  <c r="Q15" i="2"/>
  <c r="Q14" i="2"/>
  <c r="Y13" i="2"/>
  <c r="Q13" i="2"/>
  <c r="F7" i="36"/>
  <c r="H204" i="55" l="1"/>
  <c r="I204" i="55"/>
  <c r="AQ15" i="53"/>
  <c r="E77" i="55" s="1"/>
  <c r="AR22" i="41"/>
  <c r="Z14" i="48"/>
  <c r="AP14" i="48"/>
  <c r="AH14" i="48"/>
  <c r="AQ18" i="39"/>
  <c r="AH18" i="39" s="1"/>
  <c r="AP25" i="47"/>
  <c r="AH25" i="47"/>
  <c r="AQ16" i="48"/>
  <c r="L202" i="55"/>
  <c r="K202" i="55"/>
  <c r="K200" i="55"/>
  <c r="L199" i="55"/>
  <c r="K197" i="55"/>
  <c r="K77" i="55"/>
  <c r="L76" i="55"/>
  <c r="K76" i="55"/>
  <c r="L75" i="55"/>
  <c r="L171" i="55"/>
  <c r="K164" i="55"/>
  <c r="K114" i="55"/>
  <c r="K110" i="55"/>
  <c r="K96" i="55"/>
  <c r="L96" i="55"/>
  <c r="L95" i="55"/>
  <c r="K95" i="55"/>
  <c r="L94" i="55"/>
  <c r="K84" i="55"/>
  <c r="K83" i="55"/>
  <c r="K100" i="55"/>
  <c r="L98" i="55"/>
  <c r="K89" i="55"/>
  <c r="L57" i="55"/>
  <c r="K57" i="55"/>
  <c r="K56" i="55"/>
  <c r="K54" i="55"/>
  <c r="K48" i="55"/>
  <c r="K47" i="55"/>
  <c r="L39" i="55"/>
  <c r="L35" i="55"/>
  <c r="L191" i="55"/>
  <c r="AQ15" i="51"/>
  <c r="E172" i="55" s="1"/>
  <c r="L89" i="55"/>
  <c r="K136" i="55"/>
  <c r="AR22" i="47"/>
  <c r="J138" i="55" s="1"/>
  <c r="Z18" i="39"/>
  <c r="R18" i="39"/>
  <c r="AQ17" i="48"/>
  <c r="AQ13" i="52"/>
  <c r="AQ15" i="39"/>
  <c r="E37" i="55" s="1"/>
  <c r="AQ16" i="39"/>
  <c r="E38" i="55" s="1"/>
  <c r="AQ23" i="41"/>
  <c r="E93" i="55" s="1"/>
  <c r="L103" i="55"/>
  <c r="K135" i="55"/>
  <c r="AQ14" i="52"/>
  <c r="AQ18" i="38"/>
  <c r="AH18" i="38" s="1"/>
  <c r="K93" i="55"/>
  <c r="L93" i="55"/>
  <c r="AR31" i="41"/>
  <c r="L139" i="55"/>
  <c r="AQ16" i="43"/>
  <c r="E112" i="55" s="1"/>
  <c r="E141" i="55"/>
  <c r="Z25" i="47"/>
  <c r="AR33" i="41"/>
  <c r="J103" i="55" s="1"/>
  <c r="K137" i="55"/>
  <c r="AQ22" i="47"/>
  <c r="E138" i="55" s="1"/>
  <c r="K138" i="55"/>
  <c r="AQ13" i="48"/>
  <c r="L54" i="55"/>
  <c r="L55" i="55"/>
  <c r="L56" i="55"/>
  <c r="L36" i="55"/>
  <c r="L47" i="55"/>
  <c r="AQ15" i="45"/>
  <c r="E190" i="55" s="1"/>
  <c r="K188" i="55"/>
  <c r="L188" i="55"/>
  <c r="K189" i="55"/>
  <c r="L189" i="55"/>
  <c r="K190" i="55"/>
  <c r="L190" i="55"/>
  <c r="L203" i="55"/>
  <c r="AQ16" i="54"/>
  <c r="E200" i="55" s="1"/>
  <c r="AQ19" i="54"/>
  <c r="K203" i="55"/>
  <c r="L197" i="55"/>
  <c r="K201" i="55"/>
  <c r="AR19" i="54"/>
  <c r="J203" i="55" s="1"/>
  <c r="K204" i="55"/>
  <c r="L204" i="55"/>
  <c r="L120" i="55"/>
  <c r="K121" i="55"/>
  <c r="L121" i="55"/>
  <c r="AQ18" i="43"/>
  <c r="E114" i="55" s="1"/>
  <c r="AQ13" i="43"/>
  <c r="E109" i="55" s="1"/>
  <c r="AQ14" i="39"/>
  <c r="E36" i="55" s="1"/>
  <c r="K123" i="55"/>
  <c r="AQ13" i="45"/>
  <c r="E188" i="55" s="1"/>
  <c r="AQ14" i="43"/>
  <c r="E110" i="55" s="1"/>
  <c r="AQ15" i="43"/>
  <c r="E111" i="55" s="1"/>
  <c r="AQ19" i="41"/>
  <c r="E89" i="55" s="1"/>
  <c r="AQ30" i="41"/>
  <c r="E100" i="55" s="1"/>
  <c r="AQ32" i="41"/>
  <c r="E102" i="55" s="1"/>
  <c r="AR24" i="41"/>
  <c r="J94" i="55" s="1"/>
  <c r="AR26" i="41"/>
  <c r="J96" i="55" s="1"/>
  <c r="AR18" i="41"/>
  <c r="J88" i="55" s="1"/>
  <c r="K87" i="55"/>
  <c r="K88" i="55"/>
  <c r="AQ21" i="41"/>
  <c r="E91" i="55" s="1"/>
  <c r="AQ16" i="2"/>
  <c r="AQ15" i="41"/>
  <c r="E85" i="55" s="1"/>
  <c r="AQ29" i="41"/>
  <c r="E99" i="55" s="1"/>
  <c r="AQ31" i="41"/>
  <c r="E101" i="55" s="1"/>
  <c r="AR13" i="44"/>
  <c r="AR15" i="45"/>
  <c r="AR20" i="47"/>
  <c r="J136" i="55" s="1"/>
  <c r="AR21" i="47"/>
  <c r="J137" i="55" s="1"/>
  <c r="AR17" i="48"/>
  <c r="AQ15" i="48"/>
  <c r="AQ13" i="49"/>
  <c r="AR14" i="51"/>
  <c r="K171" i="55"/>
  <c r="AR15" i="51"/>
  <c r="AQ13" i="51"/>
  <c r="AP13" i="51" s="1"/>
  <c r="E179" i="55"/>
  <c r="R14" i="52"/>
  <c r="AQ18" i="54"/>
  <c r="E202" i="55" s="1"/>
  <c r="AQ13" i="38"/>
  <c r="E54" i="55" s="1"/>
  <c r="AQ16" i="38"/>
  <c r="E57" i="55" s="1"/>
  <c r="AQ17" i="38"/>
  <c r="AQ15" i="40"/>
  <c r="E48" i="55" s="1"/>
  <c r="AR15" i="53"/>
  <c r="AR16" i="39"/>
  <c r="E40" i="55"/>
  <c r="AR16" i="41"/>
  <c r="J86" i="55" s="1"/>
  <c r="AR20" i="41"/>
  <c r="AR14" i="44"/>
  <c r="AQ16" i="47"/>
  <c r="AQ13" i="2"/>
  <c r="AQ17" i="2"/>
  <c r="AR13" i="41"/>
  <c r="J83" i="55" s="1"/>
  <c r="AR15" i="41"/>
  <c r="AR23" i="41"/>
  <c r="J93" i="55" s="1"/>
  <c r="AR27" i="41"/>
  <c r="AR29" i="41"/>
  <c r="AQ14" i="45"/>
  <c r="E189" i="55" s="1"/>
  <c r="AR14" i="45"/>
  <c r="AR16" i="45"/>
  <c r="K191" i="55"/>
  <c r="AQ13" i="47"/>
  <c r="AQ17" i="47"/>
  <c r="AQ24" i="47"/>
  <c r="Z16" i="48"/>
  <c r="AQ14" i="51"/>
  <c r="E171" i="55" s="1"/>
  <c r="AQ17" i="52"/>
  <c r="AS14" i="54"/>
  <c r="M198" i="55" s="1"/>
  <c r="J198" i="55"/>
  <c r="AR14" i="38"/>
  <c r="J55" i="55" s="1"/>
  <c r="K55" i="55"/>
  <c r="K35" i="55"/>
  <c r="B35" i="55"/>
  <c r="AR17" i="39"/>
  <c r="AQ13" i="40"/>
  <c r="E46" i="55" s="1"/>
  <c r="K46" i="55"/>
  <c r="AR15" i="40"/>
  <c r="J48" i="55" s="1"/>
  <c r="AQ16" i="41"/>
  <c r="E86" i="55" s="1"/>
  <c r="AR13" i="40"/>
  <c r="J46" i="55" s="1"/>
  <c r="AQ33" i="41"/>
  <c r="E103" i="55" s="1"/>
  <c r="AQ18" i="41"/>
  <c r="E88" i="55" s="1"/>
  <c r="AQ15" i="2"/>
  <c r="AQ14" i="2"/>
  <c r="AQ22" i="41"/>
  <c r="E92" i="55" s="1"/>
  <c r="AQ24" i="41"/>
  <c r="E94" i="55" s="1"/>
  <c r="K94" i="55"/>
  <c r="AQ26" i="41"/>
  <c r="E96" i="55" s="1"/>
  <c r="AQ27" i="41"/>
  <c r="E97" i="55" s="1"/>
  <c r="AQ28" i="41"/>
  <c r="E98" i="55" s="1"/>
  <c r="AQ18" i="47"/>
  <c r="AR23" i="47"/>
  <c r="J139" i="55" s="1"/>
  <c r="E148" i="55"/>
  <c r="R14" i="48"/>
  <c r="AR14" i="48"/>
  <c r="E178" i="55"/>
  <c r="AR13" i="52"/>
  <c r="AQ15" i="52"/>
  <c r="AQ15" i="38"/>
  <c r="E56" i="55" s="1"/>
  <c r="AQ14" i="38"/>
  <c r="E55" i="55" s="1"/>
  <c r="AQ13" i="39"/>
  <c r="E35" i="55" s="1"/>
  <c r="AQ13" i="53"/>
  <c r="E75" i="55" s="1"/>
  <c r="AQ14" i="53"/>
  <c r="E76" i="55" s="1"/>
  <c r="AR18" i="43"/>
  <c r="AQ13" i="41"/>
  <c r="E83" i="55" s="1"/>
  <c r="AQ17" i="41"/>
  <c r="E87" i="55" s="1"/>
  <c r="AQ14" i="41"/>
  <c r="E84" i="55" s="1"/>
  <c r="J92" i="55"/>
  <c r="AR25" i="41"/>
  <c r="J95" i="55" s="1"/>
  <c r="AR14" i="41"/>
  <c r="J84" i="55" s="1"/>
  <c r="AR19" i="41"/>
  <c r="AR28" i="41"/>
  <c r="J98" i="55" s="1"/>
  <c r="AR32" i="41"/>
  <c r="J102" i="55" s="1"/>
  <c r="AR13" i="43"/>
  <c r="AR15" i="43"/>
  <c r="J111" i="55" s="1"/>
  <c r="K111" i="55"/>
  <c r="AQ13" i="44"/>
  <c r="E120" i="55" s="1"/>
  <c r="K120" i="55"/>
  <c r="AQ14" i="44"/>
  <c r="E121" i="55" s="1"/>
  <c r="AQ15" i="44"/>
  <c r="E122" i="55" s="1"/>
  <c r="K122" i="55"/>
  <c r="AQ16" i="44"/>
  <c r="E123" i="55" s="1"/>
  <c r="AQ16" i="45"/>
  <c r="E191" i="55" s="1"/>
  <c r="AQ23" i="47"/>
  <c r="E139" i="55" s="1"/>
  <c r="K139" i="55"/>
  <c r="AQ19" i="47"/>
  <c r="E135" i="55" s="1"/>
  <c r="AQ18" i="48"/>
  <c r="AQ16" i="52"/>
  <c r="K199" i="55"/>
  <c r="AQ17" i="54"/>
  <c r="E201" i="55" s="1"/>
  <c r="AQ14" i="40"/>
  <c r="E47" i="55" s="1"/>
  <c r="AR13" i="53"/>
  <c r="AR15" i="39"/>
  <c r="AQ20" i="41"/>
  <c r="E90" i="55" s="1"/>
  <c r="AS17" i="43"/>
  <c r="M113" i="55" s="1"/>
  <c r="K113" i="55"/>
  <c r="AQ15" i="54"/>
  <c r="E199" i="55" s="1"/>
  <c r="AR18" i="54"/>
  <c r="AR20" i="54"/>
  <c r="J204" i="55" s="1"/>
  <c r="AR13" i="54"/>
  <c r="J197" i="55" s="1"/>
  <c r="AR15" i="54"/>
  <c r="AQ20" i="54"/>
  <c r="E204" i="55" s="1"/>
  <c r="AR16" i="54"/>
  <c r="AQ13" i="54"/>
  <c r="E197" i="55" s="1"/>
  <c r="AR17" i="54"/>
  <c r="AR13" i="45"/>
  <c r="J188" i="55" s="1"/>
  <c r="AR14" i="53"/>
  <c r="J76" i="55" s="1"/>
  <c r="AR13" i="47"/>
  <c r="R16" i="47"/>
  <c r="AR25" i="47"/>
  <c r="R25" i="47"/>
  <c r="AQ21" i="47"/>
  <c r="E137" i="55" s="1"/>
  <c r="AQ20" i="47"/>
  <c r="E136" i="55" s="1"/>
  <c r="AQ14" i="47"/>
  <c r="AQ15" i="47"/>
  <c r="AR15" i="47" s="1"/>
  <c r="AR19" i="47"/>
  <c r="AR16" i="44"/>
  <c r="AR15" i="44"/>
  <c r="AR16" i="43"/>
  <c r="AR14" i="43"/>
  <c r="AQ25" i="41"/>
  <c r="E95" i="55" s="1"/>
  <c r="AR30" i="41"/>
  <c r="AR14" i="39"/>
  <c r="J36" i="55" s="1"/>
  <c r="AR13" i="39"/>
  <c r="AR17" i="41"/>
  <c r="J87" i="55" s="1"/>
  <c r="AR13" i="38"/>
  <c r="AR16" i="38"/>
  <c r="AQ17" i="39"/>
  <c r="R18" i="38"/>
  <c r="AR15" i="38"/>
  <c r="AR14" i="40"/>
  <c r="L92" i="55" l="1"/>
  <c r="AR18" i="38"/>
  <c r="L37" i="55"/>
  <c r="L77" i="55"/>
  <c r="L200" i="55"/>
  <c r="K102" i="55"/>
  <c r="Z16" i="52"/>
  <c r="AH16" i="52"/>
  <c r="AP16" i="52"/>
  <c r="Z15" i="52"/>
  <c r="AP15" i="52"/>
  <c r="AH15" i="52"/>
  <c r="Z15" i="2"/>
  <c r="AP15" i="2"/>
  <c r="AH15" i="2"/>
  <c r="Z17" i="52"/>
  <c r="AP17" i="52"/>
  <c r="AH17" i="52"/>
  <c r="AR17" i="47"/>
  <c r="AP17" i="47"/>
  <c r="AH17" i="47"/>
  <c r="Z17" i="38"/>
  <c r="AH17" i="38"/>
  <c r="R17" i="38"/>
  <c r="L78" i="55"/>
  <c r="F13" i="55" s="1"/>
  <c r="AP13" i="47"/>
  <c r="AH13" i="47"/>
  <c r="Z17" i="2"/>
  <c r="AP17" i="2"/>
  <c r="AH17" i="2"/>
  <c r="AP16" i="2"/>
  <c r="AH16" i="2"/>
  <c r="Z14" i="52"/>
  <c r="AH14" i="52"/>
  <c r="AP14" i="52"/>
  <c r="Z18" i="48"/>
  <c r="AH18" i="48"/>
  <c r="AP18" i="48"/>
  <c r="K103" i="55"/>
  <c r="AP13" i="2"/>
  <c r="AH13" i="2"/>
  <c r="AH13" i="51"/>
  <c r="Z13" i="51"/>
  <c r="E147" i="55"/>
  <c r="AP13" i="48"/>
  <c r="AH13" i="48"/>
  <c r="AP13" i="52"/>
  <c r="AH13" i="52"/>
  <c r="AH14" i="47"/>
  <c r="K90" i="55"/>
  <c r="AP18" i="47"/>
  <c r="AH18" i="47"/>
  <c r="Z14" i="2"/>
  <c r="AP14" i="2"/>
  <c r="AH14" i="2"/>
  <c r="AH24" i="47"/>
  <c r="K140" i="55" s="1"/>
  <c r="AP24" i="47"/>
  <c r="K97" i="55"/>
  <c r="AP16" i="47"/>
  <c r="AH16" i="47"/>
  <c r="K132" i="55" s="1"/>
  <c r="AR18" i="39"/>
  <c r="AR14" i="52"/>
  <c r="Z15" i="48"/>
  <c r="AH15" i="48"/>
  <c r="AP15" i="48"/>
  <c r="Z17" i="48"/>
  <c r="AP17" i="48"/>
  <c r="AH17" i="48"/>
  <c r="L84" i="55"/>
  <c r="AR16" i="48"/>
  <c r="AH16" i="48"/>
  <c r="AP16" i="48"/>
  <c r="AH13" i="49"/>
  <c r="AP13" i="49"/>
  <c r="AP15" i="47"/>
  <c r="AH15" i="47"/>
  <c r="K86" i="55"/>
  <c r="AS15" i="40"/>
  <c r="M48" i="55" s="1"/>
  <c r="L83" i="55"/>
  <c r="E151" i="55"/>
  <c r="K151" i="55"/>
  <c r="R17" i="48"/>
  <c r="R17" i="47"/>
  <c r="E133" i="55"/>
  <c r="Z17" i="47"/>
  <c r="E140" i="55"/>
  <c r="Z24" i="47"/>
  <c r="Z13" i="2"/>
  <c r="K65" i="55" s="1"/>
  <c r="R13" i="2"/>
  <c r="E58" i="55"/>
  <c r="R16" i="2"/>
  <c r="Z16" i="2"/>
  <c r="E131" i="55"/>
  <c r="Z15" i="47"/>
  <c r="E132" i="55"/>
  <c r="Z16" i="47"/>
  <c r="L123" i="55"/>
  <c r="K172" i="55"/>
  <c r="L100" i="55"/>
  <c r="L38" i="55"/>
  <c r="L135" i="55"/>
  <c r="L99" i="55"/>
  <c r="L88" i="55"/>
  <c r="E130" i="55"/>
  <c r="AR14" i="47"/>
  <c r="Z14" i="47"/>
  <c r="AS22" i="47"/>
  <c r="M138" i="55" s="1"/>
  <c r="R24" i="47"/>
  <c r="E129" i="55"/>
  <c r="Z13" i="47"/>
  <c r="R13" i="47"/>
  <c r="Z13" i="49"/>
  <c r="R13" i="49"/>
  <c r="L172" i="55"/>
  <c r="X172" i="55"/>
  <c r="AS19" i="54"/>
  <c r="M203" i="55" s="1"/>
  <c r="L48" i="55"/>
  <c r="L90" i="55"/>
  <c r="L101" i="55"/>
  <c r="L87" i="55"/>
  <c r="L136" i="55"/>
  <c r="L102" i="55"/>
  <c r="E134" i="55"/>
  <c r="Z18" i="47"/>
  <c r="R13" i="48"/>
  <c r="Z13" i="48"/>
  <c r="K141" i="55"/>
  <c r="L141" i="55"/>
  <c r="AR24" i="47"/>
  <c r="AS24" i="47" s="1"/>
  <c r="M140" i="55" s="1"/>
  <c r="L148" i="55"/>
  <c r="L114" i="55"/>
  <c r="AR18" i="47"/>
  <c r="AS18" i="47" s="1"/>
  <c r="M134" i="55" s="1"/>
  <c r="AR16" i="47"/>
  <c r="J132" i="55" s="1"/>
  <c r="K192" i="55"/>
  <c r="E26" i="55" s="1"/>
  <c r="AR13" i="48"/>
  <c r="J147" i="55" s="1"/>
  <c r="K112" i="55"/>
  <c r="L46" i="55"/>
  <c r="L137" i="55"/>
  <c r="L164" i="55"/>
  <c r="L165" i="55" s="1"/>
  <c r="F22" i="55" s="1"/>
  <c r="L86" i="55"/>
  <c r="E59" i="55"/>
  <c r="Z18" i="38"/>
  <c r="K59" i="55" s="1"/>
  <c r="L97" i="55"/>
  <c r="L85" i="55"/>
  <c r="Z13" i="52"/>
  <c r="R13" i="52"/>
  <c r="L138" i="55"/>
  <c r="L40" i="55"/>
  <c r="L122" i="55"/>
  <c r="L192" i="55"/>
  <c r="F26" i="55" s="1"/>
  <c r="L201" i="55"/>
  <c r="AS13" i="54"/>
  <c r="M197" i="55" s="1"/>
  <c r="R13" i="51"/>
  <c r="K170" i="55"/>
  <c r="L110" i="55"/>
  <c r="L109" i="55"/>
  <c r="L112" i="55"/>
  <c r="L111" i="55"/>
  <c r="AS15" i="43"/>
  <c r="M111" i="55" s="1"/>
  <c r="K109" i="55"/>
  <c r="K124" i="55"/>
  <c r="E17" i="55" s="1"/>
  <c r="AS14" i="39"/>
  <c r="M36" i="55" s="1"/>
  <c r="AS14" i="53"/>
  <c r="M76" i="55" s="1"/>
  <c r="AS21" i="47"/>
  <c r="M137" i="55" s="1"/>
  <c r="AS20" i="47"/>
  <c r="M136" i="55" s="1"/>
  <c r="AS22" i="41"/>
  <c r="M92" i="55" s="1"/>
  <c r="AS16" i="41"/>
  <c r="M86" i="55" s="1"/>
  <c r="AS32" i="41"/>
  <c r="M102" i="55" s="1"/>
  <c r="AS14" i="38"/>
  <c r="M55" i="55" s="1"/>
  <c r="AS13" i="40"/>
  <c r="M46" i="55" s="1"/>
  <c r="K39" i="55"/>
  <c r="AS13" i="45"/>
  <c r="M188" i="55" s="1"/>
  <c r="AS23" i="47"/>
  <c r="M139" i="55" s="1"/>
  <c r="R18" i="47"/>
  <c r="AS24" i="41"/>
  <c r="M94" i="55" s="1"/>
  <c r="AS13" i="41"/>
  <c r="M83" i="55" s="1"/>
  <c r="AS17" i="41"/>
  <c r="M87" i="55" s="1"/>
  <c r="AS26" i="41"/>
  <c r="M96" i="55" s="1"/>
  <c r="AS14" i="41"/>
  <c r="M84" i="55" s="1"/>
  <c r="AS28" i="41"/>
  <c r="M98" i="55" s="1"/>
  <c r="AR21" i="41"/>
  <c r="R21" i="41"/>
  <c r="AS25" i="41"/>
  <c r="M95" i="55" s="1"/>
  <c r="AS23" i="41"/>
  <c r="M93" i="55" s="1"/>
  <c r="AR16" i="2"/>
  <c r="J68" i="55" s="1"/>
  <c r="AR17" i="38"/>
  <c r="J58" i="55" s="1"/>
  <c r="AS18" i="38"/>
  <c r="M59" i="55" s="1"/>
  <c r="J59" i="55"/>
  <c r="AS30" i="41"/>
  <c r="M100" i="55" s="1"/>
  <c r="J100" i="55"/>
  <c r="AS16" i="43"/>
  <c r="M112" i="55" s="1"/>
  <c r="J112" i="55"/>
  <c r="AS15" i="54"/>
  <c r="M199" i="55" s="1"/>
  <c r="J199" i="55"/>
  <c r="E181" i="55"/>
  <c r="R16" i="52"/>
  <c r="AR16" i="52"/>
  <c r="K38" i="55"/>
  <c r="K75" i="55"/>
  <c r="K78" i="55" s="1"/>
  <c r="E13" i="55" s="1"/>
  <c r="B36" i="55"/>
  <c r="B37" i="55" s="1"/>
  <c r="B38" i="55" s="1"/>
  <c r="B39" i="55" s="1"/>
  <c r="B40" i="55" s="1"/>
  <c r="B46" i="55" s="1"/>
  <c r="E182" i="55"/>
  <c r="AR17" i="52"/>
  <c r="R17" i="52"/>
  <c r="AS14" i="45"/>
  <c r="M189" i="55" s="1"/>
  <c r="J189" i="55"/>
  <c r="AS15" i="41"/>
  <c r="M85" i="55" s="1"/>
  <c r="J85" i="55"/>
  <c r="AS16" i="39"/>
  <c r="M38" i="55" s="1"/>
  <c r="E149" i="55"/>
  <c r="AR15" i="48"/>
  <c r="R15" i="48"/>
  <c r="K101" i="55"/>
  <c r="AS18" i="41"/>
  <c r="M88" i="55" s="1"/>
  <c r="AS15" i="38"/>
  <c r="M56" i="55" s="1"/>
  <c r="J56" i="55"/>
  <c r="AS17" i="39"/>
  <c r="M39" i="55" s="1"/>
  <c r="E39" i="55"/>
  <c r="AS15" i="44"/>
  <c r="M122" i="55" s="1"/>
  <c r="J122" i="55"/>
  <c r="AS19" i="47"/>
  <c r="M135" i="55" s="1"/>
  <c r="J135" i="55"/>
  <c r="AS16" i="54"/>
  <c r="M200" i="55" s="1"/>
  <c r="J200" i="55"/>
  <c r="K37" i="55"/>
  <c r="AS13" i="53"/>
  <c r="M75" i="55" s="1"/>
  <c r="J75" i="55"/>
  <c r="J178" i="55"/>
  <c r="AS13" i="52"/>
  <c r="M178" i="55" s="1"/>
  <c r="J148" i="55"/>
  <c r="AS14" i="48"/>
  <c r="M148" i="55" s="1"/>
  <c r="AR14" i="2"/>
  <c r="R14" i="2"/>
  <c r="K49" i="55"/>
  <c r="E10" i="55" s="1"/>
  <c r="E150" i="55"/>
  <c r="R16" i="48"/>
  <c r="AS29" i="41"/>
  <c r="M99" i="55" s="1"/>
  <c r="J99" i="55"/>
  <c r="AS33" i="41"/>
  <c r="M103" i="55" s="1"/>
  <c r="R17" i="2"/>
  <c r="AR17" i="2"/>
  <c r="AS15" i="51"/>
  <c r="M172" i="55" s="1"/>
  <c r="J172" i="55"/>
  <c r="AS15" i="45"/>
  <c r="M190" i="55" s="1"/>
  <c r="J190" i="55"/>
  <c r="AS13" i="39"/>
  <c r="M35" i="55" s="1"/>
  <c r="J35" i="55"/>
  <c r="AS16" i="44"/>
  <c r="M123" i="55" s="1"/>
  <c r="J123" i="55"/>
  <c r="AS13" i="47"/>
  <c r="M129" i="55" s="1"/>
  <c r="J129" i="55"/>
  <c r="AS15" i="39"/>
  <c r="M37" i="55" s="1"/>
  <c r="J164" i="55"/>
  <c r="AS13" i="50"/>
  <c r="AS19" i="41"/>
  <c r="M89" i="55" s="1"/>
  <c r="J89" i="55"/>
  <c r="E180" i="55"/>
  <c r="AR15" i="52"/>
  <c r="R15" i="52"/>
  <c r="K98" i="55"/>
  <c r="AR15" i="2"/>
  <c r="R15" i="2"/>
  <c r="K36" i="55"/>
  <c r="E65" i="55"/>
  <c r="AR13" i="2"/>
  <c r="AS20" i="41"/>
  <c r="M90" i="55" s="1"/>
  <c r="J90" i="55"/>
  <c r="AS15" i="53"/>
  <c r="M77" i="55" s="1"/>
  <c r="J77" i="55"/>
  <c r="J151" i="55"/>
  <c r="AS17" i="48"/>
  <c r="M151" i="55" s="1"/>
  <c r="K99" i="55"/>
  <c r="AS16" i="38"/>
  <c r="M57" i="55" s="1"/>
  <c r="J57" i="55"/>
  <c r="AS13" i="38"/>
  <c r="J54" i="55"/>
  <c r="AS14" i="43"/>
  <c r="M110" i="55" s="1"/>
  <c r="J110" i="55"/>
  <c r="AS25" i="47"/>
  <c r="J141" i="55"/>
  <c r="AS17" i="47"/>
  <c r="M133" i="55" s="1"/>
  <c r="J133" i="55"/>
  <c r="AS17" i="54"/>
  <c r="M201" i="55" s="1"/>
  <c r="J201" i="55"/>
  <c r="AS18" i="54"/>
  <c r="M202" i="55" s="1"/>
  <c r="J202" i="55"/>
  <c r="K205" i="55"/>
  <c r="E27" i="55" s="1"/>
  <c r="K165" i="55"/>
  <c r="E22" i="55" s="1"/>
  <c r="E152" i="55"/>
  <c r="R18" i="48"/>
  <c r="AR18" i="48"/>
  <c r="AS13" i="43"/>
  <c r="M109" i="55" s="1"/>
  <c r="J109" i="55"/>
  <c r="AS18" i="43"/>
  <c r="M114" i="55" s="1"/>
  <c r="J114" i="55"/>
  <c r="K92" i="55"/>
  <c r="K129" i="55"/>
  <c r="AS16" i="45"/>
  <c r="M191" i="55" s="1"/>
  <c r="J191" i="55"/>
  <c r="AS31" i="41"/>
  <c r="M101" i="55" s="1"/>
  <c r="J101" i="55"/>
  <c r="AS27" i="41"/>
  <c r="M97" i="55" s="1"/>
  <c r="J97" i="55"/>
  <c r="AS14" i="44"/>
  <c r="M121" i="55" s="1"/>
  <c r="J121" i="55"/>
  <c r="J179" i="55"/>
  <c r="AS14" i="52"/>
  <c r="M179" i="55" s="1"/>
  <c r="E170" i="55"/>
  <c r="AR13" i="51"/>
  <c r="AS14" i="51"/>
  <c r="M171" i="55" s="1"/>
  <c r="J171" i="55"/>
  <c r="E158" i="55"/>
  <c r="AR13" i="49"/>
  <c r="AS13" i="44"/>
  <c r="J120" i="55"/>
  <c r="K85" i="55"/>
  <c r="AS14" i="40"/>
  <c r="M47" i="55" s="1"/>
  <c r="J47" i="55"/>
  <c r="AS20" i="54"/>
  <c r="M204" i="55" s="1"/>
  <c r="R15" i="47"/>
  <c r="R14" i="47"/>
  <c r="L205" i="55" l="1"/>
  <c r="F27" i="55" s="1"/>
  <c r="F28" i="55" s="1"/>
  <c r="K173" i="55"/>
  <c r="E23" i="55" s="1"/>
  <c r="J134" i="55"/>
  <c r="AS16" i="47"/>
  <c r="M132" i="55" s="1"/>
  <c r="K178" i="55"/>
  <c r="K148" i="55"/>
  <c r="L152" i="55"/>
  <c r="L67" i="55"/>
  <c r="AS18" i="39"/>
  <c r="M40" i="55" s="1"/>
  <c r="M41" i="55" s="1"/>
  <c r="G9" i="55" s="1"/>
  <c r="C10" i="56" s="1"/>
  <c r="L66" i="55"/>
  <c r="L151" i="55"/>
  <c r="K152" i="55"/>
  <c r="L179" i="55"/>
  <c r="K179" i="55"/>
  <c r="L158" i="55"/>
  <c r="L159" i="55" s="1"/>
  <c r="F21" i="55" s="1"/>
  <c r="K158" i="55"/>
  <c r="K159" i="55" s="1"/>
  <c r="E21" i="55" s="1"/>
  <c r="AS16" i="48"/>
  <c r="M150" i="55" s="1"/>
  <c r="J140" i="55"/>
  <c r="K115" i="55"/>
  <c r="E16" i="55" s="1"/>
  <c r="L124" i="55"/>
  <c r="F17" i="55" s="1"/>
  <c r="L41" i="55"/>
  <c r="F9" i="55" s="1"/>
  <c r="L49" i="55"/>
  <c r="F10" i="55" s="1"/>
  <c r="K133" i="55"/>
  <c r="K68" i="55"/>
  <c r="L68" i="55"/>
  <c r="K130" i="55"/>
  <c r="K69" i="55"/>
  <c r="L69" i="55"/>
  <c r="L147" i="55"/>
  <c r="K67" i="55"/>
  <c r="K180" i="55"/>
  <c r="L180" i="55"/>
  <c r="K149" i="55"/>
  <c r="K181" i="55"/>
  <c r="L181" i="55"/>
  <c r="K91" i="55"/>
  <c r="K104" i="55" s="1"/>
  <c r="E15" i="55" s="1"/>
  <c r="L91" i="55"/>
  <c r="L104" i="55" s="1"/>
  <c r="F15" i="55" s="1"/>
  <c r="K134" i="55"/>
  <c r="M49" i="55"/>
  <c r="G10" i="55" s="1"/>
  <c r="C11" i="56" s="1"/>
  <c r="L170" i="55"/>
  <c r="L173" i="55" s="1"/>
  <c r="F23" i="55" s="1"/>
  <c r="AS13" i="48"/>
  <c r="M147" i="55" s="1"/>
  <c r="K150" i="55"/>
  <c r="K66" i="55"/>
  <c r="M78" i="55"/>
  <c r="G13" i="55" s="1"/>
  <c r="C14" i="56" s="1"/>
  <c r="K182" i="55"/>
  <c r="L182" i="55"/>
  <c r="E28" i="55"/>
  <c r="K58" i="55"/>
  <c r="K60" i="55" s="1"/>
  <c r="E11" i="55" s="1"/>
  <c r="L58" i="55"/>
  <c r="M205" i="55"/>
  <c r="G27" i="55" s="1"/>
  <c r="C25" i="56" s="1"/>
  <c r="L178" i="55"/>
  <c r="K147" i="55"/>
  <c r="L129" i="55"/>
  <c r="L59" i="55"/>
  <c r="L65" i="55"/>
  <c r="L132" i="55"/>
  <c r="L115" i="55"/>
  <c r="F16" i="55" s="1"/>
  <c r="AS19" i="43"/>
  <c r="AS21" i="54"/>
  <c r="AS17" i="38"/>
  <c r="M58" i="55" s="1"/>
  <c r="D9" i="55"/>
  <c r="J91" i="55"/>
  <c r="AS21" i="41"/>
  <c r="M91" i="55" s="1"/>
  <c r="AS16" i="2"/>
  <c r="M68" i="55" s="1"/>
  <c r="J65" i="55"/>
  <c r="AS13" i="2"/>
  <c r="AS14" i="47"/>
  <c r="M130" i="55" s="1"/>
  <c r="J130" i="55"/>
  <c r="M120" i="55"/>
  <c r="M124" i="55" s="1"/>
  <c r="G17" i="55" s="1"/>
  <c r="C17" i="56" s="1"/>
  <c r="AS17" i="44"/>
  <c r="J67" i="55"/>
  <c r="AS15" i="2"/>
  <c r="M67" i="55" s="1"/>
  <c r="J66" i="55"/>
  <c r="AS14" i="2"/>
  <c r="M66" i="55" s="1"/>
  <c r="B47" i="55"/>
  <c r="B48" i="55" s="1"/>
  <c r="B54" i="55" s="1"/>
  <c r="M192" i="55"/>
  <c r="G26" i="55" s="1"/>
  <c r="AS15" i="47"/>
  <c r="M131" i="55" s="1"/>
  <c r="J131" i="55"/>
  <c r="J158" i="55"/>
  <c r="AS13" i="49"/>
  <c r="M141" i="55"/>
  <c r="M54" i="55"/>
  <c r="J180" i="55"/>
  <c r="AS15" i="52"/>
  <c r="J182" i="55"/>
  <c r="AS17" i="52"/>
  <c r="M182" i="55" s="1"/>
  <c r="AS17" i="45"/>
  <c r="J170" i="55"/>
  <c r="AS13" i="51"/>
  <c r="M115" i="55"/>
  <c r="G16" i="55" s="1"/>
  <c r="C16" i="56" s="1"/>
  <c r="K40" i="55"/>
  <c r="K41" i="55" s="1"/>
  <c r="E9" i="55" s="1"/>
  <c r="AS14" i="50"/>
  <c r="M164" i="55"/>
  <c r="M165" i="55" s="1"/>
  <c r="G22" i="55" s="1"/>
  <c r="C21" i="56" s="1"/>
  <c r="AS16" i="53"/>
  <c r="J152" i="55"/>
  <c r="AS18" i="48"/>
  <c r="M152" i="55" s="1"/>
  <c r="J69" i="55"/>
  <c r="AS17" i="2"/>
  <c r="M69" i="55" s="1"/>
  <c r="J150" i="55"/>
  <c r="J149" i="55"/>
  <c r="AS15" i="48"/>
  <c r="M149" i="55" s="1"/>
  <c r="J181" i="55"/>
  <c r="AS16" i="52"/>
  <c r="M181" i="55" s="1"/>
  <c r="AS16" i="40"/>
  <c r="C31" i="56" l="1"/>
  <c r="C11" i="60"/>
  <c r="AS26" i="47"/>
  <c r="AS19" i="39"/>
  <c r="K131" i="55"/>
  <c r="K142" i="55" s="1"/>
  <c r="E19" i="55" s="1"/>
  <c r="E18" i="55"/>
  <c r="AS19" i="38"/>
  <c r="M60" i="55"/>
  <c r="G11" i="55" s="1"/>
  <c r="C12" i="56" s="1"/>
  <c r="K153" i="55"/>
  <c r="E20" i="55" s="1"/>
  <c r="F18" i="55"/>
  <c r="L183" i="55"/>
  <c r="F24" i="55" s="1"/>
  <c r="K70" i="55"/>
  <c r="E12" i="55" s="1"/>
  <c r="E14" i="55" s="1"/>
  <c r="L60" i="55"/>
  <c r="F11" i="55" s="1"/>
  <c r="L133" i="55"/>
  <c r="L150" i="55"/>
  <c r="L149" i="55"/>
  <c r="AS14" i="49"/>
  <c r="M158" i="55"/>
  <c r="M159" i="55" s="1"/>
  <c r="G21" i="55" s="1"/>
  <c r="C20" i="56" s="1"/>
  <c r="L70" i="55"/>
  <c r="F12" i="55" s="1"/>
  <c r="L134" i="55"/>
  <c r="L140" i="55"/>
  <c r="AS34" i="41"/>
  <c r="M104" i="55"/>
  <c r="G15" i="55" s="1"/>
  <c r="K183" i="55"/>
  <c r="E24" i="55" s="1"/>
  <c r="D10" i="55"/>
  <c r="M142" i="55"/>
  <c r="G19" i="55" s="1"/>
  <c r="C18" i="56" s="1"/>
  <c r="AS19" i="48"/>
  <c r="AS18" i="52"/>
  <c r="M180" i="55"/>
  <c r="M183" i="55" s="1"/>
  <c r="G24" i="55" s="1"/>
  <c r="C23" i="56" s="1"/>
  <c r="M153" i="55"/>
  <c r="G20" i="55" s="1"/>
  <c r="C19" i="56" s="1"/>
  <c r="B55" i="55"/>
  <c r="B56" i="55" s="1"/>
  <c r="B57" i="55" s="1"/>
  <c r="B58" i="55" s="1"/>
  <c r="B59" i="55" s="1"/>
  <c r="B65" i="55" s="1"/>
  <c r="M170" i="55"/>
  <c r="M173" i="55" s="1"/>
  <c r="G23" i="55" s="1"/>
  <c r="C22" i="56" s="1"/>
  <c r="AS16" i="51"/>
  <c r="C24" i="56"/>
  <c r="G28" i="55"/>
  <c r="M65" i="55"/>
  <c r="AS18" i="2"/>
  <c r="C32" i="56" l="1"/>
  <c r="C12" i="60"/>
  <c r="H12" i="60" s="1"/>
  <c r="L153" i="55"/>
  <c r="F20" i="55" s="1"/>
  <c r="H11" i="60"/>
  <c r="E25" i="55"/>
  <c r="L142" i="55"/>
  <c r="F19" i="55" s="1"/>
  <c r="F14" i="55"/>
  <c r="C15" i="56"/>
  <c r="G18" i="55"/>
  <c r="M70" i="55"/>
  <c r="G12" i="55" s="1"/>
  <c r="D11" i="55"/>
  <c r="B66" i="55"/>
  <c r="B67" i="55" s="1"/>
  <c r="B68" i="55" s="1"/>
  <c r="B69" i="55" s="1"/>
  <c r="B75" i="55" s="1"/>
  <c r="G25" i="55"/>
  <c r="C33" i="56" l="1"/>
  <c r="C13" i="60"/>
  <c r="F25" i="55"/>
  <c r="C13" i="56"/>
  <c r="C26" i="56" s="1"/>
  <c r="G14" i="55"/>
  <c r="D12" i="55"/>
  <c r="B76" i="55"/>
  <c r="B77" i="55" s="1"/>
  <c r="B83" i="55" s="1"/>
  <c r="C34" i="56" l="1"/>
  <c r="C14" i="60"/>
  <c r="H14" i="60" s="1"/>
  <c r="H13" i="60"/>
  <c r="D13" i="55"/>
  <c r="B84" i="55"/>
  <c r="B85" i="55" s="1"/>
  <c r="B87" i="55" s="1"/>
  <c r="B88" i="55" s="1"/>
  <c r="B91" i="55" s="1"/>
  <c r="C35" i="56" l="1"/>
  <c r="C15" i="60"/>
  <c r="B92" i="55"/>
  <c r="B93" i="55" s="1"/>
  <c r="H15" i="60" l="1"/>
  <c r="B94" i="55"/>
  <c r="B95" i="55" s="1"/>
  <c r="B96" i="55" s="1"/>
  <c r="B97" i="55" s="1"/>
  <c r="B98" i="55" s="1"/>
  <c r="B99" i="55" s="1"/>
  <c r="B100" i="55" s="1"/>
  <c r="B101" i="55" s="1"/>
  <c r="B102" i="55" s="1"/>
  <c r="B103" i="55" s="1"/>
  <c r="B109" i="55" s="1"/>
  <c r="B110" i="55" s="1"/>
  <c r="B111" i="55" s="1"/>
  <c r="B112" i="55" s="1"/>
  <c r="B113" i="55" s="1"/>
  <c r="B114" i="55" s="1"/>
  <c r="B120" i="55" s="1"/>
  <c r="B121" i="55" s="1"/>
  <c r="B122" i="55" s="1"/>
  <c r="B123" i="55" s="1"/>
  <c r="B129" i="55" s="1"/>
  <c r="D16" i="55" l="1"/>
  <c r="D15" i="55"/>
  <c r="D17" i="55"/>
  <c r="B130" i="55"/>
  <c r="B131" i="55" s="1"/>
  <c r="B132" i="55" s="1"/>
  <c r="B133" i="55" s="1"/>
  <c r="B134" i="55" s="1"/>
  <c r="B135" i="55" s="1"/>
  <c r="B136" i="55" s="1"/>
  <c r="B137" i="55" s="1"/>
  <c r="B138" i="55" s="1"/>
  <c r="B139" i="55" s="1"/>
  <c r="B140" i="55" s="1"/>
  <c r="B141" i="55" s="1"/>
  <c r="B147" i="55" s="1"/>
  <c r="C36" i="56" l="1"/>
  <c r="C16" i="60"/>
  <c r="C38" i="56"/>
  <c r="C18" i="60"/>
  <c r="H18" i="60" s="1"/>
  <c r="C37" i="56"/>
  <c r="C17" i="60"/>
  <c r="H17" i="60" s="1"/>
  <c r="D19" i="55"/>
  <c r="B148" i="55"/>
  <c r="B149" i="55" s="1"/>
  <c r="B150" i="55" s="1"/>
  <c r="B151" i="55" s="1"/>
  <c r="B152" i="55" s="1"/>
  <c r="B158" i="55" s="1"/>
  <c r="C39" i="56" l="1"/>
  <c r="C19" i="60"/>
  <c r="H19" i="60" s="1"/>
  <c r="H16" i="60"/>
  <c r="D20" i="55"/>
  <c r="B164" i="55"/>
  <c r="B170" i="55" s="1"/>
  <c r="D21" i="55"/>
  <c r="C41" i="56" l="1"/>
  <c r="C21" i="60"/>
  <c r="H21" i="60" s="1"/>
  <c r="C40" i="56"/>
  <c r="C20" i="60"/>
  <c r="D22" i="55"/>
  <c r="B171" i="55"/>
  <c r="B172" i="55" s="1"/>
  <c r="B178" i="55" s="1"/>
  <c r="C42" i="56" l="1"/>
  <c r="C22" i="60"/>
  <c r="H22" i="60" s="1"/>
  <c r="H20" i="60"/>
  <c r="B179" i="55"/>
  <c r="B180" i="55" s="1"/>
  <c r="B181" i="55" s="1"/>
  <c r="B182" i="55" s="1"/>
  <c r="B188" i="55" s="1"/>
  <c r="D23" i="55"/>
  <c r="C43" i="56" l="1"/>
  <c r="C23" i="60"/>
  <c r="H23" i="60" s="1"/>
  <c r="D24" i="55"/>
  <c r="B189" i="55"/>
  <c r="B190" i="55" s="1"/>
  <c r="B191" i="55" s="1"/>
  <c r="B197" i="55" s="1"/>
  <c r="C44" i="56" l="1"/>
  <c r="C24" i="60"/>
  <c r="H24" i="60" s="1"/>
  <c r="D26" i="55"/>
  <c r="B198" i="55"/>
  <c r="B199" i="55" s="1"/>
  <c r="B200" i="55" s="1"/>
  <c r="B201" i="55" s="1"/>
  <c r="B202" i="55" s="1"/>
  <c r="B203" i="55" s="1"/>
  <c r="B204" i="55" s="1"/>
  <c r="C45" i="56" l="1"/>
  <c r="C25" i="60"/>
  <c r="H25" i="60" s="1"/>
  <c r="D27" i="55"/>
  <c r="C46" i="56" l="1"/>
  <c r="C47" i="56" s="1"/>
  <c r="C26" i="60"/>
  <c r="H26" i="60" l="1"/>
  <c r="C27" i="60"/>
  <c r="H27"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LISETH MORALES R.</author>
  </authors>
  <commentList>
    <comment ref="I4" authorId="0" shapeId="0" xr:uid="{00000000-0006-0000-0100-000001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LISETH MORALES R.</author>
  </authors>
  <commentList>
    <comment ref="P34" authorId="0" shapeId="0" xr:uid="{00000000-0006-0000-0300-000001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45" authorId="0" shapeId="0" xr:uid="{00000000-0006-0000-0300-000002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53" authorId="0" shapeId="0" xr:uid="{00000000-0006-0000-0300-000003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64" authorId="0" shapeId="0" xr:uid="{00000000-0006-0000-0300-000004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74" authorId="0" shapeId="0" xr:uid="{00000000-0006-0000-0300-000005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82" authorId="0" shapeId="0" xr:uid="{00000000-0006-0000-0300-000006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08" authorId="0" shapeId="0" xr:uid="{00000000-0006-0000-0300-000007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19" authorId="0" shapeId="0" xr:uid="{00000000-0006-0000-0300-000008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28" authorId="0" shapeId="0" xr:uid="{00000000-0006-0000-0300-000009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46" authorId="0" shapeId="0" xr:uid="{00000000-0006-0000-0300-00000A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57" authorId="0" shapeId="0" xr:uid="{00000000-0006-0000-0300-00000B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63" authorId="0" shapeId="0" xr:uid="{00000000-0006-0000-0300-00000C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69" authorId="0" shapeId="0" xr:uid="{00000000-0006-0000-0300-00000D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77" authorId="0" shapeId="0" xr:uid="{00000000-0006-0000-0300-00000E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87" authorId="0" shapeId="0" xr:uid="{00000000-0006-0000-0300-00000F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96" authorId="0" shapeId="0" xr:uid="{00000000-0006-0000-0300-000010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9" authorId="0" shapeId="0" xr:uid="{00000000-0006-0000-0800-000001000000}">
      <text>
        <r>
          <rPr>
            <sz val="9"/>
            <color indexed="81"/>
            <rFont val="Tahoma"/>
            <family val="2"/>
          </rPr>
          <t xml:space="preserve">Señale el objetivo del proceso.
</t>
        </r>
      </text>
    </comment>
    <comment ref="C9" authorId="0" shapeId="0" xr:uid="{00000000-0006-0000-0800-000002000000}">
      <text>
        <r>
          <rPr>
            <sz val="10"/>
            <color indexed="81"/>
            <rFont val="Arial"/>
            <family val="2"/>
          </rPr>
          <t>Se entiende por Meta como el valor que se espera alcance el indicador (porcentual o absoluto) .  Se redacta con un verbo en infinito fuerte y realizable.</t>
        </r>
        <r>
          <rPr>
            <sz val="9"/>
            <color indexed="81"/>
            <rFont val="Tahoma"/>
            <family val="2"/>
          </rPr>
          <t xml:space="preserve">
</t>
        </r>
      </text>
    </comment>
    <comment ref="D9" authorId="0" shapeId="0" xr:uid="{00000000-0006-0000-0800-000003000000}">
      <text>
        <r>
          <rPr>
            <sz val="10"/>
            <color indexed="81"/>
            <rFont val="Arial"/>
            <family val="2"/>
          </rPr>
          <t xml:space="preserve">Indique el </t>
        </r>
        <r>
          <rPr>
            <b/>
            <sz val="10"/>
            <color indexed="81"/>
            <rFont val="Arial"/>
            <family val="2"/>
          </rPr>
          <t>valor</t>
        </r>
        <r>
          <rPr>
            <sz val="10"/>
            <color indexed="81"/>
            <rFont val="Arial"/>
            <family val="2"/>
          </rPr>
          <t xml:space="preserve"> (cantidad) que se espera alcance el indicador (porcentual o absoluto) .  </t>
        </r>
      </text>
    </comment>
    <comment ref="E9" authorId="0" shapeId="0" xr:uid="{00000000-0006-0000-0800-000004000000}">
      <text>
        <r>
          <rPr>
            <sz val="10"/>
            <color indexed="81"/>
            <rFont val="Arial"/>
            <family val="2"/>
          </rPr>
          <t xml:space="preserve">Señale el </t>
        </r>
        <r>
          <rPr>
            <b/>
            <sz val="10"/>
            <color indexed="81"/>
            <rFont val="Arial"/>
            <family val="2"/>
          </rPr>
          <t>nombre del indicador</t>
        </r>
        <r>
          <rPr>
            <sz val="10"/>
            <color indexed="81"/>
            <rFont val="Arial"/>
            <family val="2"/>
          </rPr>
          <t xml:space="preserve"> de acuerdo con las variables de medición de la meta programada.</t>
        </r>
      </text>
    </comment>
    <comment ref="F9" authorId="0" shapeId="0" xr:uid="{00000000-0006-0000-0800-000005000000}">
      <text>
        <r>
          <rPr>
            <sz val="10"/>
            <color indexed="81"/>
            <rFont val="Arial"/>
            <family val="2"/>
          </rPr>
          <t xml:space="preserve">Señale las </t>
        </r>
        <r>
          <rPr>
            <b/>
            <sz val="10"/>
            <color indexed="81"/>
            <rFont val="Arial"/>
            <family val="2"/>
          </rPr>
          <t>variables</t>
        </r>
        <r>
          <rPr>
            <sz val="10"/>
            <color indexed="81"/>
            <rFont val="Arial"/>
            <family val="2"/>
          </rPr>
          <t xml:space="preserve"> que entreguen información cuantitativa respecto del
desempeño (gestión o resultados) en el cumplimiento de la meta programada.</t>
        </r>
      </text>
    </comment>
    <comment ref="H9" authorId="0" shapeId="0" xr:uid="{00000000-0006-0000-0800-000006000000}">
      <text>
        <r>
          <rPr>
            <sz val="10"/>
            <color indexed="81"/>
            <rFont val="Arial"/>
            <family val="2"/>
          </rPr>
          <t xml:space="preserve">Señale cuáles son los Productos Finales (Bienes y
servicios que entrega) como resultado del cumplimiento de las metas estratégicas establecidas. </t>
        </r>
      </text>
    </comment>
    <comment ref="I9" authorId="0" shapeId="0" xr:uid="{00000000-0006-0000-0800-000007000000}">
      <text>
        <r>
          <rPr>
            <sz val="10"/>
            <color indexed="81"/>
            <rFont val="Arial"/>
            <family val="2"/>
          </rPr>
          <t>Indique las actividades relevantes y necesarias para  el cumplimiento de las metas estratégicas establecidas.</t>
        </r>
      </text>
    </comment>
    <comment ref="J9" authorId="0" shapeId="0" xr:uid="{00000000-0006-0000-0800-000008000000}">
      <text>
        <r>
          <rPr>
            <sz val="10"/>
            <color indexed="81"/>
            <rFont val="Arial"/>
            <family val="2"/>
          </rPr>
          <t>Señale la(s) dependencia(s) líder(es) y operativa(s) en la consecución de las metas estratégicas establecidas.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Esteban Mateus Velez</author>
  </authors>
  <commentList>
    <comment ref="C13" authorId="0" shapeId="0" xr:uid="{00000000-0006-0000-0B00-000001000000}">
      <text>
        <r>
          <rPr>
            <b/>
            <sz val="9"/>
            <color indexed="81"/>
            <rFont val="Tahoma"/>
            <family val="2"/>
          </rPr>
          <t>08-RI-05</t>
        </r>
      </text>
    </comment>
  </commentList>
</comments>
</file>

<file path=xl/sharedStrings.xml><?xml version="1.0" encoding="utf-8"?>
<sst xmlns="http://schemas.openxmlformats.org/spreadsheetml/2006/main" count="2872" uniqueCount="903">
  <si>
    <t>MAGNITUD PROGRAMADA META</t>
  </si>
  <si>
    <t>ACTIVIDADES OPERATIVAS</t>
  </si>
  <si>
    <t>RESPONSABLES</t>
  </si>
  <si>
    <t>Oficina de Control Interno</t>
  </si>
  <si>
    <t>OBSERVACIONES:</t>
  </si>
  <si>
    <t>EJECUCIÓN PLANEADA</t>
  </si>
  <si>
    <t>TOTAL PROGRAMADO</t>
  </si>
  <si>
    <t>EJECUCIÓN ACUMULADA</t>
  </si>
  <si>
    <t>ENERO</t>
  </si>
  <si>
    <t>FEBRERO</t>
  </si>
  <si>
    <t>MARZO</t>
  </si>
  <si>
    <t>TOTAL TRIMESTRE</t>
  </si>
  <si>
    <t>MAYO</t>
  </si>
  <si>
    <t>JUNIO</t>
  </si>
  <si>
    <t>JULIO</t>
  </si>
  <si>
    <t>AGOSTO</t>
  </si>
  <si>
    <t>SEPTIEMBRE</t>
  </si>
  <si>
    <t>OCTUBRE</t>
  </si>
  <si>
    <t>NOVIEMBRE</t>
  </si>
  <si>
    <t>DICIEMBRE</t>
  </si>
  <si>
    <t>Programado</t>
  </si>
  <si>
    <t>Ejecutado</t>
  </si>
  <si>
    <t>RESPONSABLE:</t>
  </si>
  <si>
    <t>PROMEDIO</t>
  </si>
  <si>
    <t xml:space="preserve">EJECUTADO Vs. PROGRAMADO  </t>
  </si>
  <si>
    <t>PRODUCTO</t>
  </si>
  <si>
    <t>PRIMER TRIMESTRE</t>
  </si>
  <si>
    <t>SEGUNDO TRIMESTRE</t>
  </si>
  <si>
    <t>TERCER TRIMESTRE</t>
  </si>
  <si>
    <t>CUARTO TRIMESTRE</t>
  </si>
  <si>
    <t>TOTAL AÑO</t>
  </si>
  <si>
    <t>LÍNEA BASE</t>
  </si>
  <si>
    <t xml:space="preserve">FECHA DE ELABORACIÓN: </t>
  </si>
  <si>
    <t xml:space="preserve">ABRIL </t>
  </si>
  <si>
    <t>META OPERATIVA</t>
  </si>
  <si>
    <t>OBJETIVO DEL PROCESO</t>
  </si>
  <si>
    <t>Versión:</t>
  </si>
  <si>
    <t>Página:</t>
  </si>
  <si>
    <t>Vigente desde:</t>
  </si>
  <si>
    <r>
      <t xml:space="preserve">Código: </t>
    </r>
    <r>
      <rPr>
        <sz val="12"/>
        <color theme="1"/>
        <rFont val="Arial"/>
        <family val="2"/>
      </rPr>
      <t>01-FR-03</t>
    </r>
  </si>
  <si>
    <t>CONTROL DE CAMBIOS</t>
  </si>
  <si>
    <r>
      <t>CÓDIGO DEL DOCUMENTO</t>
    </r>
    <r>
      <rPr>
        <sz val="11"/>
        <rFont val="Arial"/>
        <family val="2"/>
      </rPr>
      <t>:</t>
    </r>
  </si>
  <si>
    <t>FECHA DE VERSIÓN 1:</t>
  </si>
  <si>
    <t>dd / mm / aaaa</t>
  </si>
  <si>
    <t>Versión</t>
  </si>
  <si>
    <t>Descripción</t>
  </si>
  <si>
    <t>CONTROL DE ACTUALIZACIONES</t>
  </si>
  <si>
    <t>Motivo de la Modificación</t>
  </si>
  <si>
    <t>Fecha  Modificación</t>
  </si>
  <si>
    <t>No. Páginas Modificadas</t>
  </si>
  <si>
    <t>Responsable 
Solicitud Cambio</t>
  </si>
  <si>
    <t>DD</t>
  </si>
  <si>
    <t>MM</t>
  </si>
  <si>
    <t>AAAA</t>
  </si>
  <si>
    <t>Elaboró:</t>
  </si>
  <si>
    <t>Revisó:</t>
  </si>
  <si>
    <t>Aprobó:</t>
  </si>
  <si>
    <t>CAMPO</t>
  </si>
  <si>
    <t>DESCRIPCIÓN</t>
  </si>
  <si>
    <t>FORMATO DE PLAN OPERATIVO ANUAL</t>
  </si>
  <si>
    <t>INSTRUCCIONES PARA EL DILIGENCIAMIENTO DEL FORMATO DE PLAN OPERATIVO ANUAL</t>
  </si>
  <si>
    <t>OBJETIVO DEL PROCESO:</t>
  </si>
  <si>
    <t>META OPERATIVA:</t>
  </si>
  <si>
    <t>MAGNITUD PROGRAMADA META OPERATIVA</t>
  </si>
  <si>
    <t>MAGNITUD PROGRAMADA META OPERATIVA:</t>
  </si>
  <si>
    <t>INDICADOR(ES) DE LA META OPERATIVA:</t>
  </si>
  <si>
    <t>INDICADOR(ES) DE LA META OPERATIVA</t>
  </si>
  <si>
    <t>FÓRMULA DEL (LOS) INDICADOR(ES)</t>
  </si>
  <si>
    <t>FÓRMULA DEL (LOS) INDICADOR(ES):</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</si>
  <si>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operativa programada.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</si>
  <si>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</si>
  <si>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</si>
  <si>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r>
      <t xml:space="preserve">Señale el </t>
    </r>
    <r>
      <rPr>
        <b/>
        <sz val="12"/>
        <rFont val="Arial"/>
        <family val="2"/>
      </rPr>
      <t>nombre del (los) indicador(es)</t>
    </r>
    <r>
      <rPr>
        <sz val="12"/>
        <rFont val="Arial"/>
        <family val="2"/>
      </rPr>
      <t>, de acuerdo con las variables de medición de la meta operativa programada.</t>
    </r>
  </si>
  <si>
    <r>
      <t>Indique el</t>
    </r>
    <r>
      <rPr>
        <b/>
        <sz val="12"/>
        <rFont val="Arial"/>
        <family val="2"/>
      </rPr>
      <t xml:space="preserve"> valor</t>
    </r>
    <r>
      <rPr>
        <sz val="12"/>
        <rFont val="Arial"/>
        <family val="2"/>
      </rPr>
      <t xml:space="preserve"> (cantidad) que se espera alcance la meta y que se refeleje en el indicador (porcentual o absoluto)  </t>
    </r>
  </si>
  <si>
    <r>
      <t xml:space="preserve">Registre </t>
    </r>
    <r>
      <rPr>
        <b/>
        <sz val="12"/>
        <rFont val="Arial"/>
        <family val="2"/>
      </rPr>
      <t>la(s) meta(s)</t>
    </r>
    <r>
      <rPr>
        <sz val="12"/>
        <rFont val="Arial"/>
        <family val="2"/>
      </rPr>
      <t xml:space="preserve"> que permitirá(n) la consecución del objetivo del Proceso al cual corresponde el POA. Se entiende por Meta como el valor que se espera alcance el indicador (porcentual o absoluto). Se redacta con un verbo en infinitivo fuerte y realizable.</t>
    </r>
  </si>
  <si>
    <t>PRODUCTO:</t>
  </si>
  <si>
    <r>
      <t xml:space="preserve">Señale cuáles son los </t>
    </r>
    <r>
      <rPr>
        <b/>
        <sz val="12"/>
        <rFont val="Arial"/>
        <family val="2"/>
      </rPr>
      <t>productos finales</t>
    </r>
    <r>
      <rPr>
        <sz val="12"/>
        <rFont val="Arial"/>
        <family val="2"/>
      </rPr>
      <t xml:space="preserve"> (bienes y servicios que entrega) como resultado del cumplimiento de las metas operativas establecidas. </t>
    </r>
  </si>
  <si>
    <t>ACCIONES OPERATIVAS:</t>
  </si>
  <si>
    <r>
      <t xml:space="preserve">Indique las </t>
    </r>
    <r>
      <rPr>
        <b/>
        <sz val="12"/>
        <rFont val="Arial"/>
        <family val="2"/>
      </rPr>
      <t>acciones</t>
    </r>
    <r>
      <rPr>
        <sz val="12"/>
        <rFont val="Arial"/>
        <family val="2"/>
      </rPr>
      <t xml:space="preserve"> relevantes y necesarias para  el cumplimiento de las metas operativas establecidas.</t>
    </r>
  </si>
  <si>
    <t>RESPONSABLES:</t>
  </si>
  <si>
    <t>EJECUCIÓN PLANEADA:</t>
  </si>
  <si>
    <t>Registre la denominación del empleo de nivel directivo (Jefes de Dependencias) del (los) responsable(s) líder(es) y operativo(s) en la consecución de las metas establecidas.</t>
  </si>
  <si>
    <t>En esta sección encontrará los doce meses del año, agrupados por trimestre. A su vez, cada mes y cada trimestre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</si>
  <si>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TOTAL PROGRAMADO:</t>
  </si>
  <si>
    <t>Espacio de cálculo del total programado pre- diligenciado por la Dirección de Planeación.</t>
  </si>
  <si>
    <t>EJECUCIÓN ACUMULADA:</t>
  </si>
  <si>
    <t>Espacio de cálculo del total de la ejecución acumulada pre- diligenciado por la Dirección de Planeación.</t>
  </si>
  <si>
    <t>Espacio de cálculo del total programado vs. el total de la ejecución acumulada pre- diligenciado por la Dirección de Planeación.</t>
  </si>
  <si>
    <t>1 de 1</t>
  </si>
  <si>
    <t>F</t>
  </si>
  <si>
    <t>R</t>
  </si>
  <si>
    <t>DESCRIPCIÓN DE LA  MODIFICACIÓN</t>
  </si>
  <si>
    <t>Suad Yusseth Fonseca Molina / Profesional Especializado 222-02 / Proceso Direccionamiento Estratégico</t>
  </si>
  <si>
    <t>José Vicente Casas Díaz / Director de Planeación / Proceso Direccionamiento Estratégico</t>
  </si>
  <si>
    <r>
      <t xml:space="preserve">NOMBRE DEL DOCUMENTO:
</t>
    </r>
    <r>
      <rPr>
        <sz val="11"/>
        <rFont val="Arial"/>
        <family val="2"/>
      </rPr>
      <t>FORMATO DE PLAN OPERATIVO ANUAL</t>
    </r>
  </si>
  <si>
    <t>ACCIONES OPERATIVAS</t>
  </si>
  <si>
    <t>01</t>
  </si>
  <si>
    <t>Mejora continua. Concepción de la definición del POA como reflejo de la operación permanente de los Procesos.</t>
  </si>
  <si>
    <t>Director de Planeación</t>
  </si>
  <si>
    <r>
      <t>Germán Uriel Rojas / Profesional Especializado</t>
    </r>
    <r>
      <rPr>
        <sz val="10"/>
        <color rgb="FFFF0000"/>
        <rFont val="Arial"/>
        <family val="2"/>
      </rPr>
      <t xml:space="preserve"> </t>
    </r>
    <r>
      <rPr>
        <sz val="10"/>
        <rFont val="Arial"/>
        <family val="2"/>
      </rPr>
      <t>222-07 / Proceso Direccionamiento Estratégico</t>
    </r>
  </si>
  <si>
    <t>05-07-2017</t>
  </si>
  <si>
    <t>Cambios en la estructura general del formato. Alineación directa de la meta operativa con el objetivo del Proceso correspondiente y no con los objetivos y metas estratégicas. (01-RE-03 / 01-RE-15)</t>
  </si>
  <si>
    <t>2 de 3</t>
  </si>
  <si>
    <t>3 de 3</t>
  </si>
  <si>
    <t>Cambios en la Guía para Elaboración de Documentos del MIPER. Mejora continua.</t>
  </si>
  <si>
    <t>05</t>
  </si>
  <si>
    <t>07</t>
  </si>
  <si>
    <r>
      <t xml:space="preserve">Escriba el </t>
    </r>
    <r>
      <rPr>
        <b/>
        <sz val="12"/>
        <rFont val="Arial"/>
        <family val="2"/>
      </rPr>
      <t>objetivo</t>
    </r>
    <r>
      <rPr>
        <sz val="12"/>
        <rFont val="Arial"/>
        <family val="2"/>
      </rPr>
      <t xml:space="preserve"> del Proceso al cual corresponde el POA. Este objetivo es el registrado en la Caracterización de Proceso que se encuentre vigente.</t>
    </r>
  </si>
  <si>
    <t>El Plan Operativo Anual - POA es el instrumento que refleja la planeación operativa de cada Proceso. En él se deben registrar las metas del nivel operativo, es decir aquellas que expresan la operación de un Proceso y conllevan al cumplimiento de su objetivo, durante una vigencia. Como su nombre lo indica, tiene periodicidad anual.</t>
  </si>
  <si>
    <t>Registre las observaciones que considere pertinentes, tanto al momento de la programación, como en los diferentes reportes de avance de cumplimiento de las metas.</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</si>
  <si>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</si>
  <si>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FECHA DE ELABORACIÓN:</t>
  </si>
  <si>
    <t>Registre el nombre completo y la denominación del empleo del (la) responsable del Proceso.</t>
  </si>
  <si>
    <t>Cambios en la estructura y denominación de algunos componentes del formato. Inclusión de instructivo del formato. Inclusión de la Hoja de Control de Cambios del registro Plan Operativo Anual, una vez se constituya en documento del MIPER.</t>
  </si>
  <si>
    <t>Número de actividades realizadas / Número de actividades programadas *100</t>
  </si>
  <si>
    <t>Estrategia de Comunicación.</t>
  </si>
  <si>
    <t>Campaña de sensibilización.</t>
  </si>
  <si>
    <t>Porcentaje de avance en el diseño y ejecución de la campaña de divulgación para contribuir en la promoción de los derechos humanos en el distrito capital</t>
  </si>
  <si>
    <t>Porcentaje de avance en el diseño y ejecución de la campaña de sensibilización para ayudar a promover los derechos de las personas en el Distrito Capital.</t>
  </si>
  <si>
    <t xml:space="preserve">1) Diseñar tres (3) piezas gráficas promocionales; promoción de los derechos humanos en el distrito capital
2) Elaborar (2) comunicados de prensa 
3) Diseñar dos (2) banner publicitarios en la página web institucional, promocionando los derechos humanos en el Distrito Capital. </t>
  </si>
  <si>
    <t xml:space="preserve">1) Elaborar un (1) comercial promocional, que será divulgado en los canales público - privados, sin costo, gracias a la alianza con la CRC.
2) Diseñar dos (2) piezas gráficas promocionales para ayudar a promover los derechos de las personas en Distrito Capital
3) Elaborar (4) comunicados de prensa                                                                                                                                                                                                                         </t>
  </si>
  <si>
    <t>Porcentaje de avance en el diseño y ejecución de la campaña de divulgación para promover una Cultura de Calidad, Buen Servicio y Mejora Continua</t>
  </si>
  <si>
    <t>1) Diseñar tres (3) piezas gráficas promocionales; para promover una Cultura de Calidad, Buen Servicio y Mejora Continua 
2) Elaborar (2) comunicados de prensa 
3) Diseñar dos (2) banner publicitarios en la página web institucional, para promover una Cultura de Calidad, Buen Servicio y Mejora Continua</t>
  </si>
  <si>
    <t>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t>
  </si>
  <si>
    <t>1) Diseñar tres (3) piezas gráficas promocionales; para ayudar a implementar una estrategia de lucha contra la corrupción mediante la sensibilización de los(as) funcionarios(as), la participación ciudadana, el acceso a la información pública y la rendición de cuentas.
2) Elaborar (2) comunicados de prensa 
3) Diseñar dos (2) banner publicitarios en la página web institucional, para ayudar a implementar una estrategia de lucha contra la corrupción mediante la sensibilización de los(as) funcionarios(as), la participación ciudadana, el acceso a la información pública y la rendición de cuentas.</t>
  </si>
  <si>
    <t>Plan Operativo Anual Vigencia 2020</t>
  </si>
  <si>
    <t>INDICADORES DE LA META</t>
  </si>
  <si>
    <t>FÓRMULA DEL INDICADOR</t>
  </si>
  <si>
    <t>LINEA BASE</t>
  </si>
  <si>
    <t>Número de acciones de promoción  realizadas</t>
  </si>
  <si>
    <t>1. Definir los temas para las acciones de promoción
2. Elaborar material de difusión.
3. Enviar material de difusión a la Coordinación de MP y DDHH para su revisión y validación
4. Realizar difusión del material aprobado. 
5. Entregar los soportes  de  la difusión (planillas o certificaciones, fotos).</t>
  </si>
  <si>
    <t>Número de Intervenciones de oficio adelantadas en defensa de los derechos + Número de Intervenciones a petición de parte adelantadas en defensa de los derechos</t>
  </si>
  <si>
    <t>1. Intervenir a petición de parte y de oficio en defensa de los derechos.
2. Realizar el reporte de las intervenciones realizadas por los ministerios públicos según criterios establecidos.</t>
  </si>
  <si>
    <t>Número de acciones adelantadas en favor de la población víctima del conflicto armado</t>
  </si>
  <si>
    <t>1. Realizar Toma de declaraciones (RUV).
2. Realizar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</si>
  <si>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Número total de requerimientos ciudadanos  finalizados con respuesta de fondo.</t>
  </si>
  <si>
    <t>1. Recibir el requerimiento y crear registro en el aplicativo institucional.
2. Realizar el trámite correspondiente.
3. Informar al peticionario sobre la actuación..
4. Finalizar el requerimiento en el aplicativo institucional.</t>
  </si>
  <si>
    <t>Número de solicitudes de audiencias de conciliación +  Número de declaraciones de unión marital de hecho atendidas</t>
  </si>
  <si>
    <t>1. Recibir las solicitudes de conciliación.
2. Realizar registro de la solicitud en el aplicativo SICAAC.  
3. Atender las solicitudes de conciliación según lineamientos institucionales.</t>
  </si>
  <si>
    <t>Director Centro de Conciliación</t>
  </si>
  <si>
    <t>1. Recopilación de la información y datos relevantes, bajo los diferentes mecanismos que se consideren necesarios.
2. Elaboración del informe.  
3. Socialización del informe con sus respectivas conclusiones y acciones a tomar.</t>
  </si>
  <si>
    <t>Numero de informes de seguimientos sobre el cumplimiento la Política Pública de Mujeres y Equidad de Género en el Distrito Capital.</t>
  </si>
  <si>
    <t>Un (1) Informe de seguimiento sobre el cumplimiento la Política Pública de Mujeres y Equidad de Género en el Distrito Capital.</t>
  </si>
  <si>
    <t>1. Plantear objetivo del seguimiento
2. Realizar visitas administrativas
3. Hacer solicitudes de información a entidades vigiladas
4. Consolidar informe.</t>
  </si>
  <si>
    <t>Numero de mecanismos de prevención implementados</t>
  </si>
  <si>
    <t>Personera Delegada para Asuntos Penales II</t>
  </si>
  <si>
    <t>&gt;= 80%</t>
  </si>
  <si>
    <t xml:space="preserve">Muestreo 20% de las tutelas elaboradas en el mes inmediatamente anterior.
∑ Tutelas Elaboradas según muestreo
--------------------------------------------------- * 100
∑ Tutelas Falladas a Favor
</t>
  </si>
  <si>
    <t>&gt; 88%</t>
  </si>
  <si>
    <t>El 80% al 100% de las tutelas elaboradas en el mes inmediatamente anterior (según muestreo), con fallo a favor.</t>
  </si>
  <si>
    <t>1. Recibir el requerimiento (asistencia) del ciudadano, previa revisión de documentos.
2. Elaborar la Tutela al ciudadano.
3. Registrar la tutela en el aplicativo especifico para tutelas del SINPROC.
4. Seleccionar aleatoriamente las tutelas elaboradas en el mes inmediatamente anterior, según muestreo.
5. Verificar con el peticionario o entidad competente, el fallo dado a la tutela</t>
  </si>
  <si>
    <t>∑ Personas sensibilizadas en derechos y deberes</t>
  </si>
  <si>
    <t>1. Definir los temas y las poblaciones a sensibilizar
2. Elaborar o actualizar material de difusión
3. Realizar la difusión del material
4. Entregar soportes de la difusión (planillas o certificaciones)</t>
  </si>
  <si>
    <t>Número de espacios de transferencia y fortalecimiento de conocimientos realizados.</t>
  </si>
  <si>
    <t>Requerimientos finalizados en defensa de los derechos.</t>
  </si>
  <si>
    <t>Decisiones de fondo y de archivo verificadas</t>
  </si>
  <si>
    <t>Notificaciones realizadas</t>
  </si>
  <si>
    <t>20000 notificaciones realizadas</t>
  </si>
  <si>
    <t xml:space="preserve">1.. Notificarse de todas las actuaciones policivas y/o administrativas que sean puestas en conocimiento al MP y/o de oficio.
2. Realizar las intervenciones a que haya lugar
</t>
  </si>
  <si>
    <t>Asistencia a Audiencias Públicas</t>
  </si>
  <si>
    <t>Número de audiencias con asistencia por parte del Ministerio Público</t>
  </si>
  <si>
    <t>5500  Asistencias  a audiencias publicas</t>
  </si>
  <si>
    <t>1. Seleccionar por la importancia de su temática o por la calidad de los querellados (personas vulnerables), la asistencia a las audiencias que se programen en las inspecciones de policía.
2. Intervenir en defensa de los derechos y del debido  proceso, de ser necesario</t>
  </si>
  <si>
    <t>Número de personas sensibilizadas</t>
  </si>
  <si>
    <t xml:space="preserve">1. Programar por cada localidad los  eventos necesarios para cumplir con la meta.
2. Realizar las sensibilizaciones programadas.
 </t>
  </si>
  <si>
    <t>Actividades realizadas para fortalecer y promover la participación ciudadana</t>
  </si>
  <si>
    <t>Número de actividades con acompañamiento o seguimiento</t>
  </si>
  <si>
    <t>N/A</t>
  </si>
  <si>
    <t>1. Identificar las personas, lideres que ejerzan actividades de participación ciudadana
2.Selecionar que tipo de acompañamiento  seguimiento requieren para realizar su labor.
3. Realizar las actividades de fortalecimiento</t>
  </si>
  <si>
    <t>Sensibilización en medio ambiente</t>
  </si>
  <si>
    <t>1. Elegir y preparar los temas que se van a sensibilizar.
2. Elaborar el cronograma de actividades del año.
3. Realizar la convocatoria para la sensibilización
4. Realizar el evento</t>
  </si>
  <si>
    <t>Elaboración de tutelas</t>
  </si>
  <si>
    <t>Numero de tutelas elaboradas</t>
  </si>
  <si>
    <t>Impulsos realizados</t>
  </si>
  <si>
    <t>Seguimiento presupuestal</t>
  </si>
  <si>
    <t>Numero de seguimientos realizados</t>
  </si>
  <si>
    <t>60 seguimientos realizados al plan de desarrollo local</t>
  </si>
  <si>
    <t>Porcentaje de contratos revisados a petición de parte</t>
  </si>
  <si>
    <t>Número de contratos revisados con informe/Número de contratos con solicitud de revisión * 100</t>
  </si>
  <si>
    <t>Peticiones atendidas y tramitadas</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</si>
  <si>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</si>
  <si>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Contratos revisados de oficio</t>
  </si>
  <si>
    <t xml:space="preserve">Número de contratos revisados de oficio </t>
  </si>
  <si>
    <t>Intervenciones realizadas en defensa del patrimonio público</t>
  </si>
  <si>
    <t xml:space="preserve">1.Determinar que contratos se han celebrado del plan desarrollo local.
2. Realizar la revisión contractual de acuerdo con las directrices e instrumentos establecidos para tal fin.
3. Trasladar los hallazgos con incidencia disciplinaria, penal o fiscal.
</t>
  </si>
  <si>
    <t xml:space="preserve">Acciones de promoción y apropiación de derechos y deberes realizadas. </t>
  </si>
  <si>
    <t xml:space="preserve">Intervenciones adelantadas en el ejercicio del ministerio Público en defensa de los derechos </t>
  </si>
  <si>
    <t>Acciones adelantadas en favor de las víctimas del conflicto armado.</t>
  </si>
  <si>
    <t>Solicitudes de conciliación atendidas.</t>
  </si>
  <si>
    <t>Informe de seguimiento sobre el cumplimiento la Política Pública de Mujeres y Equidad de Género en el Distrito Capital.</t>
  </si>
  <si>
    <t xml:space="preserve">% de Tutelas con fallos a favor. </t>
  </si>
  <si>
    <t xml:space="preserve">Numero de personas sensibilizadas en derechos y deberes. </t>
  </si>
  <si>
    <t xml:space="preserve">Espacios de transferencia y fortalecimiento de conocimientos realizados para la atención de personas que acuden a la Personería de Bogotá, D. C. </t>
  </si>
  <si>
    <t xml:space="preserve">Audiencias  y mesas de trabajo realizadas 
</t>
  </si>
  <si>
    <t xml:space="preserve">Número de audiencias y mesas de trabajo realizadas </t>
  </si>
  <si>
    <t xml:space="preserve">Número de informes de acciones de prevención y control a la función pública realizados de manera oficiosa y a petición de parte </t>
  </si>
  <si>
    <t>Dar cumplimiento a los lineamientos establecidos en el Procedimiento Acción de Prevención y Control a la Función Pública (06-PT-01).</t>
  </si>
  <si>
    <t>Seguimientos realizados</t>
  </si>
  <si>
    <t>S.I.</t>
  </si>
  <si>
    <t>En la meta de Veedurías realizadas, se discriminan las que se van a hacer de manera programada y las que se pueden hacer a petición de parte estas últimas tomando como línea base 14 hechas durante el año 2019.</t>
  </si>
  <si>
    <t>Citaciones a audiencia emitidas</t>
  </si>
  <si>
    <t>Número de citaciones a audiencia emitidas</t>
  </si>
  <si>
    <t>Citaciones a audiencia emitidas.</t>
  </si>
  <si>
    <t>1. Identificar los asuntos disciplinarios que legalmente puedan tramitarse bajo la modalidad de procedimiento verbal.
2. Proferir autos de citación a audiencia.</t>
  </si>
  <si>
    <t>Número de citaciones a audiencia emitidas que terminan con fallo</t>
  </si>
  <si>
    <t>Número de fallos proferidos en procedimiento verbal</t>
  </si>
  <si>
    <t>Citaciones a audiencia terminadas en fallo.</t>
  </si>
  <si>
    <t>1. Evaluar y decidir en el desarrollo de las sesiones de audiencia si va a terminar con fallo sancionatorio o exoneratorio</t>
  </si>
  <si>
    <t>Fallos proferidos</t>
  </si>
  <si>
    <t>Número de fallos proferidos</t>
  </si>
  <si>
    <t>Fallos proferidos en primera instancia</t>
  </si>
  <si>
    <t xml:space="preserve">1. Identificar los procesos iniciados por procedimiento verbal y proceso ordinario que se encuentran en etapa de juicio y que puedan ser fallados en la vigencia.
2. Proferir fallo
</t>
  </si>
  <si>
    <t>Decisiones de fondo</t>
  </si>
  <si>
    <t xml:space="preserve">Número de decisiones de fondo proferidas </t>
  </si>
  <si>
    <t>procesos con decisión de fondo</t>
  </si>
  <si>
    <t>1. Evaluar y dar el impulso procesal correspondiente al 100% a las quejas recibidas a 15 de diciembre de 2020
2. Decidir las Indagaciones Preliminares que se encuentren con el término para su evaluación.
3. Decidir de fondo Investigaciones disciplinarias  que se encuentren en  término.</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</si>
  <si>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</si>
  <si>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Proteger la función pública al interior de la Personería de Bogotá, D. C. de posibles conductas disciplinarias realizadas por sus servidores(as) públicos(as) adelantando las actuaciones con observancia del debido proceso.</t>
  </si>
  <si>
    <r>
      <t xml:space="preserve">Código: </t>
    </r>
    <r>
      <rPr>
        <sz val="12"/>
        <rFont val="Arial"/>
        <family val="2"/>
      </rPr>
      <t>01-FR-03</t>
    </r>
  </si>
  <si>
    <t xml:space="preserve">Proveer el Talento Humano requerido por los procesos institucionales mediante la gestión del ingreso, permanencia, desarrollo integral y retiro de los(as) funcionarios(as), para el cumplimiento de la misión, objetivos y funciones de la
Personería de Bogotá, D.C.
</t>
  </si>
  <si>
    <t>Porcentaje de novedades y situaciones administrativas gestionadas</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</si>
  <si>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</si>
  <si>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Dependencia Líder: 
Dirección de Talento Humano
Dependencia Operativa:
Dirección de Talento Humano</t>
  </si>
  <si>
    <t xml:space="preserve">Porcentaje de incapacidades susceptibles de cobro gestionadas  </t>
  </si>
  <si>
    <t>N° de incapacidades cobradas ante EPS y ARL/ N° de incapacidades susceptibles de cobro * 100</t>
  </si>
  <si>
    <t xml:space="preserve">
Comprobantes de cobros ante las EPS Y ARL
Recobro de las incapacidades no pagadas por EPS y ARL, en los términos previstos por la ley.</t>
  </si>
  <si>
    <t xml:space="preserve">1. Recepcionar las incapacidades presentadas por los funcionarios a través de los medios dispuestos por la Subdirección de Gestión de Talento Humano.
2. Hacer seguimiento y requerir a los funcionarios que remitieron y / o radicaron incapacidades que no cumplen con los requisitos de la circular vigente.
3. Elaborar las planillas de cobro de las incapacidades, para ser radicadas ante las EPS y ARL correspondientes.
4. Descargar los pagos, reportados por la Secretaría Distrital de Hacienda, de incapacidades  que se encuentran en el rubro cuentas por cobrar de la entidad.
5. Realizar los recobros de las incapacidades que no han sido pagadas por parte de las EPS y ARL, en los términos previstos por la ley. 
</t>
  </si>
  <si>
    <t>Dependencia Líder: 
Dirección de Talento Humano
Dependencia Operativa:
Subdirección de Gestión del Talento Humano</t>
  </si>
  <si>
    <t xml:space="preserve">Documentos de las historias laborales actualizados
</t>
  </si>
  <si>
    <t>(Nº de documentos insertados en las historias laborales atendiendo principios de gestión documental y normativos / Nº de documentos asignados por  la Subdirección de Gestión del Talento Humano para ser insertados en las Historias Laborales) *100</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</si>
  <si>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</si>
  <si>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deben ser insertados en las Historias Laborales.
3. Clasificar los documentos asignados, previa inserción en las Historias Laborales.
4. Insertar los documentos en las Historias Laborales, atendiendo los principios de gestión documental y la normativa vigente.
5. Actualizar la Hoja de Control
6. Llevar el inventario documental respectivo.
7. Atender las solicitudes de préstamo de Historias Laborales, llevando el registro correspondiente y asegurando la recuperación de las Historias Laborales al final de la consulta.</t>
  </si>
  <si>
    <t>Historias laborales en préstamo con documentos actualizados</t>
  </si>
  <si>
    <t>(No de Historias laborales en préstamo con documentos actualizados / No de Historias laborales entregadas en préstamo) *100</t>
  </si>
  <si>
    <t xml:space="preserve">
N° de solicitudes de certificación laboral o de bono pensional tramitadas /  N° de solicitudes de certificación laboral o de bono pensional   radicadas por los canales disponibles  * 100
</t>
  </si>
  <si>
    <t>Certificaciones laborales y de bonos pensionales de los servidores y ex servidores de la Personería de Bogotá, D.C., elaboradas y entregadas de manera oportuna y cumpliendo las obligaciones legales de la Entidad y de la Subdirección de Gestión del Talento Humano.</t>
  </si>
  <si>
    <t>1. Recibir las solicitudes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</si>
  <si>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 xml:space="preserve">[Total certificaciones bonos pensionales tramitadas ( &lt;10 días) + (Total certificaciones laborales tramitadas ( &lt; 10 días)] / (Total de solicitudes radicadas) * 100
</t>
  </si>
  <si>
    <t>Plan Institucional de Capacitación formulado y ejecutado</t>
  </si>
  <si>
    <t>Porcentaje de avance en la formulación y ejecución del Plan Institucional de Capacitación</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</si>
  <si>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</si>
  <si>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las competencias prioritarias, para focalizar los programas de capacitación, de acuerdo a las necesidades de capacitación identificadas y las metas estratégicas de la Entidad. (10%)
3. Elaborar y divulgar el Plan Institucional de Capacitación - PIC 2020 (20%)
4. Implementar el Plan Institucional de Capacitación - PIC 2020. (40%)
5. Hacer seguimiento y evaluación al Plan Institucional de Capacitación - PIC 2020.(20%)</t>
  </si>
  <si>
    <t>Dependencia Líder: 
Dirección de Talento Humano
Dependencia Operativa:
Subdirección de Desarrollo del Talento Humano</t>
  </si>
  <si>
    <t>Plan Institucional de Bienestar formulado y ejecutado</t>
  </si>
  <si>
    <t>Porcentaje de avance en la formulación y ejecución del Plan Institucional de Bienestar</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</si>
  <si>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</si>
  <si>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2019. (20%)
4. Implementar el Plan Institucional de Bienestar e Incentivos 2019. (40%)
5. Hacer seguimiento y evaluación al Plan Institucional de Bienestar e Incentivos 2019. (20%)</t>
  </si>
  <si>
    <t>Plan Institucional de Incentivos formulado y ejecutado</t>
  </si>
  <si>
    <t>Porcentaje de avance en la formulación y ejecución del Plan Institucional de Incentivos</t>
  </si>
  <si>
    <t xml:space="preserve">
1. Identificar los criterios para el otorgamiento de incentivos  a los servidores de la Entidad, en la vigencia 2020. (20%)
2. Elaborar aprobar y divulgar el Plan Institucional de Incentivos 2020. (20%)
3. Implementar el Plan Institucional de Incentivos 2020. (40%)
4. Hacer seguimiento y evaluación al Plan Institucional de Incentivos 2020. (20%)</t>
  </si>
  <si>
    <t>Plan Anual de Trabajo del Sistema de Gestión de Seguridad y Salud en el Trabajo SG-SST formulado y ejecutado</t>
  </si>
  <si>
    <t>Porcentaje de avance en la formulación y ejecución del Plan Anual de Trabajo del SG-SST</t>
  </si>
  <si>
    <t>Reconocimiento,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</si>
  <si>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Actualizar las herramientas del SG-SST: Matriz de Identificación de Peligros y Matriz de Requisitos Legales y ejecutar permanentemente las acciones que de ellas se deriven. (20%)
2. Mantener actualizada y armonizada con el MIPG, la documentación del SG-SST.  (10%)
3. Elaborar el Plan Anual de Trabajo del SG-SST 2020. (10%)
4. Ejecutar el Plan Anual de Trabajo del SG-SST 2020. (40%)
5. Hacer seguimiento y evaluación al Plan Anual de Trabajo del SG-SST 2020 (20%)</t>
  </si>
  <si>
    <t xml:space="preserve">Dependencias con seguimiento y/o capacitación a los  sistemas de gestión y Evaluación del Desempeño Laboral de la Personería de Bogotá, D.C. </t>
  </si>
  <si>
    <t xml:space="preserve">N° de dependencias con seguimiento y/o capacitación sobre los sistemas de gestión y Evaluación del Desempeño Laboral
</t>
  </si>
  <si>
    <t xml:space="preserve">1. Poner en funcionamiento el sistema de gestión y evaluación del desempeño laboral al interior de la entidad, de acuerdo con los procedimientos establecidos por el Departamento Administrativo de la Función Pública - DAFP y la Comisión Nacional del Servicio Civil - CNSC.   
2. Divulgar las disposiciones legales y reglamentarias relacionadas con los sistemas de gestión y Evaluación del Desempeño Laboral.
3. Efectuar la capacitación en materia de sistemas de gestión y Evaluación del Desempeño Laboral.   
4.Realizar informe anual con base en los resultados de los sistemas de gestión y Evaluación del Desempeño Laboral, para establecer los planes de: Estímulos, Capacitación y Bienestar por parte de la alta dirección. 
5.  Asesorar a los funcionarios de las diferentes dependencias que presenten dudas con respecto de los sistemas de gestión y evaluación del desempeño laboral.
6. Realizar el seguimiento al cumplimiento de las evaluaciones de los sistemas de gestión y del desempeño laboral según las fechas y situaciones establecidas en la normativa vigente.
</t>
  </si>
  <si>
    <t xml:space="preserve">Novedades incluidas en nómina liquidada y pagada oportunamente </t>
  </si>
  <si>
    <t xml:space="preserve"> N° de Novedades incluidas en la Nomina oportunamente / N° de novedades radicadas en los plazos establecidos</t>
  </si>
  <si>
    <t xml:space="preserve">Pago de la nómina de manera oportuna - fechas emitidas por Secretaria de Hacienda -  y cumpliendo las obligaciones legales de la Entidad y de la Subdirección de Gestión del Talento Humano, en materia salarial, prestacional, de aportes sociales y parafiscales y demás pagos o aportes a terceros que afecten la nómina.
</t>
  </si>
  <si>
    <t>1. Recibir por parte de la Dirección de Talento Humano, las Resoluciones de novedades autorizadas para el mes en liquidación; y por parte de los (las) funcionarios(as) y/o entidades externas, las modificaciones o autorizaciones que afecten la liquidación de la nómina; según las fechas previstas en el cronograma de nómina.
2. Realizar oportunamente el ingreso de las diferentes novedades que pueden afectar la liquidación de la nómina mensual, en el aplicativo de nómina PERNO.
3. Dar trámite oportuno a los descuentos salariales por conceptos de embargos de alimentos, que son originados por orden judicial y afectan el salario, así como de las libranzas de las diferentes Entidades Financieras, Cooperativas, Fondos, Sindicatos, Seguros y Medicina Prepagada, a petición de los (las) funcionarios(as) de la Entidad y que pueden afectar la liquidación de la nómina.
4. Liquidar la nómina del mes en el sistema de nómina PERNO, e imprimir, revisar y aprobar la pre-nómina. 
5. Elaborar los informes mensuales, RA (Relación de Autorización) del aplicativo PERNO y los archivos planos, para ser enviados a la Dirección Administrativa y Financiera, para hacer el cargue de la nómina en el sistema de la Secretaría de Hacienda, para su respectivo pago.
6. Verificar y aprobar el pago de la nómina del mes liquidado, por medio de la firma del (la) Director(a) de Talento Humano, como ordenador(a) del gasto.
7. Elaborar el presupuesto relacionado con Servicios Personales Asociados a la Nómina de la Personería de Bogotá, D.C. con los valores proyectados para el pago de la nómina del mes siguiente a cada liquidación. Una vez al año, elaborar la proyección anual para la vigencia siguiente.</t>
  </si>
  <si>
    <t>Porcentaje de incapacidades superiores a 360 días de radicadas, que no han sido pagadas por las EPS, radicadas y gestionadas ante la instancia correspondiente.</t>
  </si>
  <si>
    <t xml:space="preserve"> (N° incapacidades superiores a 360 días que no han sido  pagadas parcial o totalmente por las EPS o ARL radicadas y gestionadas ante la instancia correspondiente para cobro coactivo /N° incapacidades superiores a 360 días que no han sido pagadas por las EPS o ARL) * 100</t>
  </si>
  <si>
    <t xml:space="preserve">Oficios radicados que demuestran la gestión de cobro realizada.
</t>
  </si>
  <si>
    <t>1.	Reclasificación de la edad de la cartera
2.	Recolección de soportes para remisión de casos
3.	Oficios remisorios con relación de las incapacidades 
4. Radicación ante la instancia respectiva.</t>
  </si>
  <si>
    <t>JOHANNA PAOLA MUNÍZ TORRENEGRA /DIRECTORA DE TALENTO HUMANO</t>
  </si>
  <si>
    <t>Servicios de mantenimiento de bienes e instalaciones atendidos satisfactoriamente</t>
  </si>
  <si>
    <t>No. Servicios de mantenimiento  atendidos satisfactoriamente/
No. servicios de mantenimiento requeridos *100</t>
  </si>
  <si>
    <t xml:space="preserve">Evaluaciones del servicio calificadas satisfactoriamente </t>
  </si>
  <si>
    <t xml:space="preserve">Presentar el cronograma de mantenimiento preventivo  de la Entidad
Presentar los resultados de las matriz de servicios de mantenimiento de bienes e instalaciones de manera trimestral 
</t>
  </si>
  <si>
    <t>Pedidos de almacén atendidos satisfactoriamente</t>
  </si>
  <si>
    <t>No. pedidos de almacén atendidos satisfactoriamente/
No. Pedidos de almacén requeridos *100</t>
  </si>
  <si>
    <t>Servicios de transporte atendidos satisfactoriamente</t>
  </si>
  <si>
    <t>No. Servicios de transporte atendidos satisfactoriamente/
No. servicios de transporte requeridos *100</t>
  </si>
  <si>
    <t xml:space="preserve">
Presentar los resultados de las matriz de servicios de transporte de manera trimestral 
</t>
  </si>
  <si>
    <t>Servicios de aseo y cafetería ejecutados satisfactoriamente</t>
  </si>
  <si>
    <t>No de servicios de aseo y cafetería prestados satisfactoriamente/ No de servicios de aseo y cafetería evaluados en el periodo*100</t>
  </si>
  <si>
    <t xml:space="preserve">
Presentar los resultados de las matriz de servicios de aseo y cafetería de manera trimestral 
</t>
  </si>
  <si>
    <t>Cumplimiento del plan de acción PESV</t>
  </si>
  <si>
    <t xml:space="preserve">Cronograma de ejecución del Plan Estratégico de Seguridad Vial </t>
  </si>
  <si>
    <t xml:space="preserve">Presentar los resultados y soportes del desarrollo de las actividades del Plan Estratégico de Seguridad vial de manera trimestral </t>
  </si>
  <si>
    <t xml:space="preserve">Cumplimiento de las actividades relacionadas con la ejecución de contratos de bienes y servicios </t>
  </si>
  <si>
    <t>No de actividades cumplidas sobre contratos asignados/ Total de actividades formuladas por contrato</t>
  </si>
  <si>
    <t xml:space="preserve">Matriz de seguimiento de ejecución de contratos de bienes y servicios  </t>
  </si>
  <si>
    <t xml:space="preserve">WILLIAM FUENTES CABALLERO / SUBDIRECTOR DE GESTIÓN DOCUMENTAL Y RECURSOS FÍSICOS </t>
  </si>
  <si>
    <t>Gestionar la prestación de los servicios operativos y la administración de los bienes e infraestructura a todos los procesos de la Personería de Bogotá D.C, para el desarrollo de la misión y los objetivos institucionales.</t>
  </si>
  <si>
    <t>Comunicar y divulgar información a nivel interno y externo a través de la generación de directrices y estrategias que permitan dar a conocer la gestión de la entidad a todas las partes interesadas.</t>
  </si>
  <si>
    <t>Prevenir y controlar la función pública, mediante actuaciones para vigilar hechos o conductas que vulneren los derechos de las personas, el ordenamiento jurídico o menoscaben el patrimonio público.</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</si>
  <si>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</si>
  <si>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Porcentaje de pagos realizados en el mes</t>
  </si>
  <si>
    <t>(Número de cuentas pagadas en el mes/Número de cuentas recibidas en el mes)*100</t>
  </si>
  <si>
    <t>Órdenes de pago gestionadas y aprobadas</t>
  </si>
  <si>
    <t>Revisar el cumplimiento de los requisitos establecidos para el pago de las cuentas entregadas por los ordenadores de gasto,  supervisores de contratos y/o funcionarios autorizados.
Registrar en el aplicativo de Operación y Gestión de Tesorería- OPGET, las órdenes de pago de bienes y servicios que cumplieron con los requisitos para pago, contaron con PAC y fueron entregadas  en las fechas establecidas por la entidad,  para aprobación por funcionarios de nivel directivo</t>
  </si>
  <si>
    <t>Gestionar la adquisición de los bienes y servicios programados en el plan anual de adquisiciones de la Entidad, con el propósito de cumplirlos objetivos establecidos en los planes, programas y proyectos institucionales de acuerdo con la normatividad vigente</t>
  </si>
  <si>
    <t>Porcentaje de ejecución del PAA correspondiente a gastos generales</t>
  </si>
  <si>
    <t>(Presupuesto ejecutado del PAA correspondiente a gastos generales / Presupuesto asignado del PAA correspondiente a gastos generales)*100</t>
  </si>
  <si>
    <t xml:space="preserve">Plan Anual de Adquisiciones ejecutado de acuerdo con la programación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</si>
  <si>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</si>
  <si>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Porcentaje de metros lineales de documentación recibida en el archivo central durante la vigencia, en atención al cronograma de transferencias y las solicitudes de las dependencia</t>
  </si>
  <si>
    <t>Metros lineales de documentación recibida en archivo central / Metros lineales de documentación transferida según cronograma de transferencias o en atención a solicitudes de las dependencias</t>
  </si>
  <si>
    <t xml:space="preserve">Reporte trimestral de transferencias documentales atendidas eficazmente por el archivo central </t>
  </si>
  <si>
    <t>Establecer el cronograma de transferencias documentales al archivo central
Atender las solicitudes de transferencia de documentos 
Actualizar la base de datos del inventario documental del archivo central con la documentación transferida durante la vigencia</t>
  </si>
  <si>
    <t>30 actividades</t>
  </si>
  <si>
    <t>Actividades de diseño o ajuste de instrumentos archivísticos establecidos por ley, desarrolladas en el periodo.</t>
  </si>
  <si>
    <t>Reporte trimestral de asistencias técnicas
Instrumentos archivísticos aprobados, ajustados o en implementación en la vigencia</t>
  </si>
  <si>
    <t>Elaborar o ajustar los instrumentos técnicos archivísticos establecidos por norma. 
Validar los instrumentos archivísticos elaborados con dependencias internas.
Gestionar la aprobación interna y/o convalidación cuando sea requerida, de los instrumentos archivísticos elaborados.</t>
  </si>
  <si>
    <t>Actividades de implementación de instrumentos archivísticos establecidos por ley, desarrolladas en el periodo.</t>
  </si>
  <si>
    <t>Cantidad de actividades de implementación de instrumentos archivísticos ejecutadas 
/
Cantidad de actividades programadas en el año para implementación de instrumentos archivísticos.</t>
  </si>
  <si>
    <t>Año 2018: 
50 actividades
Año 2019: 
39 actividades realizadas para diseñar, actualizar e implementar instrumentos archivísticos</t>
  </si>
  <si>
    <t>Reporte trimestral de asistencias técnicas
Informes de inspecciones a dependencias; recomendaciones a dependencias para ajustes en su organización de archivos y aplicación de lineamientos.</t>
  </si>
  <si>
    <t>SI</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</si>
  <si>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</si>
  <si>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t>
  </si>
  <si>
    <t>Defensa Judicial  Eficaz</t>
  </si>
  <si>
    <t>1) Recibir las solicitudes de conciliación, demandas
2) Hacer el reparto correspondiente entre los abogados 
3) Elaborar las fichas de conciliación
4) Asistir a las audiencias de conciliación                         5) Intervenir en el trámite de los procesos</t>
  </si>
  <si>
    <t xml:space="preserve">(Numero de acciones de tutela en las que se interviene oportunamente, de acuerdo a los términos fijados por los despachos judiciales / Numero total de acciones de tutela  en las que se acciona o vincula la entidad ) (x 100) </t>
  </si>
  <si>
    <t>Número de actualización de registros realizados / Número de solicitudes de actualización de registros recibidas  (x100)</t>
  </si>
  <si>
    <t xml:space="preserve">Porcentaje de emisión oportuna de conceptos jurídicos </t>
  </si>
  <si>
    <t xml:space="preserve">Número de conceptos emitidos oportunamente / Número de solicitudes de conceptos jurídicos recibidas </t>
  </si>
  <si>
    <t xml:space="preserve">Auditorias realizadas a los procesos de la Entidad </t>
  </si>
  <si>
    <t>No. de Auditorías realizadas a los procesos</t>
  </si>
  <si>
    <t xml:space="preserve">3 Informes de auditoria interna 
</t>
  </si>
  <si>
    <t xml:space="preserve">Realizar auditorías internas
Elaborar informe producto de las auditorias </t>
  </si>
  <si>
    <t>Auditorias Especiales realizadas</t>
  </si>
  <si>
    <t>No. de Auditorías especiales realizadas a los procesos</t>
  </si>
  <si>
    <t xml:space="preserve">2 Informes de auditoria especial
</t>
  </si>
  <si>
    <t>Realizar auditorías especiales
Elaborar informe producto de las auditorias</t>
  </si>
  <si>
    <t>Dependencias de la Entidad evaluadas en su gestión</t>
  </si>
  <si>
    <t>No. de Dependencias evaluadas</t>
  </si>
  <si>
    <t xml:space="preserve">65 Formatos diligenciados con la evaluación de gestión por dependencias
</t>
  </si>
  <si>
    <t xml:space="preserve">Solicitar información de gestión por dependencias a las Coordinaciones según el caso
Revisión y análisis del Plan Operativo Anual de la vigencia anterior  suministrado por la Dirección de Planeación
Realizar la evaluación de la gestión por dependencias y remisión del formato diligenciado a los responsables
</t>
  </si>
  <si>
    <t>Evaluaciones  realizadas sobre la efectividad del manejo de los Riesgos  Institucionales</t>
  </si>
  <si>
    <t>Número de evaluaciones sobre la efectividad del manejo de los riesgos   institucionales</t>
  </si>
  <si>
    <t xml:space="preserve">3  Informes de seguimiento y evaluación de la efectividad del manejo de los Riesgos institucionales.
</t>
  </si>
  <si>
    <t>Seguimientos semestrales  realizados  al Plan de Mejoramiento suscrito con la Contraloría de Bogotá D.C.</t>
  </si>
  <si>
    <t>2 Informes de seguimiento al Plan de Mejoramiento Institucional Suscrito con la Contraloría de Bogotá D.C.</t>
  </si>
  <si>
    <t xml:space="preserve">Informes presentados a entes externos y los requeridos por Ley </t>
  </si>
  <si>
    <t>No. De informes realizados</t>
  </si>
  <si>
    <t xml:space="preserve">Informes realizados
</t>
  </si>
  <si>
    <t>Priorizar los temas objeto de la sensibilización 
Preparar y presentar la sensibilización 
Listado de asistencia y evaluación.</t>
  </si>
  <si>
    <t>Estrategia de sensibilización  acerca de la cultura del control</t>
  </si>
  <si>
    <t>Estrategia realizada acerca  de la cultura del control</t>
  </si>
  <si>
    <t>Estrategia realizada acerca de la cultura del control</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</si>
  <si>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</si>
  <si>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r>
      <t xml:space="preserve">Elaboración de actas producto del seguimiento a las acciones establecidas suscritas en el Plan de Mejoramiento  de la Contraloría de Bogotá D.C., con  los  responsables de realizarlas.
Diligenciamiento del </t>
    </r>
    <r>
      <rPr>
        <sz val="14"/>
        <rFont val="Arial"/>
        <family val="2"/>
      </rPr>
      <t>formato establecido y solicitud y verificación de la publicación en la pagina web.
Elaboración y presentación de Informe escrito.</t>
    </r>
  </si>
  <si>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</si>
  <si>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Porcentaje de actividades de las mejores prácticas para la adecuada gestión de la infraestructura tecnológica de la Entidad implementadas</t>
  </si>
  <si>
    <t>Plan de capacidad de TI 
Plan de recuperación de desastres para los componentes tecnológicos</t>
  </si>
  <si>
    <t>•Diseñar y desarrollar el plan de capacidad de TI
•Ajustar el plan de recuperación de desastres para los componentes tecnológicos de acuerdo a la infraestructura actual
•Afinamiento de la infraestructura de Nube para los sistemas de información institucionales</t>
  </si>
  <si>
    <t>Porcentaje de actividades para mantener y evolucionar los sistemas de información de la Entidad acorde a las necesidades</t>
  </si>
  <si>
    <t>Ajustes realizados a los sistemas de información</t>
  </si>
  <si>
    <t xml:space="preserve">•Análisis, diseño, desarrollo y puesta en producción de los requerimientos acorde a las necesidades de la Entidad.
• Transferencia de conocimiento y socialización a los usuarios finales de los ajustes realizados. </t>
  </si>
  <si>
    <t>Porcentaje de actividades desarrolladas para la implementación del Sistema de Gestión de Seguridad de la Información SGSI</t>
  </si>
  <si>
    <t>Sistema de Gestión de Seguridad de la Información implementado</t>
  </si>
  <si>
    <t>• Implementación del plan de tratamiento del Riesgos de los procesos misionales.
• Definir y desarrollar de las actividades del plan de comunicaciones 2020.
• Aprobación y publicación de la matriz de los activos de información.
• Definir el componente de evaluación y desempeño del modelo de seguridad y privacidad de la información.</t>
  </si>
  <si>
    <t>Porcentaje de actividades del plan de acción enmarcadas en el manual de la política de Gobierno Digital desarrolladas</t>
  </si>
  <si>
    <t>Implementación del plan de acción de acuerdo al manual de la política de gobierno digital</t>
  </si>
  <si>
    <t>.
•Actualizar y desarrollar las actividades del plan de acción de acuerdo al manual de la política  de gobierno digital (Decreto 1008 de 2018)</t>
  </si>
  <si>
    <t>Porcentaje de requerimientos atendidos oportunamente</t>
  </si>
  <si>
    <t>Número de requerimientos atendidos en el ANS establecido/Número de requerimientos atendidos * 100</t>
  </si>
  <si>
    <t xml:space="preserve">
Informe de requerimientos gestionados</t>
  </si>
  <si>
    <t xml:space="preserve">• Brindar apoyo técnico a los casos de soporte registrados en la mesa de ayuda en línea.
</t>
  </si>
  <si>
    <t>Porcentaje de usuarios satisfechos</t>
  </si>
  <si>
    <t>Número de usuarios satisfechos con los servicios recibidos / Número de usuarios encuestados *100</t>
  </si>
  <si>
    <t>Informe de medición de satisfacción de usuarios.</t>
  </si>
  <si>
    <t>•  Aplicación de la encuesta de satisfacción a usuarios de servicios de TI</t>
  </si>
  <si>
    <t xml:space="preserve">Establecer las políticas, lineamientos, directrices, planes, programas, proyectos y recursos que orienten la gestión de la Entidad
para el cumplimiento de la misión institucional de forma transparente y participativa.
</t>
  </si>
  <si>
    <t>Plan operativo formulado</t>
  </si>
  <si>
    <t>Número de POA  formulado</t>
  </si>
  <si>
    <t xml:space="preserve">Plan operativo anual consolidado por procesos
</t>
  </si>
  <si>
    <t>Dirección de Planeación</t>
  </si>
  <si>
    <t>(Porcentaje de avance ejecutado/ Porcentaje de avance programado)</t>
  </si>
  <si>
    <t>Directivo(s) Responsable(s) líder(es) y operativo(s) de todos los procesos</t>
  </si>
  <si>
    <t xml:space="preserve">Número de visitas para realizar control a la gestión a instrumentos institucionales de planeación </t>
  </si>
  <si>
    <t>Control a la gestión a la ejecución del PEI y POA por Proceso, a los proyectos de inversión, al Plan de Mejoramiento por procesos y al Mapa de Riesgos Institucional.</t>
  </si>
  <si>
    <t>1. Dar las orientaciones a los procesos para la formulación del POA 2019.
2. Realizar la consolidación del POA por procesos para la vigencia 2019. 
3. Publicar el POA consolidado por procesos para la vigencia 2019.</t>
  </si>
  <si>
    <t>Desarrollar conocimiento e innovación, mediante la gestión de la información e iniciativas, que aseguren su transferencia y transformación.</t>
  </si>
  <si>
    <t>2  Espacios de transferencias   y  buenas prácticas realizadas.</t>
  </si>
  <si>
    <t>2 Espacios de  ideación  y creación de  innovación pública realizados.</t>
  </si>
  <si>
    <t xml:space="preserve">100%, </t>
  </si>
  <si>
    <t>Definir los lineamientos necesarios para satisfacer las necesidades y expectativas de los (as) usuarios(as) y partes interesadas, en el marco de las disposiciones legales vigentes, mediante los diferentes canales de atención con los que cuenta la Entidad.</t>
  </si>
  <si>
    <t>Porcentaje de acciones ejecutadas / porcentaje de acciones programadas</t>
  </si>
  <si>
    <t>Lineamientos establecidos</t>
  </si>
  <si>
    <t xml:space="preserve">
Secretaria (o) General</t>
  </si>
  <si>
    <t>S.I</t>
  </si>
  <si>
    <t>Lineamientos Implementados</t>
  </si>
  <si>
    <t>Análisis resultado de la medición de la encuesta de satisfacción</t>
  </si>
  <si>
    <t>Eficacia de la implementación de los lineamientos</t>
  </si>
  <si>
    <t xml:space="preserve">MIPG implementado en por lo menos un 60%
</t>
  </si>
  <si>
    <t>Mejora continua del Sistema de Gestión de la Calidad</t>
  </si>
  <si>
    <t>1.1 Orientar y coordinar la formulación del Plan Operativo Anual (POA) por procesos, correspondiente a la vigencia 2020</t>
  </si>
  <si>
    <t>1. Revisar autodiagnóstico 2019.
2. Validar evidencias de autodiagnóstico con los responsables.
3. Revisar el Plan de acción resultado de la validación.
4. Ejecutar el Plan de Acción actualizado. 
5. Hacer seguimiento a la ejecución del Plan de Acción actualizado.
6. Generar informe de avance en la implementación.</t>
  </si>
  <si>
    <t>Publicación  de seguimiento a planes, programas y proyectos</t>
  </si>
  <si>
    <t>100% de seguimientos publicados a planes, programas y proyectos</t>
  </si>
  <si>
    <t>1.4 Realizar control a la gestión a los instrumentos institucionales de planeación</t>
  </si>
  <si>
    <t>1.3 Consolidar y monitorear las actividades establecidas en el Plan Anticorrupción y de Atención al Ciudadano -PAAC-</t>
  </si>
  <si>
    <t>1. Coordinar la formulación del PAAC.
2. Consolidación y publicación del PAAC.
3. Monitoreo del avance de las actividades del PAAC.</t>
  </si>
  <si>
    <t xml:space="preserve">PAAC consolidado y publicado.
Monitoreos realizados
</t>
  </si>
  <si>
    <t>1. Diseñar un cronograma con la programación de las visitas de control a la gestión.
2. Enviar las comunicaciones oficiales con la programación y condiciones de las visitas de control a la gestión.
3. Realizar las visitas de control a la gestión.
4. Dejar registro de la visita o reunión de control a la gestión.</t>
  </si>
  <si>
    <t>1. Solicitar la información periódica a los procesos.
2. Procesar la información y de ser necesario solicitar explicaciones  o generar sugerencias sobre inconsistencias o aspectos de mejora identificados en la información recibida.
3. Consolidar información y publicar.</t>
  </si>
  <si>
    <t xml:space="preserve">1.2 Coordinar y ejecutar las actividades necesarias para la implementación del MIPG y la sostenibilidad  del Sistema de Gestión de Calidad.
(META TRANSVERSAL A TODOS LOS PROCESOS)
</t>
  </si>
  <si>
    <t>3.1 Implementar las mejores prácticas para la adecuada gestión de la infraestructura tecnológica de la Entidad.</t>
  </si>
  <si>
    <t>3.2 Mantener y evolucionar los sistemas de información de la Entidad acorde a las necesidades</t>
  </si>
  <si>
    <t xml:space="preserve">3.3 Desarrollar las actividades requeridas para la implementación del Sistema de Gestión de Seguridad de la Información SGSI
</t>
  </si>
  <si>
    <t>3.4 Desarrollar las actividades del plan de acción enmarcadas en el  manual de la política de Gobierno Digital</t>
  </si>
  <si>
    <t xml:space="preserve">3.5 Atender los  requerimientos de soporte técnico solicitados, según los acuerdos de nivel de servicio (ANS) establecidos para los servicios de TI
</t>
  </si>
  <si>
    <t xml:space="preserve">3.6 Obtener el nivel de satisfacción de los usuarios frente a los servicios de TI recibidos.
</t>
  </si>
  <si>
    <t>4.2 Diseñar y ejecutar una campaña de sensibilización para ayudar a promover los derechos de las personas en el Distrito Capital.</t>
  </si>
  <si>
    <t>4.3 Diseñar y ejecutar una campaña de divulgación para contribuir en la promoción de los derechos humanos en el distrito capital</t>
  </si>
  <si>
    <t>4.4 Diseñar y ejecutar una campaña de divulgación para ayudar a promover una Cultura de Calidad, Buen Servicio y Mejora Continua de los procesos institucionales, en el marco de los estándares internacionales y la normatividad vigente.</t>
  </si>
  <si>
    <t>4.5 Diseñar y ejecutar una campaña de divulgación para ayudar a implementar una estrategia de lucha contra la corrupción mediante la sensibilización de los(as) funcionarios(as), la participación ciudadana, el acceso a la información pública y la rendición de cuentas.</t>
  </si>
  <si>
    <t>5.1 Realizar  acciones de promoción y apropiación de derechos y deberes con los sujetos de especial protección constitucional y personas en general en el Distrito Capital.</t>
  </si>
  <si>
    <t>5.2 Adelantar gestiones para la defensa de los derechos de las personas del Distrito Capital</t>
  </si>
  <si>
    <t>5.3 Prestar servicio a los habitantes del Distrito capital a través de medios alternativos de resolución de conflictos</t>
  </si>
  <si>
    <t>5.5 Realizar seguimiento a la implementación de la Política Pública de Mujeres y Equidad de Género en el Distrito Capital</t>
  </si>
  <si>
    <t>6.1 Realizar las Audiencias Públicas y mesas de trabajo de los Requerimientos Ciudadanos aprobadas.</t>
  </si>
  <si>
    <t>6.2 Realizar informes de acciones de prevención y control a la función pública aprobadas dentro del Proceso.</t>
  </si>
  <si>
    <t>6. 3 Realizar seguimientos a las observaciones consignadas en los informes de acciones de prevención y control a la función pública.</t>
  </si>
  <si>
    <t xml:space="preserve">7.1 Emitir citaciones de audiencia y llevar el 50% a fallo
</t>
  </si>
  <si>
    <t>7.2 Proferir fallos</t>
  </si>
  <si>
    <t xml:space="preserve">7.3 Decidir de fondo procesos disciplinarios. 
</t>
  </si>
  <si>
    <t xml:space="preserve">9.1 Atender los servicios de mantenimiento de bienes e instalaciones en los tiempos de respuesta establecidos </t>
  </si>
  <si>
    <t xml:space="preserve">
9.2 Atender los servicios de almacén en los tiempos de respuesta establecidos </t>
  </si>
  <si>
    <t>9.3  Atender los servicios de transporte de manera satisfactoria</t>
  </si>
  <si>
    <t>9.4 Prestar los servicios de aseo y cafetería de manera satisfactoria</t>
  </si>
  <si>
    <t>9.6 Cumplir las actividades relacionadas con la ejecución de los contratos de bienes y servicios de los proyectos de inversión y gastos de funcionamiento del proceso.</t>
  </si>
  <si>
    <t>10.1 Realizar todos los pagos  presentados  por los ordenadores de gasto,  supervisores de contratos y /o funcionarios autorizados dentro del cronograma previsto por la entidad y el lleno de los requisitos para el pago.</t>
  </si>
  <si>
    <t xml:space="preserve">11.1 Ejecutar el Plan Anual de adquisiciones respecto a gastos generales.
</t>
  </si>
  <si>
    <t>12.1 Atender el cronograma de transferencias documentales y la totalidad de solicitudes de transferencia al archivo central</t>
  </si>
  <si>
    <t>13.1 Actuar en el 100% de los procesos judiciales en los que la Entidad sea vinculada,</t>
  </si>
  <si>
    <t xml:space="preserve">13.2 Actuar en el 100% de las acciones de tutela donde la entidad sea vinculada y/o accionada </t>
  </si>
  <si>
    <t xml:space="preserve">13.3 Mantener una base de datos consolidadas de las acciones populares y los comités de seguimiento a las mismas, así como ejercer la defensa en estas en los eventos que sean de nuestra competencia. </t>
  </si>
  <si>
    <t>13.4 Mantener actualizada la base de datos de sanciones disciplinarias de los servidores públicos distritales</t>
  </si>
  <si>
    <t xml:space="preserve">13.5Atender el 100% de los  conceptos jurídicos solicitados por el Despacho de la Personera de Bogotá o sus delegados.
</t>
  </si>
  <si>
    <t xml:space="preserve">14.1 Establecer los lineamientos mínimos requeridos para satisfacer las necesidades y expectativas de los (as) usuarios(as) y partes interesadas </t>
  </si>
  <si>
    <t xml:space="preserve">14.2 Verificar la eficacia de la implementación de los lineamientos establecidos  </t>
  </si>
  <si>
    <t>14.3  Evaluar la satisfacción de los usuarios, con el fin de tomar acciones que permitan el mejoramiento de la prestación del servicio</t>
  </si>
  <si>
    <t xml:space="preserve">15.1 Emitir citaciones de audiencia y llevar el 50% a fallo
</t>
  </si>
  <si>
    <t>15.2 Proferir fallos</t>
  </si>
  <si>
    <t xml:space="preserve">15.3 Decidir de fondo procesos disciplinarios. 
</t>
  </si>
  <si>
    <t>16.1 Realizar auditorias internas a los procesos de la Entidad</t>
  </si>
  <si>
    <t>16.2 Realizar auditoria especial a los procesos de la Entidad</t>
  </si>
  <si>
    <t>16.3  Realizar la evaluación de gestión a las dependencias de la Entidad en cumplimiento de la Ley 909 de 2004, artículo 39</t>
  </si>
  <si>
    <t xml:space="preserve">16.4 Realizar la evaluación sobre la efectividad del manejo de  los Riesgos  Institucionales.
</t>
  </si>
  <si>
    <t>16.5 Realizar semestralmente seguimiento al Plan de Mejoramiento suscrito con la Contraloría de Bogotá D.C.</t>
  </si>
  <si>
    <t xml:space="preserve">16.6 Elaborar  Informes solicitados por entes externos y los requeridos por Ley
</t>
  </si>
  <si>
    <t xml:space="preserve">16.7 Realizar sensibilización  a Directivos y referentes de proceso sobre la séptima dimensión del MIPG
</t>
  </si>
  <si>
    <t>16.8 Realizar la estrategia de sensibilización  acerca de La cultura del control</t>
  </si>
  <si>
    <t xml:space="preserve">8.1  Gestionar el 100% de las novedades y situaciones administrativas de los servidores públicos de la Entidad.
</t>
  </si>
  <si>
    <t>8.3 Actualizar, custodiar y conservar el 100% de la documentación de las Historias Laborales para garantizar y facilitar su consulta.</t>
  </si>
  <si>
    <t xml:space="preserve">Solicitudes de certificaciones laborales y de bono pensional gestionadas
</t>
  </si>
  <si>
    <t xml:space="preserve">Oportunidad en trámite de certificaciones
</t>
  </si>
  <si>
    <t xml:space="preserve">8.5 Formular e implementar el Plan Institucional de Capacitación de la vigencia 2020.
</t>
  </si>
  <si>
    <t xml:space="preserve">8.6 Formular e implementar el Plan Institucional de Bienestar de la vigencia 2020.
</t>
  </si>
  <si>
    <t xml:space="preserve">8.7 Formular e implementar el Plan Institucional de Incentivos de la vigencia 2020.
</t>
  </si>
  <si>
    <t xml:space="preserve">8.8 Formular e implementar el Plan Anual de Trabajo del Sistema de Gestión de Seguridad y Salud en el Trabajo SG-SST de la vigencia 2020.
</t>
  </si>
  <si>
    <t xml:space="preserve">8.9 Realizar seguimiento y/o capacitación de los sistemas de gestión y evaluación del Desempeño Laboral en todas las dependencias de la Entidad.
</t>
  </si>
  <si>
    <t>8.10 Incluir las Novedades, Liquidar  y pagar oportunamente el 100% de las nóminas de la vigencia.</t>
  </si>
  <si>
    <t>8.11  Remitir a la Oficina Asesora Jurídica y/o Secretaria General de la Entidad y/o a la Dirección Distrital de Cobro, las incapacidades sin reconocimiento y pago mayores a 360 días de mora.</t>
  </si>
  <si>
    <t xml:space="preserve">5.7 Generar espacios de intercambio y desarrollo de conocimientos y prácticas para que por medio del aprendizaje colaborativo, permitan unificar y difundir el "saber-hacer" de la atención a las personas, en la Personería de Bogotá D.C.   </t>
  </si>
  <si>
    <t>5.8 Notificarse de las decisiones  proferidas dentro de las actuaciones administrativas por las Inspecciones de policía y la administración local.</t>
  </si>
  <si>
    <t>5.9 Asistir a las audiencias públicas, realizando las actuaciones que se requieran en protección de los derechos y defensa del interés público (Ley 1801 de 2016)</t>
  </si>
  <si>
    <t>5.10 Sensibilizar a niños, niñas y adolescentes   en sus valores éticos, derechos y sus  obligaciones cívicas y sociales</t>
  </si>
  <si>
    <t xml:space="preserve">5.11 Fortalecer la labor de quienes ejercen la participación ciudadana </t>
  </si>
  <si>
    <t>5.12 Sensibilizar personas sobre la importancia del reciclaje y el buen uso de los contenedores de residuos orgánicos y/o material aprovechable.</t>
  </si>
  <si>
    <t>5.13  Elaboración de acciones de tutela, incidentes de desacato e impugnaciones a fallos de primera instancia</t>
  </si>
  <si>
    <t>5.14 Verificar de manera preventiva el cumplimiento de los términos para evitar situaciones jurídicas de caducidad, prescripción, nulidades, perdida de fuerza ejecutoria e inactividades en el proceso.</t>
  </si>
  <si>
    <t>5.4 Realizar seguimiento al avance de la política publica para victimas del conflicto armado</t>
  </si>
  <si>
    <t>Informe de seguimiento a la política publica para victimas del conflicto armado.</t>
  </si>
  <si>
    <t>Número de informes presentados en el año de seguimiento al avance de la política publica para victimas del conflicto armado</t>
  </si>
  <si>
    <t>Un (1) Informe de seguimiento sobre  el avance de la política publica para victimas del conflicto armado</t>
  </si>
  <si>
    <t xml:space="preserve">5.6 Diseñar e implementar un mecanismo de prevención de peligros que enfrentan los jóvenes en temas de redes sociales, sexting, sextorsión, ciberbuling, entre otros. </t>
  </si>
  <si>
    <t xml:space="preserve">Mecanismo de prevención de los peligros que enfrentan los jóvenes de Bogotá D.C. </t>
  </si>
  <si>
    <t>1. Diseño del mecanismo de prevención a utilizar en los colegios.
2. Implementación del mecanismo de prevención.  
3. Análisis y conclusiones del ejercicio.</t>
  </si>
  <si>
    <t>1. Definir los temas.
2. Elaborar material de difusión.
3. Enviar material de difusión y entrenamiento a la Coordinación de MP y DDHH para su revisión y validación
3. Realizar la difusión del material aprobado
4. Realizar las reuniones de mejoramiento o fortalecimiento en temas específicos.
6. Entregar los soportes  de  la difusión y reunión de mejoramiento o fortalecimiento (actas, planillas o certificaciones, fotos).</t>
  </si>
  <si>
    <t>40 actividades de acompañamiento y/o con seguimiento</t>
  </si>
  <si>
    <t>1. Valorar la procedencia de la acción de tutela.
2. Elaborar la tutela, incidente de desacato o impugnación según corresponda.
3. Realizar seguimiento a los fallos de tutela elaborados.</t>
  </si>
  <si>
    <t>1. Seleccionar por su importancia y/o petición las actuaciones administrativas a revisar.
2. Revisar el expediente
3. Realizar las actuaciones que sean necesarias para el cumplimiento del debido proceso</t>
  </si>
  <si>
    <t>1. Obtener la información del avance presupuestal del PDL
2. Realizar un análisis de los informes con relación a la ejecución presupuestal 
3. Comunicar a la administración local de los resultados de seguimiento.
4. De encontrarse observaciones  con incidencia disciplinaria, fiscal o penal realizar el traslado correspondiente</t>
  </si>
  <si>
    <t>1. Citar a los peticionarios  a una mesa de trabajo o audiencia donde se profundice sobre los aspectos específicos de la petición.
2. Realizar la audiencia pública o mesa de trabajo.
3. Hacer seguimiento al cumplimiento de los compromisos.</t>
  </si>
  <si>
    <t>2.1 Generar espacios formales e informales para compartir y retroalimentar conocimientos y buenas prácticas realizadas por los servidores(as) de la Personería de Bogotá D.C</t>
  </si>
  <si>
    <t>2.2 Realizar talleres de ideación y creación de innovación pública en la Personería de Bogotá.</t>
  </si>
  <si>
    <t xml:space="preserve">4.1 Diseñar e implementar una estrategia de comunicación para la socialización de los servicios que brindan las personerías locales </t>
  </si>
  <si>
    <t>Porcentaje de avance en el diseño e implementación de la estrategia de comunicación para la socialización de los servicios que brindan las personería locales</t>
  </si>
  <si>
    <t>1) Elaborar (1) comercial promocional, que será divulgado en los canales público - privados, sin costo, gracias a la alianza con la CRC.
2) Diseñar dos (2) piezas gráficas promocionales de los servicios que prestan las personerías locales
3) Diseñar dos (2) banner publicitarios en la página web institucional, promocionando los servicios de las personerías locales. 
4) Elaborar (4) comunicados de prensa</t>
  </si>
  <si>
    <t>N° de novedades y situaciones administrativas gestionadas /  N° requerimientos de novedades y situaciones administrativas presentados * 100</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</si>
  <si>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académico compensado,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</si>
  <si>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 xml:space="preserve">Presentar los resultados de las matriz de pedidos de almacén de manera trimestral </t>
  </si>
  <si>
    <t>9.5 Ejecutar el cronograma de actividades del Plan Estratégico de Seguridad Vial</t>
  </si>
  <si>
    <t xml:space="preserve">Llevar a cabo el seguimiento de la ejecución contractual de los procesos a cargo de la dependencia 
Llevar a cabo el control presupuestal, informes de supervisión, y seguimiento a las obligaciones de los contratos a cargo de la dependencia </t>
  </si>
  <si>
    <t>12.2  Realizar las actividades de diseño, actualización e implementación de los instrumentos archivísticos establecidos por la ley</t>
  </si>
  <si>
    <t>12.3 Realizar las actividades de diseño, actualización e implementación de los instrumentos archivísticos establecidos por la ley</t>
  </si>
  <si>
    <t xml:space="preserve">Atender las solicitudes de asistencia técnica requeridas al proceso.
Emitir los lineamientos o instrucciones para la correcta gestión de los documentos de la entidad.
Realizar inspecciones a dependencias para verificar aplicación de lineamientos y estado de organización de archivos de gestión. </t>
  </si>
  <si>
    <t xml:space="preserve">(Numero de procesos judiciales en las que se interviene oportunamente, de acuerdo a los términos fijados por los despachos judiciales / Numero total de procesos judiciales en los que se vincula la entidad ) -* 100 </t>
  </si>
  <si>
    <t>1) Recibir las acciones de tutela
2) Hacer el reparto correspondiente entre los abogados 
3)  Revisar los informes base de respuesta emitidos por otras dependencias y que son base para la respuesta. 
4) Registrar las acciones de tutela en el sistema o base de datos creado para tal fin
5, hacer seguimiento dentro del proceso y verificar falos de 1 y 2 instancia, registrarlos en la base de datos</t>
  </si>
  <si>
    <t>Número de actualización de registros realizados / Número total de acciones en las que se inician y/o intervine  (x100)</t>
  </si>
  <si>
    <t xml:space="preserve">Una base de datos actualizada permanentemente, con información </t>
  </si>
  <si>
    <t xml:space="preserve">1) Recibir las solicitudes para interponer la respectiva acción popular
2,  Hacer el reparto correspondiente entre los abogados 
3) Revisar los informes base de respuesta emitidos por otras dependencias y que son base para la respuesta. 
4) Registrar las acciones de populares en el sistema o base de datos creado para tal fin                                                                                                                   </t>
  </si>
  <si>
    <t>Porcentaje de actualización de base de datos de sanciones disciplinarias</t>
  </si>
  <si>
    <t>mantener una línea de conceptos emitidos oportunamente</t>
  </si>
  <si>
    <t xml:space="preserve">1) Recibir las solicitudes de concepto jurídico
2) Acopiar las normas pertinentes
3) Verificar vigencia y jerarquía normativa                       4) Confrontar estado del arte en doctrina y jurisprudencia                                                                    5) Emitir el concepto                                                                 </t>
  </si>
  <si>
    <t xml:space="preserve">1) Recibir las solicitudes de registro de sanciones, de corrección y modificación
2) Revisar las solicitudes y documentación anexa
3) Registrar las sanciones en el sistema de antecedentes disciplinarios                                               4) Comunicar a la entidad que genera el reporte               5) Expedir los certificados de antecedentes disciplinarios                                                                     </t>
  </si>
  <si>
    <t>Lineamientos mínimos requeridos</t>
  </si>
  <si>
    <t>1. Visitas de seguimiento de la implementación.
2. Reuniones periódicas con los procesos.
3.Generacion de alertas en caso de encontrar brechas.</t>
  </si>
  <si>
    <t>Medición de la satisfacción de los usuarios</t>
  </si>
  <si>
    <t>1,Aplicación de la encuesta de satisfacción de los usuarios
2. Análisis semestral de la medición de satisfacción de los usuarios.
3. Planes de mejoramiento.</t>
  </si>
  <si>
    <t>Reunión con el equipo de trabajo para establecer la estrategia de sensibilización a desarrollarse.
Elaborar acta de las decisiones que se tomen en  dicha reunión.
Llevar a cabo la estrategia de sensibilización definida
Al finalizar aplicar la encuesta de percepción de la estrategia</t>
  </si>
  <si>
    <t>En la meta operativa "Realizar semestralmente la evaluación sobre la efectividad del manejo de  los Riesgos  Institucionales" se pasa de magnitud programada 2 a 3 informes, teniendo en cuenta la guía de administración del riesgo y la unificación del mapa de riesgos de la Entidad. La periodicidad del seguimiento  que estaba en febrero y agosto pasa a enero, mayo y septiembre. Adicionalmente se quito la palabra "semestralmente".</t>
  </si>
  <si>
    <t>Realizar seguimiento al cumplimiento de las acciones y controles del Mapa de Riesgos de gestión por procesos, que se encuentra publicado en la página Web institucional y elaborar los respectivos informes con conclusiones y recomendaciones, remitiéndolo
a la Dirección de Planeación.</t>
  </si>
  <si>
    <t>Número de seguimientos semestrales al Plan de Mejoramiento Institucional</t>
  </si>
  <si>
    <t>Solicitud y análisis de la información
Elaborar  y presentar  los informes  solicitados por los Entes Externos, Alta Dirección  y  los requeridos por Ley. 
Remisión de informes según el caso
Solicitud y verificación de publicación de informes.</t>
  </si>
  <si>
    <t>Sensibilización  a Directivos y referentes de proceso sobre la séptima dimensión del MIPG</t>
  </si>
  <si>
    <t xml:space="preserve">Listado de asistencia a la capacitación realizada 
</t>
  </si>
  <si>
    <t>6.5 Revisar trimestralmente la ejecución del presupuesto de la localidad, evaluando sus efectos en la ejecución del plan de desarrollo local</t>
  </si>
  <si>
    <t>6.6 Revisar los contratos a petición de parte.</t>
  </si>
  <si>
    <t xml:space="preserve">6.7 Revisar los contratos  del plan de desarrollo local </t>
  </si>
  <si>
    <t xml:space="preserve">8.4 Atender las solicitudes de certificaciones laborales y de bono pensional, dentro de los tiempos previstos
</t>
  </si>
  <si>
    <t xml:space="preserve">8.2  Gestionar el cobro del 90% de las incapacidades de acuerdo con la normatividad vigente
</t>
  </si>
  <si>
    <t>2.3.  Implementar los mecanismos  para la documentación y/o registro  de la memoria institucional,  conservación en el repositorio institucional y difusión al interior y exterior de la entidad.</t>
  </si>
  <si>
    <t>Mecanismo implementado para la documentación y/o registro de la memoria institucional,  conservación en el repositorio institucional y difusión</t>
  </si>
  <si>
    <t>% de avance de en la implementación del mecanismo</t>
  </si>
  <si>
    <t>Mecanismo de documentación, conservación y difusión  implementado</t>
  </si>
  <si>
    <t>1. Diseñar el procedimiento para la documentación y/o registro de  las lecciones aprendidas y mejores prácticas, realizadas por los funcionarios de la entidad, con el fin de preservar la memoria institucional y su conservación en el repositorio institucional. 
2.  Difundir las lecciones aprendidas y mejores prácticas, realizadas por los funcionarios de la entidad, una vez que se encuentren documentadas.
3. Realizar un inventario de los documentos misionales, que cumplan con las condiciones, para ser conservados y publicados en el repositorio institucional, con el fin de ser consultados y usados por la comunidad en general.</t>
  </si>
  <si>
    <t>13/12/2019
Actualización: 05/03/2020</t>
  </si>
  <si>
    <t>20 espacios de transferencia, mejora y fortalecimiento de conocimientos y buenas prácticas realizados.</t>
  </si>
  <si>
    <t>Personera Delegada para la Coordinación del Ministerio Público y los Derechos Humanos
Personeros(as) Delegados(as) y Director Centro de Conciliación.</t>
  </si>
  <si>
    <t>Personero(a) Delegado(a) para la Coordinación de Prevención y Control a la Función Pública y Personeros(as) Delegados(as) de las dependencias adscritas.</t>
  </si>
  <si>
    <t>Personera Delegada para la Coordinación de Gestión  de las Personerías Locales
Personeros(as) Locales</t>
  </si>
  <si>
    <t>Personero(a) Delegado(a) para la Coordinación de Prevención y Control a la Función Pública 
Personeros(as) Delegados(as) para los sectores Movilidad y Planeación y sectores Educación, Cultura, Recreación y Deporte</t>
  </si>
  <si>
    <t>Personeros(as) Delegados(as) para Asuntos Penales I, para Asuntos Penales II, para Asuntos Policivos y Civiles, para la Defensa de  y Protección de los Derechos Humanos y para la Familia y Sujetos de Especial Protección Constitucional</t>
  </si>
  <si>
    <t>Personer(o)a Delegada para la Protección de Víctimas del Conflicto Armado Interno</t>
  </si>
  <si>
    <t>Personero Delegado para la Asistencia Jurídica al Ciudadano
Personero(a) Delegado para Asuntos Penales II
Personer(o)a Delegada para la Protección de Víctimas del Conflicto Armado Interno</t>
  </si>
  <si>
    <t xml:space="preserve">Dirección de Tecnologías de la Información y las Comunicaciones - DTIC
</t>
  </si>
  <si>
    <t>Jefe Oficina Asesora de Comunicaciones</t>
  </si>
  <si>
    <t xml:space="preserve">Personero(a) Delegada para la Coordinación de Potestad Disciplinaria, Personeros(as) Delegados(as) y la Dirección de Investigaciones Especiales y Apoyo Técnico
</t>
  </si>
  <si>
    <t>Director de Gestión del Conocimiento e Innovación</t>
  </si>
  <si>
    <t xml:space="preserve">Director de Tecnologías de la Información y las Comunicaciones - DTIC
</t>
  </si>
  <si>
    <t>Jefe de Oficina de Control Interno Disciplinario</t>
  </si>
  <si>
    <t>Subdirector(a) de Gestión Documental y Recursos Físicos</t>
  </si>
  <si>
    <t>Subdirector(a) de Gestión Financiera</t>
  </si>
  <si>
    <t>Director(a) Administrativa y Financiera / Subdirector(a) de Gestión Contractual</t>
  </si>
  <si>
    <t>Jefe Oficina Asesora Jurídica</t>
  </si>
  <si>
    <t>Cumplimiento de la función legal que recae sobre la Dirección de Talento Humano, de acuerdo a lo establecido en el anexo técnico del Acuerdo 617 de 2018, expedido por la CNSC.
Concientización y empoderamiento de los evaluadores y evaluados, en sus derechos y deberes dentro del Sistema.
Fortalecimiento del Sistema de Evaluación del Desempeño Laboral de la Entidad.
Informe de Resultados de la Evaluación de Desempeño</t>
  </si>
  <si>
    <t>Porcentaje de intervención oportuna en defensa judicial de la Entidad por acciones de tutela</t>
  </si>
  <si>
    <t>Porcentaje de actualización de la base de datos de acciones en las que se inician y/o intervine</t>
  </si>
  <si>
    <t>1000 tutelas elaboradas</t>
  </si>
  <si>
    <t>5000 impulsos realizados</t>
  </si>
  <si>
    <t>Acciones de prevención y control a la función pública realizadas</t>
  </si>
  <si>
    <t>Avance en la  implementación de las mejores prácticas para la adecuada gestión de la infraestructura tecnológica de la Entidad</t>
  </si>
  <si>
    <t>Avance para mantener y evolucionar los sistemas de información de la Entidad acorde a las necesidades</t>
  </si>
  <si>
    <t>Avance en el desarrollo de las actividades requeridas para la implementación del Sistema de Gestión de Seguridad de la Información SGSI</t>
  </si>
  <si>
    <t>Avance del desarrollo del plan de acción enmarcadas en el manual de la política de Gobierno Digital</t>
  </si>
  <si>
    <t>Citaciones a audiencia emitidas que terminan con fallo</t>
  </si>
  <si>
    <t>Número de fallos proferidos en primera instancia</t>
  </si>
  <si>
    <t>Números  de sensibilizaciones realizadas</t>
  </si>
  <si>
    <t>N° de actividades ejecutadas en el periodo/N° de actividades programadas en el PESV para la vigencia*100</t>
  </si>
  <si>
    <t>Año 2014: 1043 
Año 2015: 2864
Año 2016: 606
Año 2018: 2147 
Año 2019: 1034
cajas de archivo transferidas al archivo central
100%</t>
  </si>
  <si>
    <t>Cantidad de actividades ejecutadas en el año para diseño o ajuste de instrumentos archivísticos</t>
  </si>
  <si>
    <t xml:space="preserve">Año 2018: 
50 actividades
Año 2019: 
27 actividades realizadas para diseñar, actualizar e implementar instrumentos archivísticos
</t>
  </si>
  <si>
    <t>Campaña de divulgación.</t>
  </si>
  <si>
    <t xml:space="preserve">Avance en la implementación de acciones para la sostenibilidad del Sistema de Gestión de la Calidad </t>
  </si>
  <si>
    <t>Avance en la implementación del Modelo (MIPG)</t>
  </si>
  <si>
    <t>Porcentaje de avance en las  actividades programadas PAAC</t>
  </si>
  <si>
    <t>Visitas para realizar control a la gestión</t>
  </si>
  <si>
    <t xml:space="preserve"> Número de Planes programas y proyectos publicados en los periodos establecidos / Número total de   Planes programas y proyectos publicados a publicar</t>
  </si>
  <si>
    <t>1. Elaborar documento controlado Guía de Servicio al Usuario.
2. Elaborar documento de Caracterización de Usuarios.
3. Elaborar procedimientos necesarios fruto del análisis de mejoramiento que se presente en el proceso..
4. Expedir las circulares tendientes a establecer pautas para la prestación del servicio.</t>
  </si>
  <si>
    <t>Proceso</t>
  </si>
  <si>
    <t>No. de indicadores</t>
  </si>
  <si>
    <t>Porcentaje de cumplimiento</t>
  </si>
  <si>
    <t>Anual</t>
  </si>
  <si>
    <t>01 Direccionamiento Estratégico</t>
  </si>
  <si>
    <t>02 Gestión del Conocimiento e Innovación</t>
  </si>
  <si>
    <t>03 Direccionamiento TIC</t>
  </si>
  <si>
    <t>04 Comunicación Estratégica</t>
  </si>
  <si>
    <t>14 Servicio al Usuario</t>
  </si>
  <si>
    <t>N.A.</t>
  </si>
  <si>
    <t>Promedio procesos estratégicos</t>
  </si>
  <si>
    <t>05 Promoción y Defensa de Derechos</t>
  </si>
  <si>
    <t>06 Prevención y Control de la Función Pública</t>
  </si>
  <si>
    <t>07 Potestad Disciplinaria</t>
  </si>
  <si>
    <t>Promedio procesos misionales</t>
  </si>
  <si>
    <t>08 Gestión del Talento Humano</t>
  </si>
  <si>
    <t>09 Gestión Administrativa</t>
  </si>
  <si>
    <t>10 Gestión Financiera</t>
  </si>
  <si>
    <t>11 Gestión Contractual</t>
  </si>
  <si>
    <t>12 Gestión Documental</t>
  </si>
  <si>
    <t>13 Gestión Jurídica</t>
  </si>
  <si>
    <t>Promedio procesos de apoyo</t>
  </si>
  <si>
    <t>15 Control Disciplinario Interno</t>
  </si>
  <si>
    <t>16 Evaluación y Seguimiento</t>
  </si>
  <si>
    <t>Promedio procesos de evaluación, seguimiento y control</t>
  </si>
  <si>
    <t>Proceso 01 Direccionamiento Estratégico</t>
  </si>
  <si>
    <t>Nombre del indicador</t>
  </si>
  <si>
    <t>Código del Indicador</t>
  </si>
  <si>
    <t xml:space="preserve">Magnitud programada </t>
  </si>
  <si>
    <t>Ejecución Trimestre</t>
  </si>
  <si>
    <t>Ejecución Acumulada Año</t>
  </si>
  <si>
    <t>Observaciones</t>
  </si>
  <si>
    <t>Año 2019</t>
  </si>
  <si>
    <t>01-RI-02</t>
  </si>
  <si>
    <t>01-RI-09</t>
  </si>
  <si>
    <t>01-RI-10</t>
  </si>
  <si>
    <t>PROMEDIO PROCESO</t>
  </si>
  <si>
    <r>
      <t>Proceso 02 Gestión del Conocim</t>
    </r>
    <r>
      <rPr>
        <sz val="12"/>
        <color theme="1"/>
        <rFont val="Arial"/>
        <family val="2"/>
      </rPr>
      <t>iento e Innovación</t>
    </r>
  </si>
  <si>
    <t>Proceso 03 Direccionamiento TIC</t>
  </si>
  <si>
    <t>03-RI-06</t>
  </si>
  <si>
    <t>03-RI-07</t>
  </si>
  <si>
    <t>03-RI-08</t>
  </si>
  <si>
    <t>03-RI-09</t>
  </si>
  <si>
    <t>03-RI-11</t>
  </si>
  <si>
    <t>Proceso 04 Comunicación Estratégica</t>
  </si>
  <si>
    <t>04-RI-01</t>
  </si>
  <si>
    <t>04-RI-02</t>
  </si>
  <si>
    <t>04-RI-03</t>
  </si>
  <si>
    <t>Proceso 14 Servicio al Usuario</t>
  </si>
  <si>
    <t>Proceso 05 Promoción y Defensa de Derechos</t>
  </si>
  <si>
    <t>Proceso 06 Prevención y Control de la Función Pública</t>
  </si>
  <si>
    <t>06-RI-04</t>
  </si>
  <si>
    <t>06-RI-05</t>
  </si>
  <si>
    <t>06-RI-08</t>
  </si>
  <si>
    <t>06-RI-06</t>
  </si>
  <si>
    <t>06-RI-07</t>
  </si>
  <si>
    <t>Proceso 07 Potestad Disciplinaria</t>
  </si>
  <si>
    <t>07-RI-01</t>
  </si>
  <si>
    <t>07-RI-02</t>
  </si>
  <si>
    <t>07-RI-03</t>
  </si>
  <si>
    <t>07-RI-04</t>
  </si>
  <si>
    <t>Proceso 08 Gestión del Talento Humano</t>
  </si>
  <si>
    <t>08-RI-05</t>
  </si>
  <si>
    <t>08-RI-06</t>
  </si>
  <si>
    <t>08-RI-07</t>
  </si>
  <si>
    <t>08-RI-08</t>
  </si>
  <si>
    <t>08-RI-09</t>
  </si>
  <si>
    <t>08-RI-10</t>
  </si>
  <si>
    <t>08-RI-11</t>
  </si>
  <si>
    <t>08-RI-12</t>
  </si>
  <si>
    <t>08-RI-13</t>
  </si>
  <si>
    <t>08-RI-16</t>
  </si>
  <si>
    <t>Proceso 09 Gestión Administrativa</t>
  </si>
  <si>
    <t>09-RI-01</t>
  </si>
  <si>
    <t>Proceso 10 Gestión Financiera</t>
  </si>
  <si>
    <t>10-RI-01</t>
  </si>
  <si>
    <t>Proceso 11 Gestión Contractual</t>
  </si>
  <si>
    <t>Proceso 12 Gestión Documental</t>
  </si>
  <si>
    <t>12-RI-01</t>
  </si>
  <si>
    <t>Proceso 13 Gestión Jurídica</t>
  </si>
  <si>
    <t>Proceso 15 Control Disciplinario Interno</t>
  </si>
  <si>
    <t>15-RI-01</t>
  </si>
  <si>
    <t>15-RI-02</t>
  </si>
  <si>
    <t>15-RI-03</t>
  </si>
  <si>
    <t>15-RI-04</t>
  </si>
  <si>
    <t>Proceso 16 Evaluación y Seguimiento</t>
  </si>
  <si>
    <t>16-RI-01</t>
  </si>
  <si>
    <t>16-RI-02</t>
  </si>
  <si>
    <t>16-RI-04</t>
  </si>
  <si>
    <t>16-RI-05</t>
  </si>
  <si>
    <t>16-RI-06</t>
  </si>
  <si>
    <t>16-RI-07</t>
  </si>
  <si>
    <t>16-RI-08</t>
  </si>
  <si>
    <t xml:space="preserve"> PLAN OPERATIVO ANUAL 2020</t>
  </si>
  <si>
    <t>Año 2020</t>
  </si>
  <si>
    <t>ACEPTABLE (El valor equivale a %)</t>
  </si>
  <si>
    <t>Igual A:</t>
  </si>
  <si>
    <t>IDENTIFICACIÓN DEL INDICADOR</t>
  </si>
  <si>
    <t>NOMBRE DEL INDICADOR</t>
  </si>
  <si>
    <t>No</t>
  </si>
  <si>
    <t>RANGOS DE CUMPLIMIENTO</t>
  </si>
  <si>
    <t>TIPO DE INDICADOR</t>
  </si>
  <si>
    <t>PROCESO</t>
  </si>
  <si>
    <t>05-RI-05</t>
  </si>
  <si>
    <t>Tipología de proceso</t>
  </si>
  <si>
    <t>Instrumento de planeación</t>
  </si>
  <si>
    <t>Tipología de indicador</t>
  </si>
  <si>
    <t>Vigencia</t>
  </si>
  <si>
    <t>Tendencia del Indicador</t>
  </si>
  <si>
    <t>Estratégico</t>
  </si>
  <si>
    <t>Plan Operativo Anual POA por procesos (SGC)</t>
  </si>
  <si>
    <t>Eficacia</t>
  </si>
  <si>
    <t>Creciente</t>
  </si>
  <si>
    <t>Menor A:</t>
  </si>
  <si>
    <t>Plan Estratégico Institucional PEI</t>
  </si>
  <si>
    <t>Eficiencia</t>
  </si>
  <si>
    <t>Cuatrienal</t>
  </si>
  <si>
    <t>Decreciente</t>
  </si>
  <si>
    <t>No Aplica</t>
  </si>
  <si>
    <t>Productos, Metas y Resultados PMR</t>
  </si>
  <si>
    <t>Efectividad</t>
  </si>
  <si>
    <t>Permanente</t>
  </si>
  <si>
    <t>Proyecto de inversión</t>
  </si>
  <si>
    <t>Misional</t>
  </si>
  <si>
    <t>Sistema de Gestión de Seguridad y Salud en el Trabajo</t>
  </si>
  <si>
    <t>Mayor A:</t>
  </si>
  <si>
    <t>06 Prevención y Control a la Función Pública</t>
  </si>
  <si>
    <t>Sistema de Gestión de Seguridad de la Información</t>
  </si>
  <si>
    <t>Sistema de Gestión Ambiental</t>
  </si>
  <si>
    <t>De apoyo</t>
  </si>
  <si>
    <t>Modelo Integrado de Planeación y Gestión</t>
  </si>
  <si>
    <t>De evaluación, seguimiento y control</t>
  </si>
  <si>
    <t>05-RI-06</t>
  </si>
  <si>
    <t>rangos</t>
  </si>
  <si>
    <t>Mayor o igual A:</t>
  </si>
  <si>
    <t>Menor o igual A:</t>
  </si>
  <si>
    <t>1. Validar el cumplimiento de requisitos frente a la NTC ISO 9001:2015 partiendo del plan de implementación 2019
2. Elaborar el Plan de Acción del SGC para la sostenibilidad y mejora.
3. Ejecutar el Plan de Acción del SGC para la sostenibilidad y mejora.
4. Hacer seguimiento a la ejecución del Plan.
5. Generar informe de avance en la ejecución del plan.</t>
  </si>
  <si>
    <t>JOSÉ HUGO TORRES HERNÁNDEZ
SUBDIRECTOR DE PRESUPUESTO, CONTABILIDAD Y TESORERÍA</t>
  </si>
  <si>
    <t>01-RI-01</t>
  </si>
  <si>
    <t>02-RI-02</t>
  </si>
  <si>
    <t>01-RI-03</t>
  </si>
  <si>
    <t>01-RI-08</t>
  </si>
  <si>
    <t>02-RI-01</t>
  </si>
  <si>
    <t>02-RI-03</t>
  </si>
  <si>
    <t>03-RI-10</t>
  </si>
  <si>
    <t>04-RI-04</t>
  </si>
  <si>
    <t>04-RI-05</t>
  </si>
  <si>
    <t>05-RI-08</t>
  </si>
  <si>
    <t>05-RI-10</t>
  </si>
  <si>
    <t>05-RI-12</t>
  </si>
  <si>
    <t>05-RI-13</t>
  </si>
  <si>
    <t>05-RI-14</t>
  </si>
  <si>
    <t>05-RI-15</t>
  </si>
  <si>
    <t>05-RI-16</t>
  </si>
  <si>
    <t>05-RI-09MP</t>
  </si>
  <si>
    <t>05-RI-09L</t>
  </si>
  <si>
    <t>05-RI-07MP</t>
  </si>
  <si>
    <t>05-RI-17</t>
  </si>
  <si>
    <t>05-RI-27</t>
  </si>
  <si>
    <t>05-RI-28</t>
  </si>
  <si>
    <t>05-RI-29</t>
  </si>
  <si>
    <t>05-RI-30</t>
  </si>
  <si>
    <t>05-RI-31</t>
  </si>
  <si>
    <t>05-RI-32</t>
  </si>
  <si>
    <t>05-RI-07PC</t>
  </si>
  <si>
    <t>05-RI-09PC</t>
  </si>
  <si>
    <t>06-RI-02</t>
  </si>
  <si>
    <t>08-RI-03</t>
  </si>
  <si>
    <t>08-RI-14</t>
  </si>
  <si>
    <t>08-RI-17</t>
  </si>
  <si>
    <t>09-RI-02</t>
  </si>
  <si>
    <t>09-RI-03</t>
  </si>
  <si>
    <t>09-RI-04</t>
  </si>
  <si>
    <t>09-RI-05</t>
  </si>
  <si>
    <t>09-RI-06</t>
  </si>
  <si>
    <t>11-RI-01</t>
  </si>
  <si>
    <t>12-RI-02</t>
  </si>
  <si>
    <t>12-RI-03</t>
  </si>
  <si>
    <t>13-R1-01</t>
  </si>
  <si>
    <t>13-R1-02</t>
  </si>
  <si>
    <t>13-R1-03</t>
  </si>
  <si>
    <t>13-R1-04</t>
  </si>
  <si>
    <t>13-R1-05</t>
  </si>
  <si>
    <t>14-RI-01</t>
  </si>
  <si>
    <t>14-RI-02</t>
  </si>
  <si>
    <t>14-RI-03</t>
  </si>
  <si>
    <t>16-RI-03</t>
  </si>
  <si>
    <t>CONSOLIDADO DE INDICADORES SGC</t>
  </si>
  <si>
    <t>SATISFACTORIO 
(El valor equivale a %)</t>
  </si>
  <si>
    <t>INSATISFACTORIO 
(El valor equivale a %)</t>
  </si>
  <si>
    <t>SATISFACTORIO
 (El valor equivale a %)</t>
  </si>
  <si>
    <t>ACEPTABLE
 (El valor equivale a %)</t>
  </si>
  <si>
    <t>Sensibilizaciones realizadas en valores, derechos y  obligaciones</t>
  </si>
  <si>
    <t>Porcentaje de intervención oportuna en defensa judicial de la Entidad (Vinculada)</t>
  </si>
  <si>
    <t>DESEMPEÑO DE PROCESOS SGC</t>
  </si>
  <si>
    <t>No de Indicadores</t>
  </si>
  <si>
    <t>TOTAL INDICADORES POA PROCESOS -SGC</t>
  </si>
  <si>
    <t>Tipo de Indicador</t>
  </si>
  <si>
    <t>PROMEDIO POA PROCESOS-SGC ENTIDAD</t>
  </si>
  <si>
    <t>Meta anual cumplida.
De acuerdo con los rangos de cumplimiento definidos para este indicador, alcanzó el nivel satisfactorio.</t>
  </si>
  <si>
    <t>Intervenciones realizadas (impulsos realizados)</t>
  </si>
  <si>
    <t>Espacios  de transferencia  de conocimientos realizados .</t>
  </si>
  <si>
    <t>Número  de espacios  de transferencia  de conocimientos realizados .</t>
  </si>
  <si>
    <t>1. Definir  temas  a   tratar.
2. Realizar  convocatoria  a  los servidores(as) de la entidad.
3. Elaborar un informe donde se incluya un balance de los resultados productos de los  espacios.
4. Entregar  los soportes ( Fotográfico, listas de asistencias)</t>
  </si>
  <si>
    <t>Espacios  de  ideación y creación de innovación pública realizados</t>
  </si>
  <si>
    <t>Número de espacios de ideación y creación de innovación pública realizados</t>
  </si>
  <si>
    <t>Personera Delegada para la Coordinación del Ministerio Público y los Derechos Humanos
Personeros(as) Delegados(as) y Director Centro de Conciliación y Mecanismos Alternativos de Solución de Conflictos</t>
  </si>
  <si>
    <t>Personera Delegada para la  Familia y Sujetos de Especial Protección Constitucional</t>
  </si>
  <si>
    <t>Cumplimiento Anual</t>
  </si>
  <si>
    <t>21.500 requerimientos tramitados y finalizado son respuesta de fondo en defensa de los derechos</t>
  </si>
  <si>
    <t>Cinco (5) Mecanismos de prevención de peligros que enfrentan los jóvenes en temas de redes sociales, sexting, sextorsión, ciberbullying, entre otros. Registro fotográfico y listas de asistencia que evidencian la implementación del mecanismo.</t>
  </si>
  <si>
    <t xml:space="preserve">96 Informes de acción de prevención y control a la función pública realizados por cada una de las delegadas de manera oficiosa y a petición de parte 
</t>
  </si>
  <si>
    <t xml:space="preserve">46 Seguimientos realizados
</t>
  </si>
  <si>
    <t>Acumulado Corte 30/06/2020</t>
  </si>
  <si>
    <t>106 acciones de promoción</t>
  </si>
  <si>
    <t>384.354 Personas sensibilizadas en derechos y deberes</t>
  </si>
  <si>
    <t>112.505 intervenciones adelantadas en el ejercicio del ministerio público en defensa de los derechos humanos</t>
  </si>
  <si>
    <t>240 Intervenciones adelantadas en el ejercicio del ministerio público en defensa de los derechos humanos</t>
  </si>
  <si>
    <t>4.256 acciones adelantadas en favor de las víctimas del conflicto armado</t>
  </si>
  <si>
    <t>84.525 requerimientos finalizados con respuesta de fondo en defensa de los derechos</t>
  </si>
  <si>
    <t>16.000 requerimientos finalizados con respuesta de fondo en defensa de los derechos</t>
  </si>
  <si>
    <t>7.460 solicitudes de  conciliación atendidas</t>
  </si>
  <si>
    <t>8.000 niños y niñas sensibilizados</t>
  </si>
  <si>
    <t>2.000 personas sensibilizadas en medio ambiente</t>
  </si>
  <si>
    <t xml:space="preserve">11 Mesas de trabajo y Audiencias Públicas realizadas.
</t>
  </si>
  <si>
    <t>25 actividades</t>
  </si>
  <si>
    <t>Desempeño 
Promedio 
Año 2020</t>
  </si>
  <si>
    <t>Componentes de la Política del SGC</t>
  </si>
  <si>
    <t>Objetivo Estratégico y de Calidad</t>
  </si>
  <si>
    <t>Estamos comprometidos y comprometidas con la defensa, protección y promoción efectiva e integral de los derechos de las personas del Distrito Capital</t>
  </si>
  <si>
    <t>1. Promover los Derechos de las personas, mediante acciones dirigidas a prevenir su vulneración, y apoyar el fortalecimiento de una Cultura de Paz en el Distrito Capital.</t>
  </si>
  <si>
    <t>2. Promover el respeto y vigilar el cumplimiento de los Derechos de las Mujeres, desde una perspectiva de Equidad de Género.</t>
  </si>
  <si>
    <t>3. Adelantar el control a la Función Pública y a los servicios a cargo del Distrito Capital, en temas de impacto e interés para la Ciudad.</t>
  </si>
  <si>
    <t>4. 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t>
  </si>
  <si>
    <t xml:space="preserve"> Incorporado al ejercicio de nuestras funciones criterios de calidad, eficiencia, eficacia y efectividad, fortaleciendo nuestras competencias y capacidades, tanto individuales como institucionales y modernizándolos permanentemente para reducir los riesgos en la prestación de nuestros servicios.</t>
  </si>
  <si>
    <t>7. Diseñar, implementar y consolidar las tecnologías de la información y las comunicaciones (TIC) para una gestión institucional eficiente y eficaz.</t>
  </si>
  <si>
    <t>8. Modernizar la Organización y la gestión institucional para garantizar condiciones óptimas en el ejercicio de las funciones públicas.</t>
  </si>
  <si>
    <t>10. Diseñar e implementar una gestión del Talento Humano destinada a elevar el nivel de formación, competencias, sentido de pertenencia y crecimiento personal de los (las) servidores(as) públicos(as) de la Entidad.</t>
  </si>
  <si>
    <t>Proceso 
(Contribuye)</t>
  </si>
  <si>
    <t>09 Gestión Administrativa
10 Gestión Financiera
11 Gestión Contractual
12 Gestión Documental</t>
  </si>
  <si>
    <t>Trabajamos al servicio de la ciudad y de las partes interesadas incorporando al ejercicio de nuestras funciones criterios de calidad, eficiencia, eficacia y efectividad.</t>
  </si>
  <si>
    <t>Directriz</t>
  </si>
  <si>
    <t>5. Fortalecer la gestión de las personerías locales para prestar un servicio efectivo, de acuerdo con las necesidades y peticiones de las personas.</t>
  </si>
  <si>
    <t>11. Implementar una estrategia de lucha contra la corrupción mediante la sensibilización de los(as) funcionarios(as), la participación ciudadana, el acceso a la información pública y la rendición de cuentas.</t>
  </si>
  <si>
    <t>14 Servicio al Usuario
05 Promoción y Defensa de Derechos
06 Prevención y Control de la Función Pública
04 Comunicación Estratégica</t>
  </si>
  <si>
    <t>Todos los procesos</t>
  </si>
  <si>
    <t>Con la prestación de nuestros servicios en el marco de una cultura de calidad, buen servicio y mejora continua</t>
  </si>
  <si>
    <t>6. Promover la cooperación nacional e internacional con el fin de fortalecer y consolidar el liderazgo de la Personería de Bogotá, D.C., en el ejercicio de las funciones públicas a su cargo.</t>
  </si>
  <si>
    <t>9. Promover una Cultura de Calidad, Buen Servicio y Mejora Continua de los procesos institucionales, en el marco de los estándares internacionales y la normatividad vigente.</t>
  </si>
  <si>
    <t>Cumplimiento de requisitos</t>
  </si>
  <si>
    <t>Uso eficiente de recursos</t>
  </si>
  <si>
    <t>Satisfacción del Cliente</t>
  </si>
  <si>
    <t>Mejora Continua</t>
  </si>
  <si>
    <t>CONTRIBUCIÓN DE LOS PROCESOS AL CUMPLIMIENTO DE LA POLÍTICA  DEL SISTEMA DE GESTIÓN DE LA CALIDAD</t>
  </si>
  <si>
    <t>13/12/2019
Actualización: 05/03/2020
Actualización:11/05/2020
Actualización: 13/09/2020</t>
  </si>
  <si>
    <t>13/12/2019
Actualización:11/05/2020
Actualización: 13/09/2020</t>
  </si>
  <si>
    <t>13/12/2019
Actualización: 11/05/2020</t>
  </si>
  <si>
    <t>13/12/2019
Actualización: 13/09/2020</t>
  </si>
  <si>
    <t>13/12/2019
Actualización: 16/03/2020
Actualización:11/05/2020</t>
  </si>
  <si>
    <t>RESULTADO DEL SEGUIMIENTO Y MEDICIÓN</t>
  </si>
  <si>
    <t>Total de Indicadores</t>
  </si>
  <si>
    <t>INDICADORES</t>
  </si>
  <si>
    <t>Defender y promover los derechos de las personas mediante las intervenciones y gestiones necesarias para el restablecimiento y goce de los derechos y garantías fundamentales, así como la defensa del interés y patrimonio público</t>
  </si>
  <si>
    <t>Cuarto Trimestre</t>
  </si>
  <si>
    <t>Fecha de corte: 31 de diciembre de 2020</t>
  </si>
  <si>
    <t>Acumulada Corte
31/12/2020</t>
  </si>
  <si>
    <t>Ejecución Acumulada Corte
31/12/2020</t>
  </si>
  <si>
    <t>Acumulado Corte 31/12/2020</t>
  </si>
  <si>
    <t>Alcanzó el 99.5% de cumplimiento en el año en razón a que el Plan de Acción del SGC 2020 para la sostenibilidad y mejora alcanzó el 99.5% de ejecución.
De acuerdo con los rangos de cumplimiento definidos para este indicador, alcanzó el nivel satisfactorio.</t>
  </si>
  <si>
    <t>Meta anual cumplida.
Supera la ejecución con 1 espacio de  transferencia.
De acuerdo con los rangos de cumplimiento definidos para este indicador, se ubica en el nivel satisfactorio.
Se recomienda al proceso tomar como línea base este resultado para proyecciones futuras.</t>
  </si>
  <si>
    <t>Meta anual cumplida.
Supera la ejecución con 3 espacios de ideación y creación.
De acuerdo con los rangos de cumplimiento definidos para este indicador, se ubica en el nivel satisfactorio.
Se recomienda al proceso tomar como línea base este resultado para proyecciones futuras.</t>
  </si>
  <si>
    <t>Meta anual cumplida.
De acuerdo con los rangos de cumplimiento definidos para este indicador,  se ubica en  el nivel satisfactorio.</t>
  </si>
  <si>
    <t>Meta anual cumplida.
Supera la ejecución con 2.5% de avance mayor a programado.
De acuerdo con los rangos de cumplimiento definidos para este indicador, se ubica en el nivel satisfactorio.
Se recomienda al proceso tomar como línea base este resultado para proyecciones futuras.</t>
  </si>
  <si>
    <t>La meta anual alcanza un 98% de cumplimiento.
De acuerdo con los rangos de cumplimiento definidos para este indicador,  se ubica en  el nivel satisfactorio.</t>
  </si>
  <si>
    <t>Meta anual cumplida.
Supera la ejecución con 1.1% de avance mayor en requerimientos atendidos oportunamente.
De acuerdo con los rangos de cumplimiento definidos para este indicador, se ubica en el nivel satisfactorio.
Se recomienda al proceso tomar como línea base este resultado para proyecciones futuras.</t>
  </si>
  <si>
    <t>Meta anual cumplida.
Supera la ejecución con 7% de avance mayor a programado.
De acuerdo con los rangos de cumplimiento definidos para este indicador, se ubica en el nivel satisfactorio.
Se recomienda al proceso tomar como línea base este resultado para proyecciones futuras.</t>
  </si>
  <si>
    <t>Meta anual cumplida.
Supera la ejecución con 4.5% de porcentaje de usuarios satisfechos.
De acuerdo con los rangos de cumplimiento definidos para este indicador, se ubica en el nivel satisfactorio.
Se recomienda al proceso tomar como línea base este resultado para proyecciones futuras.</t>
  </si>
  <si>
    <t>Meta anual cumplida.
Supera la ejecución con 7763 acciones de promoción adicionales.
De acuerdo con los rangos de cumplimiento definidos para este indicador, se ubica en el nivel satisfactorio.
Se recomienda al proceso tomar como línea base este resultado para proyecciones futuras.</t>
  </si>
  <si>
    <t>Meta anual cumplida.
Desde el reporte efectuado por la Personería Delegada para la Coordinación del Ministerio Público y los Derechos Humanos supera la ejecución con 14920 intervenciones adelantadas adicionales.
De acuerdo con los rangos de cumplimiento definidos para este indicador, se ubica en el nivel satisfactorio.
Se recomienda al proceso tomar como línea base este resultado para proyecciones futuras.</t>
  </si>
  <si>
    <t>Meta anual cumplida.
Desde el reporte efectuado por la Personería Delegada para la Coordinación de Prevención y Control a la Función Pública, supera la ejecución con 53 intervenciones adelantadas adicionales.
De acuerdo con los rangos de cumplimiento definidos para este indicador, se ubica en el nivel satisfactorio.
Se recomienda al proceso tomar como línea base este resultado para proyecciones futuras.</t>
  </si>
  <si>
    <t>La meta anual alcanza un 94.8% de cumplimiento.
De acuerdo con los rangos de cumplimiento definidos para este indicador,  se ubica en  el nivel satisfactorio.
Se recomienda al proceso tomar como línea base este resultado para proyecciones futuras.</t>
  </si>
  <si>
    <t>Meta anual cumplida.
Supera la ejecución con 5.1% de tutelas adicionales con fallos a favor.
De acuerdo con los rangos de cumplimiento definidos para este indicador, se ubica en el nivel satisfactorio.
Se recomienda al proceso tomar como línea base este resultado para proyecciones futuras.</t>
  </si>
  <si>
    <t>La meta anual alcanza un 86.6% de cumplimiento.
De acuerdo con los rangos de cumplimiento definidos para este indicador,  se ubica en  el nivel aceptable.
Se evidencia una ejecución con 2681 decisiones de fondo y archivo verificadas menos frente  a la meta anual.
Se recomienda al proceso tomar como línea base este resultado para proyecciones futuras.</t>
  </si>
  <si>
    <t>Meta anual cumplida.
Supera la ejecución con 608 asistencia a audiencias adicionales.
De acuerdo con los rangos de cumplimiento definidos para este indicador, se ubica en el nivel satisfactorio.
Se recomienda al proceso tomar como línea base este resultado para proyecciones futuras.</t>
  </si>
  <si>
    <t>Meta anual cumplida.
Se evidencia una mayor ejecución que supera en alto grado la programación del año con 54.247 personas sensibilizadas adicionales, cifra que s evidencia en el cuarto trimestre del año.
De acuerdo con los rangos de cumplimiento definidos para este indicador se encuentra en el nivel satisfactorio.
Se recomienda al proceso tomar como línea base este resultado para proyecciones futuras.</t>
  </si>
  <si>
    <t>Meta anual cumplida.
Supera la ejecución con 19 actividades realizadas para fortalecer y promover participación ciudadana.
De acuerdo con los rangos de cumplimiento definidos para este indicador, se ubica en el nivel satisfactorio.
Se recomienda al proceso tomar como línea base este resultado para proyecciones futuras.</t>
  </si>
  <si>
    <t>Meta anual cumplida.
Supera la ejecución con  276 personas sensibilizadas adicionales.
De acuerdo con los rangos de cumplimiento definidos para este indicador, se ubica en el nivel satisfactorio.
Se recomienda al proceso tomar como línea base este resultado para proyecciones futuras.</t>
  </si>
  <si>
    <t>La meta anual alcanza un 72.7% de cumplimiento.
De acuerdo con los rangos de cumplimiento definidos para este indicador,  se ubica en  el nivel aceptable.
Se evidencia una ejecución con 273 tutelas menos frente  a la meta anual.
Se recomienda al proceso tomar como línea base este resultado para proyecciones futuras.</t>
  </si>
  <si>
    <t>Meta anual cumplida.
Supera la ejecución con  571 intervenciones realizadas (impulsos) adicionales.
De acuerdo con los rangos de cumplimiento definidos para este indicador, se ubica en el nivel satisfactorio.
Se recomienda al proceso tomar como línea base este resultado para proyecciones futuras.</t>
  </si>
  <si>
    <t>Meta anual cumplida. 
De acuerdo con los rangos de cumplimiento definidos para este indicador, alcanzó el nivel satisfactorio.</t>
  </si>
  <si>
    <t>Meta anual cumplida.
Supera la ejecución con 11  acciones de prevención y control adicionales.
De acuerdo con los rangos de cumplimiento definidos para este indicador, se ubica en el nivel satisfactorio.
Se recomienda al proceso tomar como línea base este resultado para proyecciones futuras.</t>
  </si>
  <si>
    <t>Meta anual cumplida.
Supera la ejecución con 5 seguimientos adicionales.
De acuerdo con los rangos de cumplimiento definidos para este indicador, se ubica en el nivel satisfactorio.
Se recomienda al proceso tomar como línea base este resultado para proyecciones futuras.</t>
  </si>
  <si>
    <t>La meta anual alcanza un 95% de cumplimiento.
De acuerdo con los rangos de cumplimiento definidos para este indicador,  se ubica en  el nivel sobresaliente.
Se evidencia una ejecución con 3 seguimientos  menos frente  a la meta anual.
Se recomienda al proceso tomar como línea base este resultado para proyecciones futuras.</t>
  </si>
  <si>
    <t>La meta anual alcanza un 91% de cumplimiento.
De acuerdo con los rangos de cumplimiento definidos para este indicador,  se ubica en  el nivel sobresaliente.
Se evidencia una ejecución con 75 contratos revisados  menos frente  a la meta anual.
Se recomienda al proceso tomar como línea base este resultado para proyecciones futuras.</t>
  </si>
  <si>
    <t>La meta anual alcanza un 65% de cumplimiento.
De acuerdo con los rangos de cumplimiento definidos para este indicador,  se ubica en  el nivel insatisfactorio.
Se recomienda al proceso analizar el comportamiento en el año, revisar las estrategias  implementadas y considerarlas para proyecciones futuras.</t>
  </si>
  <si>
    <t>La meta anual alcanza un 40% de cumplimiento.
De acuerdo con los rangos de cumplimiento definidos para este indicador,  se ubica en  el nivel insatisfactorio.
Se recomienda al proceso analizar el comportamiento en el año, revisar las estrategias  implementadas y considerarlas para proyecciones futuras.</t>
  </si>
  <si>
    <t>Meta anual cumplida.
Supera la ejecución con 5 fallos proferidos adicionales.
De acuerdo con los rangos de cumplimiento definidos para este indicador, se ubica en el nivel satisfactorio.
Se recomienda al proceso tomar como línea base este resultado para proyecciones futuras.</t>
  </si>
  <si>
    <t>La meta anual alcanza un 93% de cumplimiento.
De acuerdo con los rangos de cumplimiento definidos para este indicador,  se ubica en  el nivel sobresaliente.</t>
  </si>
  <si>
    <t>Meta anual cumplida.
Supera la ejecución con 8.5% de solicitudes de certificaciones adicionales.
De acuerdo con los rangos de cumplimiento definidos para este indicador, se ubica en el nivel satisfactorio.</t>
  </si>
  <si>
    <t>Meta anual cumplida.
Supera la ejecución con 14%  adicional.
De acuerdo con los rangos de cumplimiento definidos para este indicador, se ubica en el nivel satisfactorio.</t>
  </si>
  <si>
    <t>La meta anual alcanza un 99% de cumplimiento.
De acuerdo con los rangos de cumplimiento definidos para este indicador,  se ubica en  el nivel sobresaliente.</t>
  </si>
  <si>
    <t>Meta anual cumplida.
Supera la ejecución con 7 dependencias capacitadas adicionales.
De acuerdo con los rangos de cumplimiento definidos para este indicador, se ubica en el nivel satisfactorio.</t>
  </si>
  <si>
    <t>Meta anual cumplida.
Supera la ejecución con 8%  adicional.
De acuerdo con los rangos de cumplimiento definidos para este indicador, se ubica en el nivel satisfactorio.</t>
  </si>
  <si>
    <t>La meta anual alcanza un 87.5% de cumplimiento.
De acuerdo con los rangos de cumplimiento definidos para este indicador,  se ubica en  el nivel aceptable.</t>
  </si>
  <si>
    <t>Meta anual cumplida.
Supera la ejecución con 6%  adicional.
De acuerdo con los rangos de cumplimiento definidos para este indicador, se ubica en el nivel satisfactorio.</t>
  </si>
  <si>
    <t>Meta anual cumplida.
Supera la ejecución con 5%  adicional.
De acuerdo con los rangos de cumplimiento definidos para este indicador, se ubica en el nivel satisfactorio.</t>
  </si>
  <si>
    <t>Meta anual cumplida.
Supera la ejecución con 11%  adicional.
De acuerdo con los rangos de cumplimiento definidos para este indicador, se ubica en el nivel satisfactorio.</t>
  </si>
  <si>
    <t>Meta anual cumplida.
Supera la ejecución con 18%  adicional.
De acuerdo con los rangos de cumplimiento definidos para este indicador, se ubica en el nivel satisfactorio.</t>
  </si>
  <si>
    <t>La meta anual alcanza un 99.1% de cumplimiento.
De acuerdo con los rangos de cumplimiento definidos para este indicador,  se ubica en  el nivel satisfactorio.</t>
  </si>
  <si>
    <t>Meta anual cumplida.
Supera la ejecución con 15.4%  adicional.
De acuerdo con los rangos de cumplimiento definidos para este indicador, se ubica en el nivel satisfactorio.</t>
  </si>
  <si>
    <t>Meta anual cumplida.
Supera la ejecución con 12 actividades  adicionales.
De acuerdo con los rangos de cumplimiento definidos para este indicador, se ubica en el nivel satisfactorio.</t>
  </si>
  <si>
    <t>Meta anual cumplida.
De acuerdo con los rangos de cumplimiento definidos para este indicador, se ubica en el nivel satisfactorio.</t>
  </si>
  <si>
    <t>Meta anual cumplida.
Supera la ejecución con 1 citación a audiencia que termina en fallo, adicional.
De acuerdo con los rangos de cumplimiento definidos para este indicador, se ubica en el nivel satisfactorio.</t>
  </si>
  <si>
    <t>Meta anual cumplida.
Supera la ejecución con 11 decisiones de fondo adicionales.
De acuerdo con los rangos de cumplimiento definidos para este indicador, se ubica en el nivel satisfactorio.</t>
  </si>
  <si>
    <t>Meta anual cumplida.
Supera la ejecución con 12 acciones de promoción adicionales.
De acuerdo con los rangos de cumplimiento definidos para este indicador, se ubica en el nivel satisfactorio.
Se recomienda al proceso tomar como línea base este resultado para proyecciones futuras.</t>
  </si>
  <si>
    <t>Meta anual cumplida.
Desde el reporte efectuado por la Personería Delegada para la Coordinación del Ministerio Público y los Derechos Humanos supera la ejecución con 3308 requerimientos finalizados en defensa de los derechos, adicionales.
De acuerdo con los rangos de cumplimiento definidos para este indicador, se ubica en el nivel satisfactorio.
Se recomienda al proceso tomar como línea base este resultado para proyecciones futuras.</t>
  </si>
  <si>
    <t>Meta anual cumplida.
Desde el reporte efectuado por la Personería Delegada para la Coordinación de Gestión de la Personerías Locales, supera la ejecución con 1590 requerimientos finalizados en defensa de los derechos, adicionales.
De acuerdo con los rangos de cumplimiento definidos para este indicador, se ubica en el nivel satisfactorio.
Se recomienda al proceso tomar como línea base este resultado para proyecciones futuras.</t>
  </si>
  <si>
    <t>Meta anual cumplida.
Desde el reporte efectuado por la Personería Delegada para la Coordinación de Prevención y Control a la Función Pública,  supera la ejecución con 4013 requerimientos finalizados en defensa de los derechos, adicionales.
De acuerdo con los rangos de cumplimiento definidos para este indicador, se ubica en el nivel satisfactorio.
Se recomienda al proceso tomar como línea base este resultado para proyecciones futuras.</t>
  </si>
  <si>
    <t xml:space="preserve">No de Indicadores con ejecución superior a la programada </t>
  </si>
  <si>
    <t xml:space="preserve">No de Indicadores con ejecución menor a la esperada </t>
  </si>
  <si>
    <t>No de Indicadores con Meta Cumplida según programación</t>
  </si>
  <si>
    <t>INFORME DE SEGUIMIENTO</t>
  </si>
  <si>
    <t>CONSOLIDADO INDICADORES</t>
  </si>
  <si>
    <t>JAIME ALFONSO CUBIDES CÁRDENAS / DIRECTOR DE GESTIÓN DEL CONOCIMIENTO E INNOVACIÓN</t>
  </si>
  <si>
    <t>SANDRA PATRICIA MACHADO ARQUEZ/ JEFE DE OFICINA ASESORA DE COMUNICACIONES</t>
  </si>
  <si>
    <t xml:space="preserve">BIVIANA ROCÍO AGUILLÓN MAYORGA - PERSONERA DELEGADA PARA LA COORDINACIÓN DE POTESTAD DISCIPLINARIA </t>
  </si>
  <si>
    <t xml:space="preserve">WILLIAM FUENTES CABALLERO - SUBDIRECTOR DE GESTIÓN DOCUMENTAL Y RECURSOS FÍSICOS </t>
  </si>
  <si>
    <t xml:space="preserve">LIZETH MILENA FIGUEREDO BLANCO/  Jefe Oficina Asesora Jurídica (E) </t>
  </si>
  <si>
    <t>CARLOS ENRIQUE SILGADO BETANCOURT - SECRETARIO GENERAL</t>
  </si>
  <si>
    <t xml:space="preserve">SANDRA MILENA CÁCERES GONZÁLEZ  / JEFE OFICINA CONTROL INTERNO (E) </t>
  </si>
  <si>
    <t>JORGE ULISES GARTNER CORREDOR - JEFE OFICINA CONTROL INTERNO DISCIPLINARIO</t>
  </si>
  <si>
    <t xml:space="preserve">YENNI DOLORES SALEK CORREAL - SUBDIRECTORA DE CONTRATACIÓN (E) </t>
  </si>
  <si>
    <t xml:space="preserve">SANDRA ELIZABETH GARCÍA ANGARITA - PERSONERA DELEGADA PARA LA COORDINACIÓN DE PREVENCIÓN Y CONTROL A LA FUNCIÓN PÚBLICA
BIVIANA ROCÍO AGUILLÓN MAYORGA - PERSONERA DELEGADA PARA LA COORDINACIÓN DE GESTIÓN DE LAS PERSONERÍAS LOCALES (E) </t>
  </si>
  <si>
    <t xml:space="preserve">PAULA ANDREA GIRÓN URIBE  - PERSONERA DELEGADA PARA LA COORDINACION DEL MINISTERIO PUBLICO  Y LOS DERECHOS HUMANOS 
BIVIANA ROCÍO AGUILLÓN MAYORGA - PERSONERA DELEGADA PARA LA COORDINACION DE GESTIÓN DE LAS PERSONERÍAS LOCALES (E) </t>
  </si>
  <si>
    <t xml:space="preserve">PEDRO ENRIQUE PINZÓN CAMARGO / DIRECTOR DE TECNOLOGÍAS DE LA INFOMACIÓN Y LAS COMUNICACIONES (E) </t>
  </si>
  <si>
    <t xml:space="preserve">GERMÁN URIEL ROJAS / DIRECTOR DE PLANEACIÓN (E) </t>
  </si>
  <si>
    <t>13/12/2019
Actualización: 05/03/2020
Actualización:11/05/2020
Actualización:12/08/2020
Actualización: 13/09/2020
Actualización: 28/12/2020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</si>
</sst>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0.0"/>
    <numFmt numFmtId="166" formatCode="0.0"/>
    <numFmt numFmtId="167" formatCode="0.00000000000000000%"/>
  </numFmts>
  <fonts count="5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FFFFFF"/>
      <name val="Century Gothic"/>
      <family val="2"/>
    </font>
    <font>
      <sz val="10"/>
      <name val="Century Gothic"/>
      <family val="2"/>
    </font>
    <font>
      <sz val="11"/>
      <color indexed="8"/>
      <name val="Calibri"/>
      <family val="2"/>
    </font>
    <font>
      <b/>
      <sz val="12"/>
      <name val="Arial"/>
      <family val="2"/>
    </font>
    <font>
      <b/>
      <sz val="12"/>
      <color indexed="8"/>
      <name val="Arial"/>
      <family val="2"/>
    </font>
    <font>
      <b/>
      <sz val="12"/>
      <color theme="3" tint="-0.499984740745262"/>
      <name val="Arial"/>
      <family val="2"/>
    </font>
    <font>
      <b/>
      <sz val="14"/>
      <name val="Arial"/>
      <family val="2"/>
    </font>
    <font>
      <sz val="9"/>
      <color indexed="81"/>
      <name val="Tahoma"/>
      <family val="2"/>
    </font>
    <font>
      <b/>
      <sz val="9"/>
      <color indexed="81"/>
      <name val="Tahoma"/>
      <family val="2"/>
    </font>
    <font>
      <sz val="12"/>
      <name val="Century Gothic"/>
      <family val="2"/>
    </font>
    <font>
      <sz val="10"/>
      <name val="Arial"/>
      <family val="2"/>
    </font>
    <font>
      <sz val="10"/>
      <color rgb="FF000000"/>
      <name val="Arial1"/>
    </font>
    <font>
      <sz val="11"/>
      <color rgb="FF000000"/>
      <name val="Calibri"/>
      <family val="2"/>
    </font>
    <font>
      <sz val="10"/>
      <name val="Arial"/>
      <family val="2"/>
    </font>
    <font>
      <sz val="12"/>
      <name val="Arial"/>
      <family val="2"/>
    </font>
    <font>
      <sz val="18"/>
      <name val="Arial"/>
      <family val="2"/>
    </font>
    <font>
      <b/>
      <sz val="18"/>
      <name val="Arial"/>
      <family val="2"/>
    </font>
    <font>
      <sz val="11"/>
      <name val="Arial"/>
      <family val="2"/>
    </font>
    <font>
      <sz val="12"/>
      <color theme="1"/>
      <name val="Arial"/>
      <family val="2"/>
    </font>
    <font>
      <b/>
      <sz val="12"/>
      <color theme="1"/>
      <name val="Arial"/>
      <family val="2"/>
    </font>
    <font>
      <b/>
      <sz val="11"/>
      <name val="Arial"/>
      <family val="2"/>
    </font>
    <font>
      <b/>
      <sz val="10"/>
      <name val="Arial"/>
      <family val="2"/>
    </font>
    <font>
      <b/>
      <sz val="10"/>
      <color theme="3" tint="-0.499984740745262"/>
      <name val="Arial"/>
      <family val="2"/>
    </font>
    <font>
      <b/>
      <sz val="10"/>
      <color indexed="8"/>
      <name val="Arial"/>
      <family val="2"/>
    </font>
    <font>
      <b/>
      <sz val="22"/>
      <name val="Arial"/>
      <family val="2"/>
    </font>
    <font>
      <b/>
      <sz val="12"/>
      <color theme="0"/>
      <name val="Arial"/>
      <family val="2"/>
    </font>
    <font>
      <sz val="10"/>
      <color theme="0"/>
      <name val="Arial"/>
      <family val="2"/>
    </font>
    <font>
      <i/>
      <sz val="12"/>
      <name val="Arial"/>
      <family val="2"/>
    </font>
    <font>
      <sz val="10"/>
      <color rgb="FFFF0000"/>
      <name val="Arial"/>
      <family val="2"/>
    </font>
    <font>
      <sz val="9"/>
      <name val="Arial"/>
      <family val="2"/>
    </font>
    <font>
      <b/>
      <sz val="16"/>
      <color rgb="FF0070C0"/>
      <name val="Century Gothic"/>
      <family val="2"/>
    </font>
    <font>
      <sz val="14"/>
      <name val="Arial"/>
      <family val="2"/>
    </font>
    <font>
      <sz val="10"/>
      <color indexed="81"/>
      <name val="Arial"/>
      <family val="2"/>
    </font>
    <font>
      <b/>
      <sz val="10"/>
      <color indexed="81"/>
      <name val="Arial"/>
      <family val="2"/>
    </font>
    <font>
      <sz val="12"/>
      <color rgb="FF000000"/>
      <name val="Arial"/>
      <family val="2"/>
    </font>
    <font>
      <sz val="16"/>
      <color rgb="FF000000"/>
      <name val="Arial"/>
      <family val="2"/>
    </font>
    <font>
      <sz val="16"/>
      <name val="Arial"/>
      <family val="2"/>
    </font>
    <font>
      <b/>
      <sz val="35"/>
      <name val="Arial"/>
      <family val="2"/>
    </font>
    <font>
      <sz val="14"/>
      <color theme="1"/>
      <name val="Arial"/>
      <family val="2"/>
    </font>
    <font>
      <sz val="20"/>
      <name val="Arial"/>
      <family val="2"/>
    </font>
    <font>
      <sz val="10"/>
      <name val="Arial"/>
      <family val="2"/>
    </font>
    <font>
      <sz val="10"/>
      <color theme="1"/>
      <name val="Arial"/>
      <family val="2"/>
    </font>
    <font>
      <sz val="16"/>
      <color theme="1"/>
      <name val="Arial"/>
      <family val="2"/>
    </font>
    <font>
      <sz val="9"/>
      <color theme="1"/>
      <name val="Arial"/>
      <family val="2"/>
    </font>
    <font>
      <b/>
      <sz val="10"/>
      <color theme="0"/>
      <name val="Arial"/>
      <family val="2"/>
    </font>
    <font>
      <sz val="8"/>
      <color theme="1"/>
      <name val="Arial"/>
      <family val="2"/>
    </font>
    <font>
      <b/>
      <sz val="8"/>
      <color theme="1"/>
      <name val="Arial"/>
      <family val="2"/>
    </font>
    <font>
      <sz val="8"/>
      <name val="Arial"/>
      <family val="2"/>
    </font>
    <font>
      <sz val="11"/>
      <color theme="1"/>
      <name val="Arial"/>
      <family val="2"/>
    </font>
    <font>
      <b/>
      <sz val="10"/>
      <color theme="1"/>
      <name val="Arial"/>
      <family val="2"/>
    </font>
    <font>
      <sz val="10"/>
      <name val="Arial"/>
    </font>
    <font>
      <sz val="12"/>
      <color rgb="FFFF0000"/>
      <name val="Arial"/>
      <family val="2"/>
    </font>
    <font>
      <b/>
      <sz val="11"/>
      <color theme="1"/>
      <name val="Arial"/>
      <family val="2"/>
    </font>
  </fonts>
  <fills count="3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22"/>
        <bgColor indexed="31"/>
      </patternFill>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59999389629810485"/>
        <bgColor indexed="58"/>
      </patternFill>
    </fill>
    <fill>
      <patternFill patternType="solid">
        <fgColor theme="3" tint="0.39997558519241921"/>
        <bgColor indexed="51"/>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00B050"/>
        <bgColor indexed="64"/>
      </patternFill>
    </fill>
    <fill>
      <patternFill patternType="solid">
        <fgColor theme="6"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8" tint="-0.249977111117893"/>
        <bgColor indexed="64"/>
      </patternFill>
    </fill>
    <fill>
      <patternFill patternType="solid">
        <fgColor rgb="FF00B0F0"/>
        <bgColor indexed="64"/>
      </patternFill>
    </fill>
    <fill>
      <patternFill patternType="solid">
        <fgColor rgb="FF00FF00"/>
        <bgColor indexed="64"/>
      </patternFill>
    </fill>
  </fills>
  <borders count="9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auto="1"/>
      </right>
      <top/>
      <bottom style="double">
        <color indexed="64"/>
      </bottom>
      <diagonal/>
    </border>
    <border>
      <left style="thin">
        <color auto="1"/>
      </left>
      <right/>
      <top/>
      <bottom/>
      <diagonal/>
    </border>
    <border>
      <left style="thin">
        <color auto="1"/>
      </left>
      <right/>
      <top style="thin">
        <color auto="1"/>
      </top>
      <bottom/>
      <diagonal/>
    </border>
    <border>
      <left/>
      <right style="medium">
        <color auto="1"/>
      </right>
      <top style="thin">
        <color auto="1"/>
      </top>
      <bottom/>
      <diagonal/>
    </border>
    <border>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auto="1"/>
      </left>
      <right style="thin">
        <color auto="1"/>
      </right>
      <top/>
      <bottom/>
      <diagonal/>
    </border>
    <border>
      <left style="thin">
        <color auto="1"/>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4">
    <xf numFmtId="0" fontId="0" fillId="0" borderId="0"/>
    <xf numFmtId="0" fontId="4" fillId="0" borderId="1"/>
    <xf numFmtId="0" fontId="7" fillId="0" borderId="1"/>
    <xf numFmtId="9" fontId="4" fillId="0" borderId="1" applyFill="0" applyBorder="0" applyAlignment="0" applyProtection="0"/>
    <xf numFmtId="0" fontId="4" fillId="0" borderId="1"/>
    <xf numFmtId="9" fontId="15" fillId="0" borderId="0" applyFont="0" applyFill="0" applyBorder="0" applyAlignment="0" applyProtection="0"/>
    <xf numFmtId="43" fontId="4" fillId="0" borderId="1" applyFont="0" applyFill="0" applyBorder="0" applyAlignment="0" applyProtection="0"/>
    <xf numFmtId="9" fontId="4" fillId="0" borderId="1"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 fillId="0" borderId="1"/>
    <xf numFmtId="0" fontId="3" fillId="0" borderId="1"/>
    <xf numFmtId="9" fontId="16" fillId="0" borderId="1" applyBorder="0" applyProtection="0"/>
    <xf numFmtId="0" fontId="17" fillId="0" borderId="1" applyNumberFormat="0" applyBorder="0" applyProtection="0"/>
    <xf numFmtId="0" fontId="3" fillId="0" borderId="1"/>
    <xf numFmtId="0" fontId="3" fillId="0" borderId="1"/>
    <xf numFmtId="0" fontId="18" fillId="0" borderId="1"/>
    <xf numFmtId="0" fontId="2" fillId="0" borderId="1"/>
    <xf numFmtId="43" fontId="2" fillId="0" borderId="1" applyFont="0" applyFill="0" applyBorder="0" applyAlignment="0" applyProtection="0"/>
    <xf numFmtId="0" fontId="4" fillId="0" borderId="1"/>
    <xf numFmtId="0" fontId="4" fillId="0" borderId="1"/>
    <xf numFmtId="0" fontId="4" fillId="0" borderId="1"/>
    <xf numFmtId="0" fontId="4" fillId="0" borderId="1"/>
    <xf numFmtId="43" fontId="4" fillId="0" borderId="1" applyFont="0" applyFill="0" applyBorder="0" applyAlignment="0" applyProtection="0"/>
    <xf numFmtId="41" fontId="45" fillId="0" borderId="0" applyFont="0" applyFill="0" applyBorder="0" applyAlignment="0" applyProtection="0"/>
    <xf numFmtId="0" fontId="1" fillId="0" borderId="1"/>
    <xf numFmtId="0" fontId="4" fillId="0" borderId="1" applyNumberFormat="0" applyFont="0" applyFill="0" applyBorder="0" applyAlignment="0" applyProtection="0">
      <alignment vertical="top"/>
    </xf>
    <xf numFmtId="0" fontId="1" fillId="0" borderId="1"/>
    <xf numFmtId="9" fontId="1" fillId="0" borderId="1" applyFont="0" applyFill="0" applyBorder="0" applyAlignment="0" applyProtection="0"/>
    <xf numFmtId="41" fontId="1" fillId="0" borderId="1" applyFont="0" applyFill="0" applyBorder="0" applyAlignment="0" applyProtection="0"/>
    <xf numFmtId="43" fontId="55" fillId="0" borderId="0" applyFont="0" applyFill="0" applyBorder="0" applyAlignment="0" applyProtection="0"/>
  </cellStyleXfs>
  <cellXfs count="966">
    <xf numFmtId="0" fontId="0" fillId="0" borderId="0" xfId="0"/>
    <xf numFmtId="0" fontId="6" fillId="0" borderId="0" xfId="0" applyFont="1" applyAlignment="1">
      <alignment vertical="center"/>
    </xf>
    <xf numFmtId="0" fontId="14" fillId="0" borderId="1" xfId="0" applyFont="1" applyBorder="1" applyAlignment="1">
      <alignment vertical="center"/>
    </xf>
    <xf numFmtId="0" fontId="14" fillId="0" borderId="1" xfId="1" applyFont="1" applyBorder="1" applyAlignment="1">
      <alignment vertical="center"/>
    </xf>
    <xf numFmtId="0" fontId="14" fillId="0" borderId="1" xfId="1" applyFont="1" applyBorder="1" applyAlignment="1">
      <alignment vertical="center" wrapText="1"/>
    </xf>
    <xf numFmtId="0" fontId="14" fillId="0" borderId="0" xfId="0" applyFont="1" applyAlignment="1">
      <alignment vertical="center"/>
    </xf>
    <xf numFmtId="0" fontId="14" fillId="0" borderId="1"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xf>
    <xf numFmtId="0" fontId="14" fillId="0" borderId="1" xfId="1" applyFont="1" applyBorder="1" applyAlignment="1">
      <alignment horizontal="center" vertical="center"/>
    </xf>
    <xf numFmtId="0" fontId="14" fillId="0" borderId="0" xfId="0" applyFont="1" applyAlignment="1">
      <alignment horizontal="center" vertical="center"/>
    </xf>
    <xf numFmtId="0" fontId="10" fillId="0" borderId="3" xfId="1" applyFont="1" applyFill="1" applyBorder="1" applyAlignment="1" applyProtection="1">
      <alignment horizontal="center" vertical="top" wrapText="1"/>
    </xf>
    <xf numFmtId="0" fontId="9" fillId="0" borderId="3" xfId="1" applyFont="1" applyFill="1" applyBorder="1" applyAlignment="1" applyProtection="1">
      <alignment horizontal="center"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1" fontId="20" fillId="8" borderId="3" xfId="0" applyNumberFormat="1" applyFont="1" applyFill="1" applyBorder="1" applyAlignment="1" applyProtection="1">
      <alignment horizontal="center" vertical="center"/>
    </xf>
    <xf numFmtId="9" fontId="20" fillId="8" borderId="3" xfId="5" applyNumberFormat="1" applyFont="1" applyFill="1" applyBorder="1" applyAlignment="1" applyProtection="1">
      <alignment horizontal="center" vertical="center"/>
    </xf>
    <xf numFmtId="3" fontId="20" fillId="8" borderId="3" xfId="0" applyNumberFormat="1" applyFont="1" applyFill="1" applyBorder="1" applyAlignment="1" applyProtection="1">
      <alignment horizontal="center" vertical="center"/>
    </xf>
    <xf numFmtId="0" fontId="24" fillId="3" borderId="3" xfId="0" applyFont="1" applyFill="1" applyBorder="1" applyAlignment="1">
      <alignment horizontal="left"/>
    </xf>
    <xf numFmtId="0" fontId="24" fillId="3" borderId="27" xfId="0" applyFont="1" applyFill="1" applyBorder="1" applyAlignment="1">
      <alignment horizontal="left"/>
    </xf>
    <xf numFmtId="0" fontId="23" fillId="3" borderId="5" xfId="0" applyFont="1" applyFill="1" applyBorder="1" applyAlignment="1">
      <alignment horizontal="left"/>
    </xf>
    <xf numFmtId="0" fontId="23" fillId="3" borderId="28" xfId="0" applyFont="1" applyFill="1" applyBorder="1" applyAlignment="1">
      <alignment horizontal="center"/>
    </xf>
    <xf numFmtId="0" fontId="27" fillId="0" borderId="3" xfId="1" applyFont="1" applyFill="1" applyBorder="1" applyAlignment="1" applyProtection="1">
      <alignment horizontal="center" vertical="top" wrapText="1"/>
    </xf>
    <xf numFmtId="0" fontId="28" fillId="0" borderId="3" xfId="1" applyFont="1" applyFill="1" applyBorder="1" applyAlignment="1" applyProtection="1">
      <alignment horizontal="center" vertical="top" wrapText="1"/>
    </xf>
    <xf numFmtId="0" fontId="27" fillId="8" borderId="3" xfId="1" applyFont="1" applyFill="1" applyBorder="1" applyAlignment="1" applyProtection="1">
      <alignment horizontal="center" vertical="top" wrapText="1"/>
    </xf>
    <xf numFmtId="0" fontId="28" fillId="8" borderId="3" xfId="1" applyFont="1" applyFill="1" applyBorder="1" applyAlignment="1" applyProtection="1">
      <alignment horizontal="center" vertical="top" wrapText="1"/>
    </xf>
    <xf numFmtId="0" fontId="19" fillId="0" borderId="1" xfId="8" applyFont="1"/>
    <xf numFmtId="0" fontId="19" fillId="0" borderId="2" xfId="8" applyFont="1" applyBorder="1" applyAlignment="1">
      <alignment horizontal="center" vertical="center" wrapText="1"/>
    </xf>
    <xf numFmtId="0" fontId="25" fillId="12" borderId="2" xfId="8" applyFont="1" applyFill="1" applyBorder="1" applyAlignment="1">
      <alignment horizontal="center" vertical="center" wrapText="1"/>
    </xf>
    <xf numFmtId="0" fontId="4" fillId="0" borderId="1" xfId="22" applyBorder="1" applyAlignment="1">
      <alignment vertical="center"/>
    </xf>
    <xf numFmtId="0" fontId="4" fillId="0" borderId="1" xfId="22" applyBorder="1" applyAlignment="1">
      <alignment horizontal="center" vertical="center"/>
    </xf>
    <xf numFmtId="0" fontId="4" fillId="0" borderId="1" xfId="22" applyAlignment="1">
      <alignment vertical="center"/>
    </xf>
    <xf numFmtId="0" fontId="24" fillId="3" borderId="3" xfId="22" applyFont="1" applyFill="1" applyBorder="1" applyAlignment="1">
      <alignment horizontal="left"/>
    </xf>
    <xf numFmtId="0" fontId="24" fillId="3" borderId="27" xfId="22" applyFont="1" applyFill="1" applyBorder="1" applyAlignment="1">
      <alignment horizontal="left"/>
    </xf>
    <xf numFmtId="0" fontId="23" fillId="3" borderId="5" xfId="22" applyFont="1" applyFill="1" applyBorder="1" applyAlignment="1">
      <alignment horizontal="left"/>
    </xf>
    <xf numFmtId="0" fontId="23" fillId="3" borderId="28" xfId="22" applyFont="1" applyFill="1" applyBorder="1" applyAlignment="1">
      <alignment horizontal="center"/>
    </xf>
    <xf numFmtId="0" fontId="31" fillId="0" borderId="1" xfId="22" applyFont="1" applyBorder="1" applyAlignment="1">
      <alignment horizontal="center" vertical="center"/>
    </xf>
    <xf numFmtId="0" fontId="30" fillId="11" borderId="50" xfId="22" applyFont="1" applyFill="1" applyBorder="1" applyAlignment="1">
      <alignment horizontal="center" vertical="center"/>
    </xf>
    <xf numFmtId="0" fontId="8" fillId="15" borderId="54" xfId="8" applyFont="1" applyFill="1" applyBorder="1" applyAlignment="1">
      <alignment horizontal="left" vertical="center"/>
    </xf>
    <xf numFmtId="0" fontId="8" fillId="15" borderId="56" xfId="8" applyFont="1" applyFill="1" applyBorder="1" applyAlignment="1">
      <alignment horizontal="left" vertical="center" wrapText="1"/>
    </xf>
    <xf numFmtId="0" fontId="8" fillId="15" borderId="57" xfId="22" applyFont="1" applyFill="1" applyBorder="1" applyAlignment="1">
      <alignment vertical="center" wrapText="1"/>
    </xf>
    <xf numFmtId="0" fontId="8" fillId="15" borderId="56" xfId="22" applyFont="1" applyFill="1" applyBorder="1" applyAlignment="1">
      <alignment horizontal="left" vertical="center" wrapText="1"/>
    </xf>
    <xf numFmtId="0" fontId="8" fillId="15" borderId="56" xfId="22" applyFont="1" applyFill="1" applyBorder="1" applyAlignment="1">
      <alignment vertical="center" wrapText="1"/>
    </xf>
    <xf numFmtId="0" fontId="4" fillId="0" borderId="1" xfId="22" applyBorder="1"/>
    <xf numFmtId="0" fontId="8" fillId="15" borderId="20" xfId="8" applyFont="1" applyFill="1" applyBorder="1" applyAlignment="1">
      <alignment horizontal="left" vertical="center" wrapText="1"/>
    </xf>
    <xf numFmtId="0" fontId="8" fillId="15" borderId="54" xfId="8" applyFont="1" applyFill="1" applyBorder="1" applyAlignment="1">
      <alignment horizontal="left" vertical="center" wrapText="1"/>
    </xf>
    <xf numFmtId="0" fontId="8" fillId="15" borderId="58" xfId="22" applyFont="1" applyFill="1" applyBorder="1" applyAlignment="1">
      <alignment vertical="center" wrapText="1"/>
    </xf>
    <xf numFmtId="0" fontId="4" fillId="0" borderId="2" xfId="8" applyFont="1" applyBorder="1" applyAlignment="1">
      <alignment horizontal="center" vertical="center" wrapText="1"/>
    </xf>
    <xf numFmtId="0" fontId="4" fillId="0" borderId="2" xfId="8" applyFont="1" applyBorder="1" applyAlignment="1">
      <alignment horizontal="left" vertical="center" wrapText="1"/>
    </xf>
    <xf numFmtId="0" fontId="4" fillId="0" borderId="2" xfId="8"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Border="1" applyAlignment="1">
      <alignment horizontal="center" vertical="center" wrapText="1"/>
    </xf>
    <xf numFmtId="0" fontId="8" fillId="15" borderId="57" xfId="22" applyFont="1" applyFill="1" applyBorder="1" applyAlignment="1">
      <alignment horizontal="left" vertical="center" wrapText="1"/>
    </xf>
    <xf numFmtId="0" fontId="8" fillId="16" borderId="2" xfId="1" applyFont="1" applyFill="1" applyBorder="1" applyAlignment="1">
      <alignment horizontal="center" vertical="center"/>
    </xf>
    <xf numFmtId="0" fontId="8" fillId="16" borderId="2" xfId="1" applyFont="1" applyFill="1" applyBorder="1" applyAlignment="1" applyProtection="1">
      <alignment vertical="center"/>
    </xf>
    <xf numFmtId="0" fontId="8" fillId="16" borderId="2" xfId="1" applyFont="1" applyFill="1" applyBorder="1" applyAlignment="1" applyProtection="1">
      <alignment vertical="center" wrapText="1"/>
    </xf>
    <xf numFmtId="0" fontId="6" fillId="0" borderId="1" xfId="1" applyFont="1" applyBorder="1" applyAlignment="1">
      <alignment horizontal="left" vertical="center"/>
    </xf>
    <xf numFmtId="0" fontId="6" fillId="0" borderId="1" xfId="1" applyFont="1" applyBorder="1" applyAlignment="1">
      <alignment horizontal="left" vertical="center"/>
    </xf>
    <xf numFmtId="0" fontId="5" fillId="5" borderId="61" xfId="0" applyFont="1" applyFill="1" applyBorder="1" applyAlignment="1">
      <alignment vertical="center"/>
    </xf>
    <xf numFmtId="0" fontId="10" fillId="8" borderId="3" xfId="1" applyFont="1" applyFill="1" applyBorder="1" applyAlignment="1" applyProtection="1">
      <alignment horizontal="center" vertical="top" wrapText="1"/>
    </xf>
    <xf numFmtId="0" fontId="9" fillId="8" borderId="3" xfId="1" applyFont="1" applyFill="1" applyBorder="1" applyAlignment="1" applyProtection="1">
      <alignment horizontal="center" vertical="top" wrapText="1"/>
    </xf>
    <xf numFmtId="3" fontId="20" fillId="8" borderId="3" xfId="6" applyNumberFormat="1" applyFont="1" applyFill="1" applyBorder="1" applyAlignment="1" applyProtection="1">
      <alignment horizontal="center" vertical="center"/>
    </xf>
    <xf numFmtId="3" fontId="35" fillId="0" borderId="0" xfId="0" applyNumberFormat="1" applyFont="1" applyAlignment="1">
      <alignment vertical="center"/>
    </xf>
    <xf numFmtId="1" fontId="20" fillId="8" borderId="3" xfId="6" applyNumberFormat="1" applyFont="1" applyFill="1" applyBorder="1" applyAlignment="1" applyProtection="1">
      <alignment horizontal="center" vertical="center"/>
    </xf>
    <xf numFmtId="9" fontId="6" fillId="0" borderId="1" xfId="7" applyFont="1" applyAlignment="1">
      <alignment vertical="center"/>
    </xf>
    <xf numFmtId="3" fontId="20" fillId="8" borderId="3" xfId="7" applyNumberFormat="1" applyFont="1" applyFill="1" applyBorder="1" applyAlignment="1" applyProtection="1">
      <alignment horizontal="center" vertical="center"/>
    </xf>
    <xf numFmtId="1" fontId="20" fillId="8" borderId="3" xfId="7" applyNumberFormat="1" applyFont="1" applyFill="1" applyBorder="1" applyAlignment="1" applyProtection="1">
      <alignment horizontal="center" vertical="center"/>
    </xf>
    <xf numFmtId="0" fontId="19" fillId="0" borderId="2" xfId="22" applyFont="1" applyBorder="1" applyAlignment="1" applyProtection="1">
      <alignment horizontal="left" vertical="center" wrapText="1"/>
    </xf>
    <xf numFmtId="0" fontId="6" fillId="0" borderId="1" xfId="1" applyFont="1" applyBorder="1" applyAlignment="1">
      <alignment horizontal="left" vertical="center"/>
    </xf>
    <xf numFmtId="0" fontId="5" fillId="5" borderId="17" xfId="0" applyFont="1" applyFill="1" applyBorder="1" applyAlignment="1">
      <alignment horizontal="center" vertical="center"/>
    </xf>
    <xf numFmtId="0" fontId="8" fillId="0" borderId="2" xfId="1" applyFont="1" applyFill="1" applyBorder="1" applyAlignment="1" applyProtection="1">
      <alignment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6" fillId="0" borderId="0" xfId="0" applyFont="1" applyAlignment="1">
      <alignment vertical="center" wrapText="1"/>
    </xf>
    <xf numFmtId="0" fontId="14" fillId="0" borderId="1" xfId="1" applyFont="1" applyBorder="1" applyAlignment="1">
      <alignment horizontal="center" vertical="center" wrapText="1"/>
    </xf>
    <xf numFmtId="0" fontId="27" fillId="0" borderId="76" xfId="1" applyFont="1" applyFill="1" applyBorder="1" applyAlignment="1" applyProtection="1">
      <alignment horizontal="center" vertical="top" wrapText="1"/>
    </xf>
    <xf numFmtId="0" fontId="28" fillId="0" borderId="76" xfId="1" applyFont="1" applyFill="1" applyBorder="1" applyAlignment="1" applyProtection="1">
      <alignment horizontal="center" vertical="top" wrapText="1"/>
    </xf>
    <xf numFmtId="0" fontId="27" fillId="8" borderId="76" xfId="1" applyFont="1" applyFill="1" applyBorder="1" applyAlignment="1" applyProtection="1">
      <alignment horizontal="center" vertical="top" wrapText="1"/>
    </xf>
    <xf numFmtId="0" fontId="28" fillId="8" borderId="76" xfId="1" applyFont="1" applyFill="1" applyBorder="1" applyAlignment="1" applyProtection="1">
      <alignment horizontal="center" vertical="top" wrapText="1"/>
    </xf>
    <xf numFmtId="0" fontId="8" fillId="16" borderId="73" xfId="1" applyFont="1" applyFill="1" applyBorder="1" applyAlignment="1" applyProtection="1">
      <alignment vertical="center"/>
    </xf>
    <xf numFmtId="0" fontId="8" fillId="16" borderId="73" xfId="1" applyFont="1" applyFill="1" applyBorder="1" applyAlignment="1" applyProtection="1">
      <alignment vertical="center" wrapText="1"/>
    </xf>
    <xf numFmtId="0" fontId="24" fillId="3" borderId="76" xfId="0" applyFont="1" applyFill="1" applyBorder="1" applyAlignment="1">
      <alignment horizontal="left"/>
    </xf>
    <xf numFmtId="0" fontId="24" fillId="3" borderId="78" xfId="0" applyFont="1" applyFill="1" applyBorder="1" applyAlignment="1">
      <alignment horizontal="left"/>
    </xf>
    <xf numFmtId="0" fontId="8" fillId="16" borderId="83" xfId="1" applyFont="1" applyFill="1" applyBorder="1" applyAlignment="1" applyProtection="1">
      <alignment vertical="center"/>
    </xf>
    <xf numFmtId="0" fontId="8" fillId="16" borderId="83" xfId="1" applyFont="1" applyFill="1" applyBorder="1" applyAlignment="1" applyProtection="1">
      <alignment vertical="center" wrapText="1"/>
    </xf>
    <xf numFmtId="0" fontId="8" fillId="16" borderId="83" xfId="1" applyFont="1" applyFill="1" applyBorder="1" applyAlignment="1">
      <alignment horizontal="center"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14" fillId="0" borderId="0" xfId="0" applyFont="1" applyAlignment="1" applyProtection="1">
      <alignment vertical="center" wrapText="1"/>
    </xf>
    <xf numFmtId="0" fontId="6" fillId="0" borderId="0" xfId="0" applyFont="1" applyAlignment="1" applyProtection="1">
      <alignment vertical="center"/>
    </xf>
    <xf numFmtId="0" fontId="24" fillId="3" borderId="3" xfId="0" applyFont="1" applyFill="1" applyBorder="1" applyAlignment="1" applyProtection="1">
      <alignment horizontal="left"/>
    </xf>
    <xf numFmtId="0" fontId="24" fillId="3" borderId="78" xfId="0" applyFont="1" applyFill="1" applyBorder="1" applyAlignment="1" applyProtection="1">
      <alignment horizontal="left"/>
    </xf>
    <xf numFmtId="0" fontId="23" fillId="3" borderId="5" xfId="0" applyFont="1" applyFill="1" applyBorder="1" applyAlignment="1" applyProtection="1">
      <alignment horizontal="left"/>
    </xf>
    <xf numFmtId="0" fontId="23" fillId="3" borderId="28" xfId="0" applyFont="1" applyFill="1" applyBorder="1" applyAlignment="1" applyProtection="1">
      <alignment horizontal="center"/>
    </xf>
    <xf numFmtId="0" fontId="14" fillId="0" borderId="1" xfId="0" applyFont="1" applyBorder="1" applyAlignment="1" applyProtection="1">
      <alignment vertical="center"/>
    </xf>
    <xf numFmtId="0" fontId="14" fillId="0" borderId="1" xfId="0" applyFont="1" applyBorder="1" applyAlignment="1" applyProtection="1">
      <alignment horizontal="center" vertical="center"/>
    </xf>
    <xf numFmtId="0" fontId="14" fillId="0" borderId="1" xfId="0" applyFont="1" applyBorder="1" applyAlignment="1" applyProtection="1">
      <alignment vertical="center" wrapText="1"/>
    </xf>
    <xf numFmtId="0" fontId="5" fillId="5" borderId="16" xfId="0" applyFont="1" applyFill="1" applyBorder="1" applyAlignment="1" applyProtection="1">
      <alignment vertical="center"/>
    </xf>
    <xf numFmtId="0" fontId="5" fillId="5" borderId="17" xfId="0" applyFont="1" applyFill="1" applyBorder="1" applyAlignment="1" applyProtection="1">
      <alignment vertical="center"/>
    </xf>
    <xf numFmtId="0" fontId="19" fillId="0" borderId="83" xfId="0" applyFont="1" applyBorder="1" applyAlignment="1" applyProtection="1">
      <alignment horizontal="left" vertical="center" wrapText="1"/>
    </xf>
    <xf numFmtId="0" fontId="19" fillId="0" borderId="83" xfId="0" applyNumberFormat="1" applyFont="1" applyBorder="1" applyAlignment="1" applyProtection="1">
      <alignment horizontal="center" vertical="center" wrapText="1"/>
    </xf>
    <xf numFmtId="0" fontId="19" fillId="2" borderId="83" xfId="1" applyFont="1" applyFill="1" applyBorder="1" applyAlignment="1" applyProtection="1">
      <alignment horizontal="center" vertical="center" wrapText="1"/>
    </xf>
    <xf numFmtId="0" fontId="19" fillId="0" borderId="83" xfId="23" applyNumberFormat="1" applyFont="1" applyBorder="1" applyAlignment="1" applyProtection="1">
      <alignment horizontal="center" vertical="center" wrapText="1"/>
    </xf>
    <xf numFmtId="0" fontId="19" fillId="0" borderId="86" xfId="23" applyFont="1" applyBorder="1" applyAlignment="1" applyProtection="1">
      <alignment horizontal="left" vertical="center" wrapText="1"/>
    </xf>
    <xf numFmtId="0" fontId="19" fillId="0" borderId="83" xfId="23" applyFont="1" applyBorder="1" applyAlignment="1" applyProtection="1">
      <alignment horizontal="left" vertical="center" wrapText="1"/>
    </xf>
    <xf numFmtId="0" fontId="20" fillId="0" borderId="3" xfId="6" applyNumberFormat="1" applyFont="1" applyBorder="1" applyAlignment="1" applyProtection="1">
      <alignment horizontal="center" vertical="center" wrapText="1"/>
    </xf>
    <xf numFmtId="0" fontId="20" fillId="0" borderId="3" xfId="6" applyNumberFormat="1" applyFont="1" applyFill="1" applyBorder="1" applyAlignment="1" applyProtection="1">
      <alignment horizontal="center" vertical="center" wrapText="1"/>
    </xf>
    <xf numFmtId="9" fontId="19" fillId="0" borderId="83" xfId="25" applyNumberFormat="1" applyFont="1" applyBorder="1" applyAlignment="1" applyProtection="1">
      <alignment horizontal="center" vertical="center" wrapText="1"/>
    </xf>
    <xf numFmtId="0" fontId="19" fillId="0" borderId="83" xfId="25" applyFont="1" applyBorder="1" applyAlignment="1" applyProtection="1">
      <alignment horizontal="center" vertical="center" wrapText="1"/>
    </xf>
    <xf numFmtId="0" fontId="22" fillId="0" borderId="86" xfId="23" applyFont="1" applyBorder="1" applyAlignment="1" applyProtection="1">
      <alignment horizontal="left" vertical="center" wrapText="1"/>
    </xf>
    <xf numFmtId="0" fontId="23" fillId="0" borderId="83" xfId="0" applyFont="1" applyBorder="1" applyAlignment="1" applyProtection="1">
      <alignment horizontal="center" vertical="center" wrapText="1"/>
    </xf>
    <xf numFmtId="0" fontId="23" fillId="0" borderId="83" xfId="0" applyFont="1" applyBorder="1" applyAlignment="1" applyProtection="1">
      <alignment vertical="center" wrapText="1"/>
    </xf>
    <xf numFmtId="0" fontId="14" fillId="0" borderId="1" xfId="1" applyFont="1" applyBorder="1" applyAlignment="1" applyProtection="1">
      <alignment vertical="center"/>
    </xf>
    <xf numFmtId="0" fontId="14" fillId="0" borderId="1" xfId="1" applyFont="1" applyBorder="1" applyAlignment="1" applyProtection="1">
      <alignment horizontal="center" vertical="center"/>
    </xf>
    <xf numFmtId="0" fontId="14" fillId="0" borderId="1" xfId="1" applyFont="1" applyBorder="1" applyAlignment="1" applyProtection="1">
      <alignment vertical="center" wrapText="1"/>
    </xf>
    <xf numFmtId="0" fontId="8" fillId="16" borderId="83" xfId="1" applyFont="1" applyFill="1" applyBorder="1" applyAlignment="1" applyProtection="1">
      <alignment horizontal="center" vertical="center"/>
    </xf>
    <xf numFmtId="9" fontId="23" fillId="3" borderId="83" xfId="8" applyNumberFormat="1" applyFont="1" applyFill="1" applyBorder="1" applyAlignment="1" applyProtection="1">
      <alignment horizontal="left" vertical="center" wrapText="1"/>
    </xf>
    <xf numFmtId="9" fontId="19" fillId="0" borderId="83" xfId="8" applyNumberFormat="1" applyFont="1" applyBorder="1" applyAlignment="1" applyProtection="1">
      <alignment horizontal="left" vertical="center" wrapText="1"/>
    </xf>
    <xf numFmtId="0" fontId="23" fillId="0" borderId="83" xfId="8" applyFont="1" applyBorder="1" applyAlignment="1" applyProtection="1">
      <alignment horizontal="center" vertical="center" wrapText="1"/>
    </xf>
    <xf numFmtId="0" fontId="6" fillId="0" borderId="1" xfId="1" applyFont="1" applyBorder="1" applyAlignment="1">
      <alignment horizontal="left" vertical="center"/>
    </xf>
    <xf numFmtId="9" fontId="19" fillId="0" borderId="83" xfId="23" applyNumberFormat="1" applyFont="1" applyBorder="1" applyAlignment="1" applyProtection="1">
      <alignment horizontal="center" vertical="center" wrapText="1"/>
    </xf>
    <xf numFmtId="0" fontId="19" fillId="0" borderId="83" xfId="8" applyNumberFormat="1" applyFont="1" applyBorder="1" applyAlignment="1" applyProtection="1">
      <alignment horizontal="left" vertical="center" wrapText="1"/>
    </xf>
    <xf numFmtId="1" fontId="19" fillId="0" borderId="83" xfId="8" applyNumberFormat="1" applyFont="1" applyBorder="1" applyAlignment="1" applyProtection="1">
      <alignment horizontal="center" vertical="center" wrapText="1"/>
    </xf>
    <xf numFmtId="0" fontId="19" fillId="0" borderId="83" xfId="8" applyNumberFormat="1" applyFont="1" applyBorder="1" applyAlignment="1" applyProtection="1">
      <alignment horizontal="center" vertical="center" wrapText="1"/>
    </xf>
    <xf numFmtId="0" fontId="19" fillId="0" borderId="83" xfId="22" applyFont="1" applyBorder="1" applyAlignment="1" applyProtection="1">
      <alignment horizontal="center" vertical="center" wrapText="1"/>
    </xf>
    <xf numFmtId="0" fontId="23" fillId="3" borderId="83" xfId="22" applyFont="1" applyFill="1" applyBorder="1" applyAlignment="1" applyProtection="1">
      <alignment horizontal="center" vertical="center" wrapText="1"/>
    </xf>
    <xf numFmtId="0" fontId="23" fillId="3" borderId="86" xfId="23" applyFont="1" applyFill="1" applyBorder="1" applyAlignment="1" applyProtection="1">
      <alignment horizontal="left" vertical="center" wrapText="1"/>
    </xf>
    <xf numFmtId="0" fontId="20" fillId="0" borderId="76" xfId="7" applyNumberFormat="1" applyFont="1" applyBorder="1" applyAlignment="1" applyProtection="1">
      <alignment horizontal="center" vertical="center" wrapText="1"/>
    </xf>
    <xf numFmtId="0" fontId="20" fillId="0" borderId="76" xfId="6" applyNumberFormat="1" applyFont="1" applyBorder="1" applyAlignment="1" applyProtection="1">
      <alignment horizontal="center" vertical="center" wrapText="1"/>
    </xf>
    <xf numFmtId="0" fontId="20" fillId="19" borderId="76" xfId="7" applyNumberFormat="1" applyFont="1" applyFill="1" applyBorder="1" applyAlignment="1" applyProtection="1">
      <alignment horizontal="center" vertical="center" wrapText="1"/>
    </xf>
    <xf numFmtId="3" fontId="20" fillId="8" borderId="76" xfId="6" applyNumberFormat="1" applyFont="1" applyFill="1" applyBorder="1" applyAlignment="1" applyProtection="1">
      <alignment horizontal="center" vertical="center"/>
    </xf>
    <xf numFmtId="9" fontId="20" fillId="8" borderId="76" xfId="5" applyFont="1" applyFill="1" applyBorder="1" applyAlignment="1" applyProtection="1">
      <alignment horizontal="center" vertical="center"/>
    </xf>
    <xf numFmtId="1" fontId="20" fillId="0" borderId="76" xfId="7" applyNumberFormat="1" applyFont="1" applyBorder="1" applyAlignment="1" applyProtection="1">
      <alignment horizontal="center" vertical="center" wrapText="1"/>
    </xf>
    <xf numFmtId="1" fontId="20" fillId="8" borderId="76" xfId="7" applyNumberFormat="1" applyFont="1" applyFill="1" applyBorder="1" applyAlignment="1" applyProtection="1">
      <alignment horizontal="center" vertical="center"/>
    </xf>
    <xf numFmtId="0" fontId="19" fillId="3" borderId="83" xfId="0" applyFont="1" applyFill="1" applyBorder="1" applyAlignment="1" applyProtection="1">
      <alignment horizontal="left" vertical="center" wrapText="1"/>
    </xf>
    <xf numFmtId="9" fontId="44" fillId="3" borderId="83" xfId="0" applyNumberFormat="1" applyFont="1" applyFill="1" applyBorder="1" applyAlignment="1" applyProtection="1">
      <alignment horizontal="center" vertical="center" wrapText="1"/>
    </xf>
    <xf numFmtId="0" fontId="19" fillId="3" borderId="86" xfId="23" applyFont="1" applyFill="1" applyBorder="1" applyAlignment="1" applyProtection="1">
      <alignment horizontal="left" vertical="center" wrapText="1"/>
    </xf>
    <xf numFmtId="9" fontId="19" fillId="3" borderId="83" xfId="23" applyNumberFormat="1" applyFont="1" applyFill="1" applyBorder="1" applyAlignment="1" applyProtection="1">
      <alignment horizontal="center" vertical="center" wrapText="1"/>
    </xf>
    <xf numFmtId="9" fontId="22" fillId="3" borderId="83" xfId="7" applyFont="1" applyFill="1" applyBorder="1" applyAlignment="1" applyProtection="1">
      <alignment horizontal="center" vertical="center" wrapText="1"/>
    </xf>
    <xf numFmtId="164" fontId="20" fillId="0" borderId="76" xfId="5" applyNumberFormat="1" applyFont="1" applyBorder="1" applyAlignment="1" applyProtection="1">
      <alignment horizontal="center" vertical="center" wrapText="1"/>
    </xf>
    <xf numFmtId="164" fontId="20" fillId="8" borderId="76" xfId="5" applyNumberFormat="1" applyFont="1" applyFill="1" applyBorder="1" applyAlignment="1" applyProtection="1">
      <alignment horizontal="center" vertical="center"/>
    </xf>
    <xf numFmtId="0" fontId="22" fillId="0" borderId="2" xfId="0" applyFont="1" applyBorder="1" applyAlignment="1" applyProtection="1">
      <alignment horizontal="left" vertical="center" wrapText="1"/>
    </xf>
    <xf numFmtId="9" fontId="19" fillId="0" borderId="2" xfId="0" applyNumberFormat="1"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22" fillId="0" borderId="2" xfId="19" applyNumberFormat="1" applyFont="1" applyBorder="1" applyAlignment="1" applyProtection="1">
      <alignment horizontal="center" vertical="center" wrapText="1"/>
    </xf>
    <xf numFmtId="0" fontId="19" fillId="0" borderId="6" xfId="19" applyFont="1" applyBorder="1" applyAlignment="1" applyProtection="1">
      <alignment horizontal="left" vertical="center" wrapText="1"/>
    </xf>
    <xf numFmtId="0" fontId="34" fillId="0" borderId="6" xfId="19" applyFont="1" applyBorder="1" applyAlignment="1" applyProtection="1">
      <alignment horizontal="left" vertical="center" wrapText="1"/>
    </xf>
    <xf numFmtId="0" fontId="19" fillId="0" borderId="2" xfId="19"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9" fillId="0" borderId="6" xfId="19" applyFont="1" applyBorder="1" applyAlignment="1" applyProtection="1">
      <alignment horizontal="justify" vertical="center" wrapText="1"/>
    </xf>
    <xf numFmtId="0" fontId="19" fillId="0" borderId="6" xfId="19" applyFont="1" applyFill="1" applyBorder="1" applyAlignment="1" applyProtection="1">
      <alignment horizontal="center" vertical="center" wrapText="1"/>
    </xf>
    <xf numFmtId="0" fontId="19" fillId="0" borderId="6" xfId="19" applyFont="1" applyFill="1" applyBorder="1" applyAlignment="1" applyProtection="1">
      <alignment horizontal="justify" vertical="center" wrapText="1"/>
    </xf>
    <xf numFmtId="0" fontId="19" fillId="2" borderId="2" xfId="1" applyFont="1" applyFill="1" applyBorder="1" applyAlignment="1" applyProtection="1">
      <alignment horizontal="left" vertical="center" wrapText="1"/>
    </xf>
    <xf numFmtId="0" fontId="19" fillId="0" borderId="2" xfId="19" applyFont="1" applyBorder="1" applyAlignment="1" applyProtection="1">
      <alignment horizontal="center" vertical="center" wrapText="1"/>
    </xf>
    <xf numFmtId="0" fontId="19" fillId="0" borderId="3" xfId="0" applyFont="1" applyFill="1" applyBorder="1" applyAlignment="1" applyProtection="1">
      <alignment horizontal="justify" vertical="center" wrapText="1"/>
    </xf>
    <xf numFmtId="0" fontId="19" fillId="0" borderId="41" xfId="19" applyFont="1" applyFill="1" applyBorder="1" applyAlignment="1" applyProtection="1">
      <alignment horizontal="justify" vertical="center" wrapText="1"/>
    </xf>
    <xf numFmtId="0" fontId="19" fillId="0" borderId="41" xfId="19" applyFont="1" applyFill="1" applyBorder="1" applyAlignment="1" applyProtection="1">
      <alignment horizontal="center" vertical="center" wrapText="1"/>
    </xf>
    <xf numFmtId="9" fontId="19" fillId="0" borderId="2" xfId="7" applyFont="1" applyFill="1" applyBorder="1" applyAlignment="1" applyProtection="1">
      <alignment horizontal="center" vertical="center" wrapText="1"/>
    </xf>
    <xf numFmtId="0" fontId="19" fillId="0" borderId="3" xfId="0" applyFont="1" applyBorder="1" applyAlignment="1" applyProtection="1">
      <alignment horizontal="justify" vertical="center" wrapText="1"/>
    </xf>
    <xf numFmtId="0" fontId="19" fillId="0" borderId="3" xfId="0" applyFont="1" applyBorder="1" applyAlignment="1" applyProtection="1">
      <alignment horizontal="left" vertical="center" wrapText="1"/>
    </xf>
    <xf numFmtId="0" fontId="19" fillId="0" borderId="2" xfId="0" applyFont="1" applyBorder="1" applyAlignment="1" applyProtection="1">
      <alignment horizontal="center" vertical="center" wrapText="1"/>
    </xf>
    <xf numFmtId="3" fontId="20" fillId="0" borderId="3" xfId="6" applyNumberFormat="1" applyFont="1" applyBorder="1" applyAlignment="1" applyProtection="1">
      <alignment horizontal="center" vertical="center" wrapText="1"/>
    </xf>
    <xf numFmtId="1" fontId="20" fillId="0" borderId="3" xfId="6" applyNumberFormat="1" applyFont="1" applyBorder="1" applyAlignment="1" applyProtection="1">
      <alignment horizontal="center" vertical="center" wrapText="1"/>
    </xf>
    <xf numFmtId="3" fontId="20" fillId="8" borderId="76" xfId="0" applyNumberFormat="1" applyFont="1" applyFill="1" applyBorder="1" applyAlignment="1" applyProtection="1">
      <alignment horizontal="center" vertical="center"/>
    </xf>
    <xf numFmtId="3" fontId="20" fillId="8" borderId="76" xfId="7" applyNumberFormat="1" applyFont="1" applyFill="1" applyBorder="1" applyAlignment="1" applyProtection="1">
      <alignment horizontal="center" vertical="center"/>
    </xf>
    <xf numFmtId="0" fontId="19" fillId="0" borderId="2" xfId="23" applyFont="1" applyFill="1" applyBorder="1" applyAlignment="1" applyProtection="1">
      <alignment horizontal="left" vertical="center" wrapText="1"/>
    </xf>
    <xf numFmtId="0" fontId="23" fillId="0" borderId="2" xfId="0" applyFont="1" applyFill="1" applyBorder="1" applyAlignment="1" applyProtection="1">
      <alignment vertical="center" wrapText="1"/>
    </xf>
    <xf numFmtId="0" fontId="23" fillId="3" borderId="2" xfId="0" applyFont="1" applyFill="1" applyBorder="1" applyAlignment="1" applyProtection="1">
      <alignment horizontal="center" vertical="center" wrapText="1"/>
    </xf>
    <xf numFmtId="0" fontId="19" fillId="3" borderId="2" xfId="19" applyNumberFormat="1" applyFont="1" applyFill="1" applyBorder="1" applyAlignment="1" applyProtection="1">
      <alignment horizontal="center" vertical="center" wrapText="1"/>
    </xf>
    <xf numFmtId="0" fontId="23" fillId="0" borderId="2" xfId="0" applyFont="1" applyBorder="1" applyAlignment="1" applyProtection="1">
      <alignment vertical="center" wrapText="1"/>
    </xf>
    <xf numFmtId="0" fontId="19" fillId="2" borderId="2" xfId="1" applyFont="1" applyFill="1" applyBorder="1" applyAlignment="1" applyProtection="1">
      <alignment horizontal="center" vertical="center" wrapText="1"/>
    </xf>
    <xf numFmtId="0" fontId="19" fillId="0" borderId="63" xfId="0" applyFont="1" applyBorder="1" applyAlignment="1" applyProtection="1">
      <alignment horizontal="left" vertical="center" wrapText="1"/>
    </xf>
    <xf numFmtId="0" fontId="19" fillId="2" borderId="64" xfId="0" applyFont="1" applyFill="1" applyBorder="1" applyAlignment="1" applyProtection="1">
      <alignment horizontal="left" vertical="center" wrapText="1"/>
    </xf>
    <xf numFmtId="0" fontId="19" fillId="0" borderId="2" xfId="23" applyFont="1" applyBorder="1" applyAlignment="1" applyProtection="1">
      <alignment horizontal="center" vertical="center" wrapText="1"/>
    </xf>
    <xf numFmtId="0" fontId="22" fillId="0" borderId="18" xfId="0" applyFont="1" applyBorder="1" applyAlignment="1" applyProtection="1">
      <alignment horizontal="left" vertical="center" wrapText="1"/>
    </xf>
    <xf numFmtId="0" fontId="19" fillId="0" borderId="64" xfId="0" applyFont="1" applyBorder="1" applyAlignment="1" applyProtection="1">
      <alignment horizontal="left" vertical="center" wrapText="1"/>
    </xf>
    <xf numFmtId="0" fontId="36" fillId="0" borderId="2" xfId="0" applyFont="1" applyFill="1" applyBorder="1" applyAlignment="1" applyProtection="1">
      <alignment horizontal="justify" vertical="center" wrapText="1"/>
    </xf>
    <xf numFmtId="9" fontId="19" fillId="0" borderId="2"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9" fontId="19" fillId="0" borderId="52" xfId="23" applyNumberFormat="1" applyFont="1" applyFill="1" applyBorder="1" applyAlignment="1" applyProtection="1">
      <alignment horizontal="center" vertical="center" wrapText="1"/>
    </xf>
    <xf numFmtId="0" fontId="19" fillId="0" borderId="52" xfId="23" applyFont="1" applyFill="1" applyBorder="1" applyAlignment="1" applyProtection="1">
      <alignment horizontal="left" vertical="center" wrapText="1"/>
    </xf>
    <xf numFmtId="0" fontId="22" fillId="0" borderId="52" xfId="23" applyFont="1" applyFill="1" applyBorder="1" applyAlignment="1" applyProtection="1">
      <alignment horizontal="left" vertical="center" wrapText="1"/>
    </xf>
    <xf numFmtId="9" fontId="20" fillId="0" borderId="3" xfId="6" applyNumberFormat="1"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9" fontId="19" fillId="0" borderId="2" xfId="23" applyNumberFormat="1" applyFont="1" applyFill="1" applyBorder="1" applyAlignment="1" applyProtection="1">
      <alignment horizontal="center" vertical="center" wrapText="1"/>
    </xf>
    <xf numFmtId="0" fontId="22" fillId="0" borderId="2" xfId="23" applyFont="1" applyFill="1" applyBorder="1" applyAlignment="1" applyProtection="1">
      <alignment horizontal="left" vertical="center" wrapText="1"/>
    </xf>
    <xf numFmtId="0" fontId="19" fillId="0" borderId="2" xfId="0" applyNumberFormat="1" applyFont="1" applyFill="1" applyBorder="1" applyAlignment="1" applyProtection="1">
      <alignment horizontal="center" vertical="center" wrapText="1"/>
    </xf>
    <xf numFmtId="0" fontId="22" fillId="0" borderId="2" xfId="22" applyFont="1" applyFill="1" applyBorder="1" applyAlignment="1" applyProtection="1">
      <alignment horizontal="left" vertical="center" wrapText="1"/>
    </xf>
    <xf numFmtId="9" fontId="20" fillId="18" borderId="3" xfId="7" applyFont="1" applyFill="1" applyBorder="1" applyAlignment="1" applyProtection="1">
      <alignment horizontal="center" vertical="center"/>
    </xf>
    <xf numFmtId="3" fontId="20" fillId="18" borderId="3" xfId="6" applyNumberFormat="1" applyFont="1" applyFill="1" applyBorder="1" applyAlignment="1" applyProtection="1">
      <alignment horizontal="center" vertical="center"/>
    </xf>
    <xf numFmtId="1" fontId="20" fillId="18" borderId="3" xfId="6" applyNumberFormat="1" applyFont="1" applyFill="1" applyBorder="1" applyAlignment="1" applyProtection="1">
      <alignment horizontal="center" vertical="center"/>
    </xf>
    <xf numFmtId="1" fontId="20" fillId="18" borderId="3" xfId="0" applyNumberFormat="1" applyFont="1" applyFill="1" applyBorder="1" applyAlignment="1" applyProtection="1">
      <alignment horizontal="center" vertical="center"/>
    </xf>
    <xf numFmtId="1" fontId="20" fillId="18" borderId="3" xfId="7" applyNumberFormat="1" applyFont="1" applyFill="1" applyBorder="1" applyAlignment="1" applyProtection="1">
      <alignment horizontal="center" vertical="center"/>
    </xf>
    <xf numFmtId="0" fontId="19" fillId="0" borderId="2" xfId="24" applyFont="1" applyBorder="1" applyAlignment="1" applyProtection="1">
      <alignment vertical="center" wrapText="1"/>
    </xf>
    <xf numFmtId="0" fontId="19" fillId="0" borderId="3" xfId="24" applyFont="1" applyBorder="1" applyAlignment="1" applyProtection="1">
      <alignment horizontal="center" vertical="center" wrapText="1"/>
    </xf>
    <xf numFmtId="0" fontId="19" fillId="0" borderId="6" xfId="23" applyFont="1" applyBorder="1" applyAlignment="1" applyProtection="1">
      <alignment horizontal="center" vertical="center" wrapText="1"/>
    </xf>
    <xf numFmtId="0" fontId="22" fillId="0" borderId="6" xfId="23" applyFont="1" applyBorder="1" applyAlignment="1" applyProtection="1">
      <alignment horizontal="left" vertical="center" wrapText="1"/>
    </xf>
    <xf numFmtId="0" fontId="22" fillId="0" borderId="6" xfId="23" applyFont="1" applyBorder="1" applyAlignment="1" applyProtection="1">
      <alignment horizontal="center" vertical="center" wrapText="1"/>
    </xf>
    <xf numFmtId="0" fontId="19" fillId="0" borderId="2" xfId="0" applyFont="1" applyFill="1" applyBorder="1" applyAlignment="1" applyProtection="1">
      <alignment horizontal="left" vertical="center" wrapText="1"/>
    </xf>
    <xf numFmtId="0" fontId="19" fillId="0" borderId="6" xfId="23" applyFont="1" applyBorder="1" applyAlignment="1" applyProtection="1">
      <alignment horizontal="left" vertical="center" wrapText="1"/>
    </xf>
    <xf numFmtId="0" fontId="19" fillId="0" borderId="2" xfId="23" applyFont="1" applyBorder="1" applyAlignment="1" applyProtection="1">
      <alignment horizontal="left" vertical="center" wrapText="1"/>
    </xf>
    <xf numFmtId="0" fontId="19" fillId="0" borderId="73" xfId="0" applyFont="1" applyBorder="1" applyAlignment="1" applyProtection="1">
      <alignment horizontal="left" vertical="center" wrapText="1"/>
    </xf>
    <xf numFmtId="9" fontId="19" fillId="0" borderId="73" xfId="0" applyNumberFormat="1" applyFont="1" applyBorder="1" applyAlignment="1" applyProtection="1">
      <alignment horizontal="center" vertical="center" wrapText="1"/>
    </xf>
    <xf numFmtId="0" fontId="19" fillId="0" borderId="75" xfId="23" applyFont="1" applyBorder="1" applyAlignment="1" applyProtection="1">
      <alignment horizontal="left" vertical="center" wrapText="1"/>
    </xf>
    <xf numFmtId="0" fontId="22" fillId="0" borderId="75" xfId="23" applyFont="1" applyBorder="1" applyAlignment="1" applyProtection="1">
      <alignment horizontal="left" vertical="center" wrapText="1"/>
    </xf>
    <xf numFmtId="0" fontId="19" fillId="0" borderId="73" xfId="23" applyFont="1" applyBorder="1" applyAlignment="1" applyProtection="1">
      <alignment horizontal="left" vertical="center" wrapText="1"/>
    </xf>
    <xf numFmtId="0" fontId="39" fillId="0" borderId="0" xfId="0" applyFont="1" applyAlignment="1" applyProtection="1">
      <alignment horizontal="justify" vertical="center" readingOrder="1"/>
    </xf>
    <xf numFmtId="9" fontId="19" fillId="0" borderId="73" xfId="23" applyNumberFormat="1" applyFont="1" applyBorder="1" applyAlignment="1" applyProtection="1">
      <alignment horizontal="center" vertical="center" wrapText="1"/>
    </xf>
    <xf numFmtId="0" fontId="19" fillId="0" borderId="76" xfId="0" applyFont="1" applyBorder="1" applyAlignment="1" applyProtection="1">
      <alignment horizontal="justify" vertical="center" wrapText="1"/>
    </xf>
    <xf numFmtId="0" fontId="19" fillId="2" borderId="73" xfId="1" applyFont="1" applyFill="1" applyBorder="1" applyAlignment="1" applyProtection="1">
      <alignment horizontal="left" vertical="center" wrapText="1"/>
    </xf>
    <xf numFmtId="9" fontId="19" fillId="0" borderId="83" xfId="0" applyNumberFormat="1" applyFont="1" applyBorder="1" applyAlignment="1" applyProtection="1">
      <alignment horizontal="center" vertical="center" wrapText="1"/>
    </xf>
    <xf numFmtId="9" fontId="19" fillId="0" borderId="83" xfId="7" applyFont="1" applyBorder="1" applyAlignment="1" applyProtection="1">
      <alignment horizontal="center" vertical="center" wrapText="1"/>
    </xf>
    <xf numFmtId="0" fontId="43" fillId="0" borderId="83" xfId="0" applyFont="1" applyBorder="1" applyAlignment="1" applyProtection="1">
      <alignment vertical="center" wrapText="1"/>
    </xf>
    <xf numFmtId="0" fontId="36" fillId="0" borderId="83" xfId="0" applyNumberFormat="1" applyFont="1" applyBorder="1" applyAlignment="1" applyProtection="1">
      <alignment horizontal="center" vertical="center" wrapText="1"/>
    </xf>
    <xf numFmtId="0" fontId="43" fillId="0" borderId="83" xfId="0" applyFont="1" applyBorder="1" applyAlignment="1" applyProtection="1">
      <alignment horizontal="center" vertical="center" wrapText="1"/>
    </xf>
    <xf numFmtId="3" fontId="43" fillId="0" borderId="83" xfId="0" applyNumberFormat="1" applyFont="1" applyBorder="1" applyAlignment="1" applyProtection="1">
      <alignment horizontal="center" vertical="center" wrapText="1"/>
    </xf>
    <xf numFmtId="0" fontId="43" fillId="0" borderId="83" xfId="0" applyFont="1" applyFill="1" applyBorder="1" applyAlignment="1" applyProtection="1">
      <alignment vertical="center" wrapText="1"/>
    </xf>
    <xf numFmtId="0" fontId="36" fillId="0" borderId="83" xfId="0" applyNumberFormat="1" applyFont="1" applyFill="1" applyBorder="1" applyAlignment="1" applyProtection="1">
      <alignment horizontal="center" vertical="center" wrapText="1"/>
    </xf>
    <xf numFmtId="0" fontId="43" fillId="0" borderId="83" xfId="0" applyFont="1" applyFill="1" applyBorder="1" applyAlignment="1" applyProtection="1">
      <alignment horizontal="center" vertical="center" wrapText="1"/>
    </xf>
    <xf numFmtId="3" fontId="43" fillId="0" borderId="83" xfId="0" applyNumberFormat="1" applyFont="1" applyFill="1" applyBorder="1" applyAlignment="1" applyProtection="1">
      <alignment horizontal="center" vertical="center" wrapText="1"/>
    </xf>
    <xf numFmtId="0" fontId="36" fillId="0" borderId="83" xfId="0" applyFont="1" applyBorder="1" applyAlignment="1" applyProtection="1">
      <alignment vertical="center" wrapText="1"/>
    </xf>
    <xf numFmtId="0" fontId="20" fillId="0" borderId="76" xfId="6" applyNumberFormat="1" applyFont="1" applyFill="1" applyBorder="1" applyAlignment="1" applyProtection="1">
      <alignment horizontal="center" vertical="center" wrapText="1"/>
    </xf>
    <xf numFmtId="0" fontId="19" fillId="0" borderId="83" xfId="0" applyFont="1" applyFill="1" applyBorder="1" applyAlignment="1" applyProtection="1">
      <alignment horizontal="left" vertical="center" wrapText="1"/>
    </xf>
    <xf numFmtId="9" fontId="22" fillId="0" borderId="2" xfId="19" applyNumberFormat="1" applyFont="1" applyBorder="1" applyAlignment="1" applyProtection="1">
      <alignment horizontal="center" vertical="center" wrapText="1"/>
    </xf>
    <xf numFmtId="164" fontId="19" fillId="0" borderId="2" xfId="23" applyNumberFormat="1" applyFont="1" applyBorder="1" applyAlignment="1" applyProtection="1">
      <alignment horizontal="center" vertical="center" wrapText="1"/>
    </xf>
    <xf numFmtId="0" fontId="19" fillId="0" borderId="63" xfId="0" applyFont="1" applyFill="1" applyBorder="1" applyAlignment="1" applyProtection="1">
      <alignment horizontal="left" vertical="center" wrapText="1"/>
    </xf>
    <xf numFmtId="0" fontId="19" fillId="0" borderId="64" xfId="0" applyFont="1" applyFill="1" applyBorder="1" applyAlignment="1" applyProtection="1">
      <alignment horizontal="left" vertical="center" wrapText="1"/>
    </xf>
    <xf numFmtId="0" fontId="23" fillId="0" borderId="0" xfId="0" applyFont="1"/>
    <xf numFmtId="0" fontId="23" fillId="0" borderId="1" xfId="0" applyFont="1" applyBorder="1" applyAlignment="1">
      <alignment horizontal="center" vertical="center"/>
    </xf>
    <xf numFmtId="0" fontId="8" fillId="0" borderId="1" xfId="0" applyFont="1" applyBorder="1" applyAlignment="1">
      <alignment vertical="center"/>
    </xf>
    <xf numFmtId="0" fontId="47" fillId="0" borderId="1" xfId="0" applyFont="1" applyBorder="1"/>
    <xf numFmtId="0" fontId="23" fillId="0" borderId="0" xfId="0" applyFont="1" applyAlignment="1">
      <alignment horizontal="center" vertical="center"/>
    </xf>
    <xf numFmtId="0" fontId="48" fillId="0" borderId="0" xfId="0" applyFont="1"/>
    <xf numFmtId="0" fontId="24" fillId="20" borderId="83" xfId="0" applyFont="1" applyFill="1" applyBorder="1" applyAlignment="1">
      <alignment horizontal="center" vertical="center"/>
    </xf>
    <xf numFmtId="0" fontId="24" fillId="20" borderId="83" xfId="0" applyFont="1" applyFill="1" applyBorder="1" applyAlignment="1">
      <alignment horizontal="center" vertical="center" wrapText="1"/>
    </xf>
    <xf numFmtId="0" fontId="24" fillId="0" borderId="1" xfId="0" applyFont="1" applyBorder="1" applyAlignment="1">
      <alignment horizontal="center" vertical="center" wrapText="1"/>
    </xf>
    <xf numFmtId="0" fontId="23" fillId="0" borderId="83" xfId="0" applyFont="1" applyBorder="1"/>
    <xf numFmtId="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0" fontId="19" fillId="0" borderId="0" xfId="0" applyFont="1"/>
    <xf numFmtId="0" fontId="19" fillId="0" borderId="0" xfId="0" applyFont="1" applyAlignment="1">
      <alignment horizontal="center" vertical="center"/>
    </xf>
    <xf numFmtId="164" fontId="20" fillId="8" borderId="76" xfId="7" applyNumberFormat="1" applyFont="1" applyFill="1" applyBorder="1" applyAlignment="1" applyProtection="1">
      <alignment horizontal="center" vertical="center"/>
    </xf>
    <xf numFmtId="164" fontId="21" fillId="4" borderId="82" xfId="3" applyNumberFormat="1" applyFont="1" applyFill="1" applyBorder="1" applyAlignment="1" applyProtection="1">
      <alignment horizontal="center" vertical="center"/>
    </xf>
    <xf numFmtId="164" fontId="20" fillId="19" borderId="76" xfId="5" applyNumberFormat="1" applyFont="1" applyFill="1" applyBorder="1" applyAlignment="1" applyProtection="1">
      <alignment horizontal="center" vertical="center" wrapText="1"/>
    </xf>
    <xf numFmtId="164" fontId="20" fillId="8" borderId="76" xfId="6" applyNumberFormat="1" applyFont="1" applyFill="1" applyBorder="1" applyAlignment="1" applyProtection="1">
      <alignment horizontal="center" vertical="center"/>
    </xf>
    <xf numFmtId="1" fontId="46" fillId="19" borderId="83" xfId="0" applyNumberFormat="1" applyFont="1" applyFill="1" applyBorder="1" applyAlignment="1" applyProtection="1">
      <alignment horizontal="center" vertical="center"/>
      <protection hidden="1"/>
    </xf>
    <xf numFmtId="164" fontId="20" fillId="8" borderId="3" xfId="7" applyNumberFormat="1" applyFont="1" applyFill="1" applyBorder="1" applyAlignment="1" applyProtection="1">
      <alignment horizontal="center" vertical="center"/>
    </xf>
    <xf numFmtId="164" fontId="20" fillId="0" borderId="3" xfId="7" applyNumberFormat="1" applyFont="1" applyFill="1" applyBorder="1" applyAlignment="1" applyProtection="1">
      <alignment horizontal="center" vertical="center"/>
    </xf>
    <xf numFmtId="164" fontId="20" fillId="8" borderId="83" xfId="6" applyNumberFormat="1" applyFont="1" applyFill="1" applyBorder="1" applyAlignment="1" applyProtection="1">
      <alignment horizontal="center" vertical="center"/>
    </xf>
    <xf numFmtId="164" fontId="20" fillId="8" borderId="83" xfId="5" applyNumberFormat="1" applyFont="1" applyFill="1" applyBorder="1" applyAlignment="1" applyProtection="1">
      <alignment horizontal="center" vertical="center"/>
    </xf>
    <xf numFmtId="164" fontId="20" fillId="0" borderId="83" xfId="7" applyNumberFormat="1" applyFont="1" applyFill="1" applyBorder="1" applyAlignment="1" applyProtection="1">
      <alignment horizontal="center" vertical="center"/>
    </xf>
    <xf numFmtId="164" fontId="36" fillId="8" borderId="83" xfId="6" applyNumberFormat="1" applyFont="1" applyFill="1" applyBorder="1" applyAlignment="1" applyProtection="1">
      <alignment horizontal="center" vertical="center"/>
    </xf>
    <xf numFmtId="0" fontId="28" fillId="0" borderId="83" xfId="1" applyFont="1" applyFill="1" applyBorder="1" applyAlignment="1" applyProtection="1">
      <alignment horizontal="center" vertical="top" wrapText="1"/>
    </xf>
    <xf numFmtId="164" fontId="20" fillId="0" borderId="76" xfId="5" applyNumberFormat="1" applyFont="1" applyFill="1" applyBorder="1" applyAlignment="1" applyProtection="1">
      <alignment horizontal="center" vertical="center" wrapText="1"/>
    </xf>
    <xf numFmtId="0" fontId="51" fillId="0" borderId="1" xfId="28" applyFont="1" applyAlignment="1" applyProtection="1">
      <alignment horizontal="center" vertical="center" wrapText="1"/>
      <protection hidden="1"/>
    </xf>
    <xf numFmtId="0" fontId="0" fillId="0" borderId="0" xfId="0" applyProtection="1">
      <protection hidden="1"/>
    </xf>
    <xf numFmtId="0" fontId="51" fillId="0" borderId="1" xfId="28" applyFont="1" applyFill="1" applyAlignment="1" applyProtection="1">
      <alignment horizontal="center" vertical="center" wrapText="1"/>
      <protection hidden="1"/>
    </xf>
    <xf numFmtId="0" fontId="50" fillId="0" borderId="1" xfId="28" applyFont="1" applyProtection="1">
      <protection hidden="1"/>
    </xf>
    <xf numFmtId="49" fontId="50" fillId="0" borderId="1" xfId="28" applyNumberFormat="1" applyFont="1" applyProtection="1">
      <protection hidden="1"/>
    </xf>
    <xf numFmtId="0" fontId="50" fillId="0" borderId="1" xfId="28" applyFont="1" applyAlignment="1" applyProtection="1">
      <alignment horizontal="center" vertical="center"/>
      <protection hidden="1"/>
    </xf>
    <xf numFmtId="0" fontId="50" fillId="0" borderId="1" xfId="28" applyFont="1" applyFill="1" applyAlignment="1" applyProtection="1">
      <alignment horizontal="left" vertical="center"/>
      <protection hidden="1"/>
    </xf>
    <xf numFmtId="0" fontId="1" fillId="0" borderId="1" xfId="28" applyProtection="1">
      <protection hidden="1"/>
    </xf>
    <xf numFmtId="0" fontId="52" fillId="0" borderId="0" xfId="0" applyFont="1" applyProtection="1">
      <protection hidden="1"/>
    </xf>
    <xf numFmtId="0" fontId="51" fillId="0" borderId="1" xfId="28" applyFont="1" applyProtection="1">
      <protection hidden="1"/>
    </xf>
    <xf numFmtId="0" fontId="50" fillId="0" borderId="1" xfId="28" applyFont="1" applyFill="1" applyBorder="1" applyProtection="1">
      <protection hidden="1"/>
    </xf>
    <xf numFmtId="0" fontId="50" fillId="0" borderId="1" xfId="28" applyFont="1" applyFill="1" applyBorder="1" applyAlignment="1" applyProtection="1">
      <alignment horizontal="center" vertical="center"/>
      <protection hidden="1"/>
    </xf>
    <xf numFmtId="1" fontId="23" fillId="24" borderId="83" xfId="0" applyNumberFormat="1" applyFont="1" applyFill="1" applyBorder="1" applyAlignment="1">
      <alignment horizontal="center" vertical="center" wrapText="1"/>
    </xf>
    <xf numFmtId="0" fontId="24" fillId="20" borderId="55" xfId="0" applyFont="1" applyFill="1" applyBorder="1" applyAlignment="1">
      <alignment horizontal="center" vertical="center" wrapText="1"/>
    </xf>
    <xf numFmtId="0" fontId="23" fillId="0" borderId="56" xfId="0" applyFont="1" applyBorder="1"/>
    <xf numFmtId="1" fontId="23" fillId="24" borderId="55" xfId="0" applyNumberFormat="1" applyFont="1" applyFill="1" applyBorder="1" applyAlignment="1">
      <alignment horizontal="center" vertical="center" wrapText="1"/>
    </xf>
    <xf numFmtId="0" fontId="24" fillId="0" borderId="58" xfId="0" applyFont="1" applyBorder="1"/>
    <xf numFmtId="1" fontId="24" fillId="24" borderId="59" xfId="0" applyNumberFormat="1" applyFont="1" applyFill="1" applyBorder="1" applyAlignment="1">
      <alignment horizontal="center" vertical="center" wrapText="1"/>
    </xf>
    <xf numFmtId="1" fontId="24" fillId="24" borderId="60" xfId="0" applyNumberFormat="1" applyFont="1" applyFill="1" applyBorder="1" applyAlignment="1">
      <alignment horizontal="center" vertical="center" wrapText="1"/>
    </xf>
    <xf numFmtId="0" fontId="19" fillId="0" borderId="76" xfId="0" applyFont="1" applyBorder="1" applyAlignment="1" applyProtection="1">
      <alignment horizontal="center" vertical="center" wrapText="1"/>
    </xf>
    <xf numFmtId="164" fontId="23" fillId="0" borderId="83" xfId="0" applyNumberFormat="1" applyFont="1" applyFill="1" applyBorder="1" applyAlignment="1">
      <alignment horizontal="center" vertical="center" wrapText="1"/>
    </xf>
    <xf numFmtId="0" fontId="23" fillId="0" borderId="76" xfId="0" applyFont="1" applyBorder="1"/>
    <xf numFmtId="164" fontId="23" fillId="0" borderId="76" xfId="0" applyNumberFormat="1" applyFont="1" applyFill="1" applyBorder="1" applyAlignment="1">
      <alignment horizontal="center" vertical="center" wrapText="1"/>
    </xf>
    <xf numFmtId="0" fontId="24" fillId="0" borderId="50" xfId="0" applyFont="1" applyBorder="1"/>
    <xf numFmtId="164" fontId="24" fillId="0" borderId="51" xfId="0" applyNumberFormat="1" applyFont="1" applyFill="1" applyBorder="1" applyAlignment="1">
      <alignment horizontal="center" vertical="center" wrapText="1"/>
    </xf>
    <xf numFmtId="0" fontId="0" fillId="0" borderId="0" xfId="0" applyProtection="1"/>
    <xf numFmtId="0" fontId="26" fillId="0" borderId="76" xfId="0" applyFont="1" applyBorder="1" applyAlignment="1" applyProtection="1">
      <alignment vertical="center"/>
    </xf>
    <xf numFmtId="0" fontId="26" fillId="0" borderId="76" xfId="0" applyFont="1" applyBorder="1" applyAlignment="1" applyProtection="1">
      <alignment vertical="center" wrapText="1"/>
    </xf>
    <xf numFmtId="0" fontId="26" fillId="0" borderId="5" xfId="0" applyFont="1" applyBorder="1" applyAlignment="1" applyProtection="1">
      <alignment vertical="center" wrapText="1"/>
    </xf>
    <xf numFmtId="0" fontId="26" fillId="0" borderId="5" xfId="0" applyFont="1" applyBorder="1" applyAlignment="1" applyProtection="1">
      <alignment horizontal="center" vertical="center" wrapText="1"/>
    </xf>
    <xf numFmtId="0" fontId="0" fillId="0" borderId="83" xfId="0" applyBorder="1" applyAlignment="1" applyProtection="1">
      <alignment horizontal="center" vertical="center"/>
    </xf>
    <xf numFmtId="0" fontId="4" fillId="15" borderId="83" xfId="0" applyFont="1" applyFill="1" applyBorder="1" applyAlignment="1" applyProtection="1">
      <alignment horizontal="justify" vertical="center"/>
    </xf>
    <xf numFmtId="0" fontId="0" fillId="0" borderId="83" xfId="0" applyBorder="1" applyAlignment="1" applyProtection="1">
      <alignment horizontal="justify" vertical="center" wrapText="1"/>
    </xf>
    <xf numFmtId="9" fontId="46" fillId="0" borderId="83" xfId="0" applyNumberFormat="1" applyFont="1" applyBorder="1" applyAlignment="1" applyProtection="1">
      <alignment horizontal="center" vertical="center"/>
    </xf>
    <xf numFmtId="1" fontId="4" fillId="0" borderId="83" xfId="0" applyNumberFormat="1" applyFont="1" applyFill="1" applyBorder="1" applyAlignment="1" applyProtection="1">
      <alignment horizontal="center" vertical="center"/>
    </xf>
    <xf numFmtId="1" fontId="46" fillId="0" borderId="83" xfId="0" applyNumberFormat="1" applyFont="1" applyBorder="1" applyAlignment="1" applyProtection="1">
      <alignment horizontal="center" vertical="center"/>
    </xf>
    <xf numFmtId="0" fontId="4" fillId="20" borderId="83" xfId="0" applyFont="1" applyFill="1" applyBorder="1" applyAlignment="1" applyProtection="1">
      <alignment horizontal="justify" vertical="center"/>
    </xf>
    <xf numFmtId="0" fontId="4" fillId="0" borderId="83" xfId="0" applyFont="1" applyBorder="1" applyAlignment="1" applyProtection="1">
      <alignment horizontal="center" vertical="center"/>
    </xf>
    <xf numFmtId="0" fontId="4" fillId="0" borderId="83" xfId="0" applyFont="1" applyBorder="1" applyAlignment="1" applyProtection="1">
      <alignment horizontal="justify" vertical="center" wrapText="1"/>
    </xf>
    <xf numFmtId="0" fontId="4" fillId="17" borderId="83"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26" borderId="83" xfId="0" applyFont="1" applyFill="1" applyBorder="1" applyAlignment="1" applyProtection="1">
      <alignment horizontal="center" vertical="center"/>
    </xf>
    <xf numFmtId="0" fontId="4" fillId="0" borderId="83" xfId="0" applyFont="1" applyBorder="1" applyAlignment="1" applyProtection="1">
      <alignment horizontal="left" vertical="center" wrapText="1"/>
    </xf>
    <xf numFmtId="0" fontId="0" fillId="7" borderId="83" xfId="0" applyFill="1" applyBorder="1" applyAlignment="1" applyProtection="1">
      <alignment horizontal="justify" vertical="center"/>
    </xf>
    <xf numFmtId="0" fontId="0" fillId="15" borderId="83" xfId="0" applyFill="1" applyBorder="1" applyAlignment="1" applyProtection="1">
      <alignment horizontal="justify" vertical="center"/>
    </xf>
    <xf numFmtId="0" fontId="0" fillId="20" borderId="83" xfId="0" applyFill="1" applyBorder="1" applyAlignment="1" applyProtection="1">
      <alignment horizontal="justify" vertical="center"/>
    </xf>
    <xf numFmtId="9" fontId="0" fillId="0" borderId="83" xfId="0" applyNumberFormat="1" applyBorder="1" applyAlignment="1" applyProtection="1">
      <alignment horizontal="justify" vertical="center" wrapText="1"/>
    </xf>
    <xf numFmtId="0" fontId="0" fillId="0" borderId="83" xfId="0" applyBorder="1" applyAlignment="1" applyProtection="1">
      <alignment horizontal="justify" vertical="center"/>
    </xf>
    <xf numFmtId="0" fontId="0" fillId="0" borderId="0" xfId="0" applyAlignment="1" applyProtection="1">
      <alignment horizontal="center" vertical="center"/>
    </xf>
    <xf numFmtId="0" fontId="0" fillId="0" borderId="0" xfId="0" applyAlignment="1" applyProtection="1">
      <alignment horizontal="justify" vertical="center"/>
    </xf>
    <xf numFmtId="0" fontId="0" fillId="0" borderId="0" xfId="0" applyAlignment="1" applyProtection="1">
      <alignment horizontal="justify" vertical="center" wrapText="1"/>
    </xf>
    <xf numFmtId="164" fontId="20" fillId="0" borderId="76" xfId="6" applyNumberFormat="1" applyFont="1" applyBorder="1" applyAlignment="1" applyProtection="1">
      <alignment horizontal="center" vertical="center" wrapText="1"/>
    </xf>
    <xf numFmtId="164" fontId="20" fillId="0" borderId="83" xfId="26" applyNumberFormat="1" applyFont="1" applyBorder="1" applyAlignment="1" applyProtection="1">
      <alignment horizontal="center" vertical="center" wrapText="1"/>
    </xf>
    <xf numFmtId="164" fontId="20" fillId="0" borderId="76" xfId="26" applyNumberFormat="1" applyFont="1" applyBorder="1" applyAlignment="1" applyProtection="1">
      <alignment horizontal="center" vertical="center" wrapText="1"/>
    </xf>
    <xf numFmtId="164" fontId="20" fillId="0" borderId="3" xfId="6" applyNumberFormat="1" applyFont="1" applyBorder="1" applyAlignment="1" applyProtection="1">
      <alignment horizontal="center" vertical="center" wrapText="1"/>
    </xf>
    <xf numFmtId="164" fontId="20" fillId="8" borderId="3" xfId="5" applyNumberFormat="1" applyFont="1" applyFill="1" applyBorder="1" applyAlignment="1" applyProtection="1">
      <alignment horizontal="center" vertical="center"/>
    </xf>
    <xf numFmtId="164" fontId="20" fillId="0" borderId="76" xfId="6" applyNumberFormat="1" applyFont="1" applyFill="1" applyBorder="1" applyAlignment="1" applyProtection="1">
      <alignment horizontal="center" vertical="center" wrapText="1"/>
    </xf>
    <xf numFmtId="164" fontId="20" fillId="19" borderId="76" xfId="7" applyNumberFormat="1" applyFont="1" applyFill="1" applyBorder="1" applyAlignment="1" applyProtection="1">
      <alignment horizontal="center" vertical="center" wrapText="1"/>
    </xf>
    <xf numFmtId="164" fontId="20" fillId="0" borderId="3" xfId="5" applyNumberFormat="1" applyFont="1" applyBorder="1" applyAlignment="1" applyProtection="1">
      <alignment horizontal="center" vertical="center" wrapText="1"/>
    </xf>
    <xf numFmtId="164" fontId="20" fillId="0" borderId="3" xfId="5" applyNumberFormat="1" applyFont="1" applyFill="1" applyBorder="1" applyAlignment="1" applyProtection="1">
      <alignment horizontal="center" vertical="center" wrapText="1"/>
    </xf>
    <xf numFmtId="164" fontId="21" fillId="4" borderId="11" xfId="3" applyNumberFormat="1" applyFont="1" applyFill="1" applyBorder="1" applyAlignment="1" applyProtection="1">
      <alignment horizontal="center" vertical="center"/>
    </xf>
    <xf numFmtId="164" fontId="21" fillId="4" borderId="82" xfId="5" applyNumberFormat="1" applyFont="1" applyFill="1" applyBorder="1" applyAlignment="1" applyProtection="1">
      <alignment horizontal="center" vertical="center"/>
    </xf>
    <xf numFmtId="164" fontId="20" fillId="0" borderId="3" xfId="7" applyNumberFormat="1" applyFont="1" applyBorder="1" applyAlignment="1" applyProtection="1">
      <alignment horizontal="center" vertical="center" wrapText="1"/>
    </xf>
    <xf numFmtId="0" fontId="19" fillId="0" borderId="83" xfId="23" applyFont="1" applyBorder="1" applyAlignment="1" applyProtection="1">
      <alignment horizontal="justify" vertical="center" wrapText="1"/>
    </xf>
    <xf numFmtId="164" fontId="20" fillId="8" borderId="3" xfId="6" applyNumberFormat="1" applyFont="1" applyFill="1" applyBorder="1" applyAlignment="1" applyProtection="1">
      <alignment horizontal="center" vertical="center"/>
    </xf>
    <xf numFmtId="164" fontId="20" fillId="0" borderId="3" xfId="6" applyNumberFormat="1" applyFont="1" applyFill="1" applyBorder="1" applyAlignment="1" applyProtection="1">
      <alignment horizontal="center" vertical="center" wrapText="1"/>
    </xf>
    <xf numFmtId="164" fontId="20" fillId="18" borderId="3" xfId="7" applyNumberFormat="1" applyFont="1" applyFill="1" applyBorder="1" applyAlignment="1" applyProtection="1">
      <alignment horizontal="center" vertical="center"/>
    </xf>
    <xf numFmtId="164" fontId="20" fillId="0" borderId="2" xfId="6" applyNumberFormat="1" applyFont="1" applyFill="1" applyBorder="1" applyAlignment="1" applyProtection="1">
      <alignment horizontal="center" vertical="center" wrapText="1"/>
    </xf>
    <xf numFmtId="164" fontId="20" fillId="18" borderId="2" xfId="7" applyNumberFormat="1" applyFont="1" applyFill="1" applyBorder="1" applyAlignment="1" applyProtection="1">
      <alignment horizontal="center" vertical="center"/>
    </xf>
    <xf numFmtId="10" fontId="20" fillId="0" borderId="3" xfId="6" applyNumberFormat="1" applyFont="1" applyFill="1" applyBorder="1" applyAlignment="1" applyProtection="1">
      <alignment horizontal="center" vertical="center" wrapText="1"/>
    </xf>
    <xf numFmtId="164" fontId="36" fillId="0" borderId="2" xfId="0" applyNumberFormat="1" applyFont="1" applyBorder="1" applyAlignment="1" applyProtection="1">
      <alignment horizontal="center" vertical="center" wrapText="1"/>
    </xf>
    <xf numFmtId="164" fontId="36" fillId="8" borderId="3" xfId="5" applyNumberFormat="1" applyFont="1" applyFill="1" applyBorder="1" applyAlignment="1" applyProtection="1">
      <alignment horizontal="center" vertical="center"/>
    </xf>
    <xf numFmtId="164" fontId="36" fillId="0" borderId="2" xfId="0" applyNumberFormat="1" applyFont="1" applyFill="1" applyBorder="1" applyAlignment="1" applyProtection="1">
      <alignment horizontal="center" vertical="center" wrapText="1"/>
    </xf>
    <xf numFmtId="164" fontId="36" fillId="0" borderId="3" xfId="5" applyNumberFormat="1" applyFont="1" applyBorder="1" applyAlignment="1" applyProtection="1">
      <alignment horizontal="center" vertical="center" wrapText="1"/>
    </xf>
    <xf numFmtId="164" fontId="36" fillId="0" borderId="3" xfId="5" applyNumberFormat="1" applyFont="1" applyFill="1" applyBorder="1" applyAlignment="1" applyProtection="1">
      <alignment horizontal="center" vertical="center" wrapText="1"/>
    </xf>
    <xf numFmtId="164" fontId="20" fillId="8" borderId="3" xfId="0" applyNumberFormat="1" applyFont="1" applyFill="1" applyBorder="1" applyAlignment="1" applyProtection="1">
      <alignment horizontal="center" vertical="center"/>
    </xf>
    <xf numFmtId="164" fontId="20" fillId="0" borderId="0" xfId="5" applyNumberFormat="1" applyFont="1" applyAlignment="1" applyProtection="1">
      <alignment horizontal="center" vertical="center"/>
    </xf>
    <xf numFmtId="164" fontId="20" fillId="8" borderId="76" xfId="0" applyNumberFormat="1" applyFont="1" applyFill="1" applyBorder="1" applyAlignment="1" applyProtection="1">
      <alignment horizontal="center" vertical="center"/>
    </xf>
    <xf numFmtId="164" fontId="20" fillId="0" borderId="76" xfId="7" applyNumberFormat="1" applyFont="1" applyBorder="1" applyAlignment="1" applyProtection="1">
      <alignment horizontal="center" vertical="center" wrapText="1"/>
    </xf>
    <xf numFmtId="0" fontId="36" fillId="0" borderId="2" xfId="0" applyFont="1" applyBorder="1" applyAlignment="1" applyProtection="1">
      <alignment horizontal="left" vertical="center" wrapText="1"/>
    </xf>
    <xf numFmtId="9" fontId="36" fillId="0" borderId="2" xfId="0" applyNumberFormat="1" applyFont="1" applyBorder="1" applyAlignment="1" applyProtection="1">
      <alignment horizontal="center" vertical="center" wrapText="1"/>
    </xf>
    <xf numFmtId="0" fontId="36" fillId="0" borderId="76" xfId="24" applyFont="1" applyBorder="1" applyAlignment="1" applyProtection="1">
      <alignment horizontal="left" vertical="center" wrapText="1"/>
    </xf>
    <xf numFmtId="0" fontId="36" fillId="2" borderId="2" xfId="1" applyFont="1" applyFill="1" applyBorder="1" applyAlignment="1" applyProtection="1">
      <alignment horizontal="left" vertical="center" wrapText="1"/>
    </xf>
    <xf numFmtId="3" fontId="36" fillId="3" borderId="2" xfId="23" applyNumberFormat="1" applyFont="1" applyFill="1" applyBorder="1" applyAlignment="1" applyProtection="1">
      <alignment horizontal="center" vertical="center" wrapText="1"/>
    </xf>
    <xf numFmtId="0" fontId="36" fillId="0" borderId="6" xfId="23" applyFont="1" applyBorder="1" applyAlignment="1" applyProtection="1">
      <alignment horizontal="left" vertical="center" wrapText="1"/>
    </xf>
    <xf numFmtId="0" fontId="36" fillId="3" borderId="6" xfId="23" applyFont="1" applyFill="1" applyBorder="1" applyAlignment="1" applyProtection="1">
      <alignment horizontal="left" vertical="center" wrapText="1"/>
    </xf>
    <xf numFmtId="0" fontId="36" fillId="0" borderId="2" xfId="23" applyFont="1" applyBorder="1" applyAlignment="1" applyProtection="1">
      <alignment horizontal="center" vertical="center" wrapText="1"/>
    </xf>
    <xf numFmtId="0" fontId="36" fillId="0" borderId="2" xfId="24" applyFont="1" applyBorder="1" applyAlignment="1" applyProtection="1">
      <alignment vertical="center" wrapText="1"/>
    </xf>
    <xf numFmtId="0" fontId="36" fillId="0" borderId="2" xfId="0" applyNumberFormat="1" applyFont="1" applyBorder="1" applyAlignment="1" applyProtection="1">
      <alignment horizontal="center" vertical="center" wrapText="1"/>
    </xf>
    <xf numFmtId="0" fontId="36" fillId="3" borderId="76" xfId="24" applyFont="1" applyFill="1" applyBorder="1" applyAlignment="1" applyProtection="1">
      <alignment horizontal="left" vertical="center" wrapText="1"/>
    </xf>
    <xf numFmtId="0" fontId="36" fillId="3" borderId="2" xfId="1" applyFont="1" applyFill="1" applyBorder="1" applyAlignment="1" applyProtection="1">
      <alignment horizontal="left" vertical="center" wrapText="1"/>
    </xf>
    <xf numFmtId="3" fontId="36" fillId="0" borderId="2" xfId="23" applyNumberFormat="1" applyFont="1" applyBorder="1" applyAlignment="1" applyProtection="1">
      <alignment horizontal="center" vertical="center" wrapText="1"/>
    </xf>
    <xf numFmtId="0" fontId="36" fillId="0" borderId="6" xfId="23" applyFont="1" applyFill="1" applyBorder="1" applyAlignment="1" applyProtection="1">
      <alignment horizontal="left" vertical="center" wrapText="1"/>
    </xf>
    <xf numFmtId="164" fontId="44" fillId="3" borderId="83" xfId="0" applyNumberFormat="1" applyFont="1" applyFill="1" applyBorder="1" applyAlignment="1" applyProtection="1">
      <alignment horizontal="center" vertical="center" wrapText="1"/>
    </xf>
    <xf numFmtId="0" fontId="19" fillId="0" borderId="86" xfId="23" applyFont="1" applyBorder="1" applyAlignment="1">
      <alignment horizontal="justify" vertical="center" wrapText="1"/>
    </xf>
    <xf numFmtId="0" fontId="19" fillId="0" borderId="86" xfId="23" applyFont="1" applyBorder="1" applyAlignment="1">
      <alignment horizontal="left" vertical="center" wrapText="1"/>
    </xf>
    <xf numFmtId="0" fontId="23" fillId="3" borderId="83" xfId="0" applyFont="1" applyFill="1" applyBorder="1" applyAlignment="1">
      <alignment horizontal="center" vertical="center" wrapText="1"/>
    </xf>
    <xf numFmtId="0" fontId="23" fillId="0" borderId="83" xfId="0" applyFont="1" applyBorder="1" applyAlignment="1">
      <alignment horizontal="center" vertical="center" wrapText="1"/>
    </xf>
    <xf numFmtId="0" fontId="19" fillId="0" borderId="0" xfId="0" applyFont="1" applyAlignment="1">
      <alignment horizontal="center" vertical="center" wrapText="1"/>
    </xf>
    <xf numFmtId="9" fontId="19" fillId="0" borderId="83" xfId="0" applyNumberFormat="1" applyFont="1" applyBorder="1" applyAlignment="1">
      <alignment horizontal="center" vertical="center" wrapText="1"/>
    </xf>
    <xf numFmtId="0" fontId="19" fillId="0" borderId="83" xfId="0" applyFont="1" applyBorder="1" applyAlignment="1">
      <alignment horizontal="center" vertical="center"/>
    </xf>
    <xf numFmtId="0" fontId="39" fillId="0" borderId="83" xfId="0" applyFont="1" applyBorder="1" applyAlignment="1">
      <alignment horizontal="justify" vertical="center" readingOrder="1"/>
    </xf>
    <xf numFmtId="3" fontId="20" fillId="0" borderId="3" xfId="6" applyNumberFormat="1" applyFont="1" applyFill="1" applyBorder="1" applyAlignment="1" applyProtection="1">
      <alignment horizontal="center" vertical="center" wrapText="1"/>
    </xf>
    <xf numFmtId="164" fontId="20" fillId="0" borderId="83" xfId="26" applyNumberFormat="1" applyFont="1" applyFill="1" applyBorder="1" applyAlignment="1" applyProtection="1">
      <alignment horizontal="center" vertical="center" wrapText="1"/>
    </xf>
    <xf numFmtId="164" fontId="20" fillId="0" borderId="76" xfId="26" applyNumberFormat="1" applyFont="1" applyFill="1" applyBorder="1" applyAlignment="1" applyProtection="1">
      <alignment horizontal="center" vertical="center" wrapText="1"/>
    </xf>
    <xf numFmtId="0" fontId="26" fillId="0" borderId="5" xfId="0" applyFont="1" applyBorder="1" applyAlignment="1" applyProtection="1">
      <alignment horizontal="center" vertical="center"/>
    </xf>
    <xf numFmtId="0" fontId="19" fillId="0" borderId="83" xfId="23" applyFont="1" applyBorder="1" applyAlignment="1">
      <alignment horizontal="center" vertical="center" wrapText="1"/>
    </xf>
    <xf numFmtId="0" fontId="19" fillId="0" borderId="83" xfId="6" applyNumberFormat="1" applyFont="1" applyFill="1" applyBorder="1" applyAlignment="1" applyProtection="1">
      <alignment horizontal="left" vertical="center" wrapText="1"/>
    </xf>
    <xf numFmtId="164" fontId="20" fillId="0" borderId="95" xfId="7" applyNumberFormat="1" applyFont="1" applyFill="1" applyBorder="1" applyAlignment="1" applyProtection="1">
      <alignment horizontal="center" vertical="center" wrapText="1"/>
    </xf>
    <xf numFmtId="164" fontId="20" fillId="0" borderId="95" xfId="6" applyNumberFormat="1" applyFont="1" applyFill="1" applyBorder="1" applyAlignment="1" applyProtection="1">
      <alignment horizontal="center" vertical="center" wrapText="1"/>
    </xf>
    <xf numFmtId="0" fontId="23" fillId="0" borderId="83" xfId="0" applyFont="1" applyBorder="1" applyAlignment="1">
      <alignment vertical="center"/>
    </xf>
    <xf numFmtId="0" fontId="4" fillId="0" borderId="83" xfId="0" applyFont="1" applyBorder="1" applyAlignment="1">
      <alignment wrapText="1"/>
    </xf>
    <xf numFmtId="0" fontId="4" fillId="0" borderId="83" xfId="0" applyFont="1" applyBorder="1" applyAlignment="1">
      <alignment vertical="center" wrapText="1"/>
    </xf>
    <xf numFmtId="0" fontId="23" fillId="0" borderId="83" xfId="0" applyFont="1" applyBorder="1" applyAlignment="1">
      <alignment vertical="center" wrapText="1"/>
    </xf>
    <xf numFmtId="0" fontId="0" fillId="0" borderId="83" xfId="0" applyBorder="1" applyAlignment="1">
      <alignment vertical="center" wrapText="1"/>
    </xf>
    <xf numFmtId="10" fontId="20" fillId="0" borderId="76" xfId="6" applyNumberFormat="1" applyFont="1" applyBorder="1" applyAlignment="1" applyProtection="1">
      <alignment horizontal="center" vertical="center" wrapText="1"/>
    </xf>
    <xf numFmtId="1" fontId="20" fillId="0" borderId="76" xfId="6" applyNumberFormat="1" applyFont="1" applyBorder="1" applyAlignment="1" applyProtection="1">
      <alignment horizontal="center" vertical="center" wrapText="1"/>
    </xf>
    <xf numFmtId="3" fontId="19" fillId="0" borderId="83" xfId="0" applyNumberFormat="1" applyFont="1" applyFill="1" applyBorder="1" applyAlignment="1">
      <alignment horizontal="center" vertical="center" wrapText="1"/>
    </xf>
    <xf numFmtId="0" fontId="19" fillId="0" borderId="86" xfId="23" applyFont="1" applyFill="1" applyBorder="1" applyAlignment="1">
      <alignment horizontal="justify" vertical="center" wrapText="1"/>
    </xf>
    <xf numFmtId="0" fontId="19" fillId="0" borderId="86" xfId="23" applyFont="1" applyFill="1" applyBorder="1" applyAlignment="1">
      <alignment horizontal="center" vertical="center" wrapText="1"/>
    </xf>
    <xf numFmtId="0" fontId="19" fillId="0" borderId="83" xfId="23" applyFont="1" applyFill="1" applyBorder="1" applyAlignment="1" applyProtection="1">
      <alignment horizontal="justify" vertical="center" wrapText="1"/>
    </xf>
    <xf numFmtId="3" fontId="19" fillId="0" borderId="76" xfId="0" applyNumberFormat="1" applyFont="1" applyFill="1" applyBorder="1" applyAlignment="1">
      <alignment horizontal="center" vertical="center" wrapText="1"/>
    </xf>
    <xf numFmtId="0" fontId="19" fillId="0" borderId="94" xfId="23" applyFont="1" applyFill="1" applyBorder="1" applyAlignment="1">
      <alignment horizontal="justify" vertical="center" wrapText="1"/>
    </xf>
    <xf numFmtId="3" fontId="19" fillId="0" borderId="94" xfId="23" applyNumberFormat="1" applyFont="1" applyFill="1" applyBorder="1" applyAlignment="1">
      <alignment horizontal="center" vertical="center" wrapText="1"/>
    </xf>
    <xf numFmtId="3" fontId="19" fillId="0" borderId="86" xfId="23" applyNumberFormat="1" applyFont="1" applyFill="1" applyBorder="1" applyAlignment="1">
      <alignment horizontal="center" vertical="center" wrapText="1"/>
    </xf>
    <xf numFmtId="0" fontId="19" fillId="0" borderId="2" xfId="19" applyFont="1" applyFill="1" applyBorder="1" applyAlignment="1" applyProtection="1">
      <alignment horizontal="justify" vertical="center" wrapText="1"/>
    </xf>
    <xf numFmtId="0" fontId="19" fillId="0" borderId="2" xfId="19" applyFont="1" applyFill="1" applyBorder="1" applyAlignment="1" applyProtection="1">
      <alignment horizontal="left" vertical="center" wrapText="1"/>
    </xf>
    <xf numFmtId="0" fontId="19" fillId="0" borderId="2" xfId="19" applyFont="1" applyFill="1" applyBorder="1" applyAlignment="1" applyProtection="1">
      <alignment horizontal="center" vertical="center" wrapText="1"/>
    </xf>
    <xf numFmtId="0" fontId="19" fillId="0" borderId="86" xfId="23" applyFont="1" applyFill="1" applyBorder="1" applyAlignment="1">
      <alignment horizontal="left" vertical="center" wrapText="1"/>
    </xf>
    <xf numFmtId="0" fontId="19" fillId="0" borderId="83" xfId="23" applyFont="1" applyFill="1" applyBorder="1" applyAlignment="1">
      <alignment horizontal="left" vertical="center" wrapText="1"/>
    </xf>
    <xf numFmtId="9" fontId="19" fillId="0" borderId="83" xfId="7" applyFont="1" applyFill="1" applyBorder="1" applyAlignment="1">
      <alignment horizontal="center" vertical="center" wrapText="1"/>
    </xf>
    <xf numFmtId="0" fontId="19" fillId="0" borderId="90" xfId="23" applyFont="1" applyFill="1" applyBorder="1" applyAlignment="1">
      <alignment horizontal="justify" vertical="center" wrapText="1"/>
    </xf>
    <xf numFmtId="0" fontId="19" fillId="0" borderId="3" xfId="19" applyFont="1" applyFill="1" applyBorder="1" applyAlignment="1" applyProtection="1">
      <alignment horizontal="justify" vertical="center" wrapText="1"/>
    </xf>
    <xf numFmtId="0" fontId="19" fillId="0" borderId="83" xfId="0" applyFont="1" applyFill="1" applyBorder="1" applyAlignment="1">
      <alignment horizontal="center" vertical="center" wrapText="1"/>
    </xf>
    <xf numFmtId="0" fontId="19" fillId="0" borderId="3" xfId="0" applyFont="1" applyFill="1" applyBorder="1" applyAlignment="1" applyProtection="1">
      <alignment horizontal="left" vertical="center" wrapText="1"/>
    </xf>
    <xf numFmtId="0" fontId="19" fillId="0" borderId="2" xfId="1" applyFont="1" applyFill="1" applyBorder="1" applyAlignment="1" applyProtection="1">
      <alignment horizontal="left" vertical="center" wrapText="1"/>
    </xf>
    <xf numFmtId="0" fontId="19" fillId="0" borderId="6" xfId="19" applyFont="1" applyFill="1" applyBorder="1" applyAlignment="1" applyProtection="1">
      <alignment horizontal="left" vertical="center" wrapText="1"/>
    </xf>
    <xf numFmtId="0" fontId="19" fillId="0" borderId="83" xfId="6" applyNumberFormat="1" applyFont="1" applyFill="1" applyBorder="1" applyAlignment="1" applyProtection="1">
      <alignment horizontal="center" vertical="center" wrapText="1"/>
    </xf>
    <xf numFmtId="0" fontId="19" fillId="0" borderId="95" xfId="0" applyFont="1" applyFill="1" applyBorder="1" applyAlignment="1">
      <alignment horizontal="left" vertical="center" wrapText="1"/>
    </xf>
    <xf numFmtId="0" fontId="19" fillId="0" borderId="83" xfId="23" applyFont="1" applyFill="1" applyBorder="1" applyAlignment="1">
      <alignment horizontal="center" vertical="center" wrapText="1"/>
    </xf>
    <xf numFmtId="0" fontId="19" fillId="0" borderId="83" xfId="6" applyNumberFormat="1" applyFont="1" applyFill="1" applyBorder="1" applyAlignment="1">
      <alignment horizontal="center" vertical="center" wrapText="1"/>
    </xf>
    <xf numFmtId="0" fontId="19" fillId="0" borderId="2" xfId="6" applyNumberFormat="1" applyFont="1" applyFill="1" applyBorder="1" applyAlignment="1" applyProtection="1">
      <alignment horizontal="left" vertical="center" wrapText="1"/>
    </xf>
    <xf numFmtId="3" fontId="20" fillId="0" borderId="76" xfId="6" applyNumberFormat="1" applyFont="1" applyBorder="1" applyAlignment="1" applyProtection="1">
      <alignment horizontal="center" vertical="center" wrapText="1"/>
    </xf>
    <xf numFmtId="9" fontId="20" fillId="0" borderId="3" xfId="5" applyFont="1" applyFill="1" applyBorder="1" applyAlignment="1" applyProtection="1">
      <alignment horizontal="center" vertical="center" wrapText="1"/>
    </xf>
    <xf numFmtId="0" fontId="47" fillId="0" borderId="1" xfId="0" applyFont="1" applyBorder="1" applyAlignment="1">
      <alignment horizontal="center" vertical="center"/>
    </xf>
    <xf numFmtId="1" fontId="23" fillId="0" borderId="0" xfId="0" applyNumberFormat="1" applyFont="1" applyAlignment="1">
      <alignment horizontal="center" vertical="center"/>
    </xf>
    <xf numFmtId="1" fontId="23" fillId="28" borderId="83" xfId="0" applyNumberFormat="1" applyFont="1" applyFill="1" applyBorder="1" applyAlignment="1">
      <alignment horizontal="center" vertical="center" wrapText="1"/>
    </xf>
    <xf numFmtId="1" fontId="23" fillId="29" borderId="83" xfId="0" applyNumberFormat="1" applyFont="1" applyFill="1" applyBorder="1" applyAlignment="1">
      <alignment horizontal="center" vertical="center" wrapText="1"/>
    </xf>
    <xf numFmtId="1" fontId="23" fillId="0" borderId="86" xfId="0" applyNumberFormat="1" applyFont="1" applyBorder="1" applyAlignment="1">
      <alignment horizontal="center" vertical="center"/>
    </xf>
    <xf numFmtId="1" fontId="24" fillId="24" borderId="33" xfId="0" applyNumberFormat="1" applyFont="1" applyFill="1" applyBorder="1" applyAlignment="1">
      <alignment horizontal="center" vertical="center" wrapText="1"/>
    </xf>
    <xf numFmtId="1" fontId="24" fillId="29" borderId="33" xfId="0" applyNumberFormat="1" applyFont="1" applyFill="1" applyBorder="1" applyAlignment="1">
      <alignment horizontal="center" vertical="center" wrapText="1"/>
    </xf>
    <xf numFmtId="1" fontId="24" fillId="28" borderId="33" xfId="0" applyNumberFormat="1" applyFont="1" applyFill="1" applyBorder="1" applyAlignment="1">
      <alignment horizontal="center" vertical="center" wrapText="1"/>
    </xf>
    <xf numFmtId="1" fontId="24" fillId="26" borderId="51" xfId="0" applyNumberFormat="1" applyFont="1" applyFill="1" applyBorder="1" applyAlignment="1">
      <alignment horizontal="center" vertical="center" wrapText="1"/>
    </xf>
    <xf numFmtId="0" fontId="57" fillId="20" borderId="33" xfId="0" applyFont="1" applyFill="1" applyBorder="1" applyAlignment="1">
      <alignment horizontal="center" vertical="center" wrapText="1"/>
    </xf>
    <xf numFmtId="0" fontId="57" fillId="20" borderId="51" xfId="0" applyFont="1" applyFill="1" applyBorder="1" applyAlignment="1">
      <alignment horizontal="center" vertical="center" wrapText="1"/>
    </xf>
    <xf numFmtId="0" fontId="23" fillId="0" borderId="89" xfId="0" applyFont="1" applyBorder="1"/>
    <xf numFmtId="1" fontId="23" fillId="24" borderId="52" xfId="0" applyNumberFormat="1" applyFont="1" applyFill="1" applyBorder="1" applyAlignment="1">
      <alignment horizontal="center" vertical="center" wrapText="1"/>
    </xf>
    <xf numFmtId="1" fontId="23" fillId="29" borderId="52" xfId="0" applyNumberFormat="1" applyFont="1" applyFill="1" applyBorder="1" applyAlignment="1">
      <alignment horizontal="center" vertical="center" wrapText="1"/>
    </xf>
    <xf numFmtId="1" fontId="23" fillId="28" borderId="52" xfId="0" applyNumberFormat="1" applyFont="1" applyFill="1" applyBorder="1" applyAlignment="1">
      <alignment horizontal="center" vertical="center" wrapText="1"/>
    </xf>
    <xf numFmtId="1" fontId="23" fillId="26" borderId="53" xfId="0" applyNumberFormat="1" applyFont="1" applyFill="1" applyBorder="1" applyAlignment="1">
      <alignment horizontal="center" vertical="center" wrapText="1"/>
    </xf>
    <xf numFmtId="1" fontId="23" fillId="26" borderId="55" xfId="0" applyNumberFormat="1" applyFont="1" applyFill="1" applyBorder="1" applyAlignment="1">
      <alignment horizontal="center" vertical="center" wrapText="1"/>
    </xf>
    <xf numFmtId="0" fontId="23" fillId="0" borderId="58" xfId="0" applyFont="1" applyBorder="1"/>
    <xf numFmtId="1" fontId="23" fillId="24" borderId="59" xfId="0" applyNumberFormat="1" applyFont="1" applyFill="1" applyBorder="1" applyAlignment="1">
      <alignment horizontal="center" vertical="center" wrapText="1"/>
    </xf>
    <xf numFmtId="1" fontId="23" fillId="29" borderId="59" xfId="0" applyNumberFormat="1" applyFont="1" applyFill="1" applyBorder="1" applyAlignment="1">
      <alignment horizontal="center" vertical="center" wrapText="1"/>
    </xf>
    <xf numFmtId="1" fontId="23" fillId="28" borderId="59" xfId="0" applyNumberFormat="1" applyFont="1" applyFill="1" applyBorder="1" applyAlignment="1">
      <alignment horizontal="center" vertical="center" wrapText="1"/>
    </xf>
    <xf numFmtId="1" fontId="23" fillId="26" borderId="60" xfId="0" applyNumberFormat="1" applyFont="1" applyFill="1" applyBorder="1" applyAlignment="1">
      <alignment horizontal="center" vertical="center" wrapText="1"/>
    </xf>
    <xf numFmtId="0" fontId="57" fillId="20" borderId="96" xfId="0" applyFont="1" applyFill="1" applyBorder="1" applyAlignment="1">
      <alignment horizontal="center" vertical="center" wrapText="1"/>
    </xf>
    <xf numFmtId="0" fontId="8" fillId="0" borderId="1" xfId="0" applyFont="1" applyBorder="1" applyAlignment="1">
      <alignment horizontal="center" vertical="center"/>
    </xf>
    <xf numFmtId="0" fontId="24" fillId="20" borderId="83" xfId="0" applyFont="1" applyFill="1" applyBorder="1" applyAlignment="1">
      <alignment horizontal="center" vertical="center" wrapText="1"/>
    </xf>
    <xf numFmtId="0" fontId="5" fillId="5" borderId="17" xfId="0" applyFont="1" applyFill="1" applyBorder="1" applyAlignment="1" applyProtection="1">
      <alignment horizontal="center" vertical="center"/>
    </xf>
    <xf numFmtId="0" fontId="19" fillId="0" borderId="3" xfId="0" applyFont="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6" fillId="0" borderId="1" xfId="1" applyFont="1" applyBorder="1" applyAlignment="1" applyProtection="1">
      <alignment horizontal="left" vertical="center"/>
    </xf>
    <xf numFmtId="0" fontId="19" fillId="0" borderId="76" xfId="0" applyFont="1" applyBorder="1" applyAlignment="1" applyProtection="1">
      <alignment horizontal="center" vertical="center" wrapText="1"/>
    </xf>
    <xf numFmtId="0" fontId="19" fillId="0" borderId="2" xfId="0" applyFont="1" applyFill="1" applyBorder="1" applyAlignment="1" applyProtection="1">
      <alignment horizontal="justify" vertical="center" wrapText="1"/>
    </xf>
    <xf numFmtId="0" fontId="23" fillId="0" borderId="0" xfId="0" applyFont="1" applyFill="1" applyProtection="1"/>
    <xf numFmtId="0" fontId="23" fillId="0" borderId="1" xfId="0" applyFont="1" applyFill="1" applyBorder="1" applyAlignment="1" applyProtection="1">
      <alignment horizontal="center" vertical="center"/>
    </xf>
    <xf numFmtId="0" fontId="23" fillId="0" borderId="1" xfId="0" applyFont="1" applyFill="1" applyBorder="1" applyProtection="1"/>
    <xf numFmtId="0" fontId="23" fillId="0" borderId="0" xfId="0" applyFont="1" applyFill="1" applyAlignment="1" applyProtection="1">
      <alignment horizontal="justify" vertical="center"/>
    </xf>
    <xf numFmtId="0" fontId="8" fillId="0" borderId="1" xfId="0" applyFont="1" applyBorder="1" applyAlignment="1" applyProtection="1">
      <alignment horizontal="center" vertical="center"/>
    </xf>
    <xf numFmtId="0" fontId="23" fillId="0" borderId="0" xfId="0" applyFont="1" applyAlignment="1" applyProtection="1">
      <alignment horizontal="justify" vertical="center"/>
    </xf>
    <xf numFmtId="0" fontId="23" fillId="0" borderId="0" xfId="0" applyFont="1" applyProtection="1"/>
    <xf numFmtId="0" fontId="11" fillId="0" borderId="1" xfId="0" applyFont="1" applyFill="1" applyBorder="1" applyAlignment="1" applyProtection="1">
      <alignment horizontal="center" vertical="center"/>
    </xf>
    <xf numFmtId="0" fontId="8" fillId="0" borderId="1" xfId="0" applyFont="1" applyFill="1" applyBorder="1" applyAlignment="1" applyProtection="1">
      <alignment horizontal="justify" vertical="center"/>
    </xf>
    <xf numFmtId="0" fontId="8" fillId="0" borderId="1" xfId="0" applyFont="1" applyFill="1" applyBorder="1" applyAlignment="1" applyProtection="1">
      <alignment horizontal="center" vertical="center"/>
    </xf>
    <xf numFmtId="0" fontId="47" fillId="0" borderId="1" xfId="0" applyFont="1" applyFill="1" applyBorder="1" applyAlignment="1" applyProtection="1">
      <alignment horizontal="center"/>
    </xf>
    <xf numFmtId="0" fontId="47" fillId="0" borderId="1" xfId="0" applyFont="1" applyFill="1" applyBorder="1" applyAlignment="1" applyProtection="1">
      <alignment horizontal="justify" vertical="center"/>
    </xf>
    <xf numFmtId="0" fontId="53" fillId="0" borderId="0" xfId="0" applyFont="1" applyFill="1" applyProtection="1"/>
    <xf numFmtId="0" fontId="23" fillId="0" borderId="0" xfId="0" applyFont="1" applyFill="1" applyAlignment="1" applyProtection="1">
      <alignment horizontal="center" vertical="center"/>
    </xf>
    <xf numFmtId="0" fontId="24" fillId="20" borderId="44" xfId="0" applyFont="1" applyFill="1" applyBorder="1" applyAlignment="1" applyProtection="1">
      <alignment horizontal="center" vertical="center" wrapText="1"/>
    </xf>
    <xf numFmtId="0" fontId="54" fillId="27" borderId="83" xfId="0" applyFont="1" applyFill="1" applyBorder="1" applyAlignment="1" applyProtection="1">
      <alignment horizontal="center" vertical="center" wrapText="1"/>
    </xf>
    <xf numFmtId="0" fontId="24" fillId="20" borderId="46"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3" fillId="0" borderId="57" xfId="0" applyFont="1" applyFill="1" applyBorder="1" applyProtection="1"/>
    <xf numFmtId="0" fontId="23" fillId="0" borderId="5" xfId="0" applyFont="1" applyFill="1" applyBorder="1" applyAlignment="1" applyProtection="1">
      <alignment horizontal="center" vertical="center"/>
    </xf>
    <xf numFmtId="164" fontId="23" fillId="0" borderId="83" xfId="0" applyNumberFormat="1" applyFont="1" applyFill="1" applyBorder="1" applyAlignment="1" applyProtection="1">
      <alignment horizontal="center" vertical="center" wrapText="1"/>
    </xf>
    <xf numFmtId="164" fontId="23" fillId="0" borderId="1" xfId="0" applyNumberFormat="1" applyFont="1" applyFill="1" applyBorder="1" applyAlignment="1" applyProtection="1">
      <alignment horizontal="center" vertical="center" wrapText="1"/>
    </xf>
    <xf numFmtId="0" fontId="23" fillId="0" borderId="56" xfId="0" applyFont="1" applyFill="1" applyBorder="1" applyProtection="1"/>
    <xf numFmtId="0" fontId="23" fillId="0" borderId="54" xfId="0" applyFont="1" applyFill="1" applyBorder="1" applyProtection="1"/>
    <xf numFmtId="0" fontId="23" fillId="0" borderId="80" xfId="0" applyFont="1" applyFill="1" applyBorder="1" applyAlignment="1" applyProtection="1">
      <alignment horizontal="center" vertical="center"/>
    </xf>
    <xf numFmtId="164" fontId="23" fillId="0" borderId="76" xfId="0" applyNumberFormat="1" applyFont="1" applyFill="1" applyBorder="1" applyAlignment="1" applyProtection="1">
      <alignment horizontal="center" vertical="center" wrapText="1"/>
    </xf>
    <xf numFmtId="0" fontId="24" fillId="0" borderId="50" xfId="0" applyFont="1" applyFill="1" applyBorder="1" applyProtection="1"/>
    <xf numFmtId="0" fontId="24" fillId="0" borderId="33" xfId="0" applyFont="1" applyFill="1" applyBorder="1" applyAlignment="1" applyProtection="1">
      <alignment horizontal="center" vertical="center"/>
    </xf>
    <xf numFmtId="164" fontId="24" fillId="0" borderId="33" xfId="0" applyNumberFormat="1" applyFont="1" applyFill="1" applyBorder="1" applyAlignment="1" applyProtection="1">
      <alignment horizontal="center" vertical="center" wrapText="1"/>
    </xf>
    <xf numFmtId="164" fontId="24" fillId="0" borderId="51" xfId="0" applyNumberFormat="1" applyFont="1" applyFill="1" applyBorder="1" applyAlignment="1" applyProtection="1">
      <alignment horizontal="center" vertical="center" wrapText="1"/>
    </xf>
    <xf numFmtId="164" fontId="24" fillId="0" borderId="1" xfId="0" applyNumberFormat="1" applyFont="1" applyFill="1" applyBorder="1" applyAlignment="1" applyProtection="1">
      <alignment horizontal="center" vertical="center" wrapText="1"/>
    </xf>
    <xf numFmtId="164" fontId="23" fillId="0" borderId="5" xfId="0" applyNumberFormat="1" applyFont="1" applyFill="1" applyBorder="1" applyAlignment="1" applyProtection="1">
      <alignment horizontal="center" vertical="center" wrapText="1"/>
    </xf>
    <xf numFmtId="0" fontId="24" fillId="0" borderId="50" xfId="0" applyFont="1" applyFill="1" applyBorder="1" applyAlignment="1" applyProtection="1">
      <alignment vertical="center" wrapText="1"/>
    </xf>
    <xf numFmtId="0" fontId="24" fillId="0" borderId="1" xfId="0" applyFont="1" applyFill="1" applyBorder="1" applyAlignment="1" applyProtection="1">
      <alignment vertical="center" wrapText="1"/>
    </xf>
    <xf numFmtId="0" fontId="19" fillId="0" borderId="0" xfId="0" applyFont="1" applyFill="1" applyProtection="1"/>
    <xf numFmtId="0" fontId="19" fillId="0" borderId="0" xfId="0" applyFont="1" applyFill="1" applyAlignment="1" applyProtection="1">
      <alignment horizontal="center" vertical="center"/>
    </xf>
    <xf numFmtId="0" fontId="19" fillId="0" borderId="0" xfId="0" applyFont="1" applyFill="1" applyAlignment="1" applyProtection="1">
      <alignment horizontal="justify" vertical="center"/>
    </xf>
    <xf numFmtId="0" fontId="24" fillId="27" borderId="83" xfId="0" applyFont="1" applyFill="1" applyBorder="1" applyAlignment="1" applyProtection="1">
      <alignment horizontal="center" vertical="center" wrapText="1"/>
    </xf>
    <xf numFmtId="0" fontId="8" fillId="21" borderId="0" xfId="0" applyFont="1" applyFill="1" applyProtection="1"/>
    <xf numFmtId="0" fontId="24" fillId="22" borderId="83" xfId="0" applyFont="1" applyFill="1" applyBorder="1" applyAlignment="1" applyProtection="1">
      <alignment horizontal="center" vertical="center" wrapText="1"/>
    </xf>
    <xf numFmtId="0" fontId="24" fillId="22" borderId="83" xfId="0" applyFont="1" applyFill="1" applyBorder="1" applyAlignment="1" applyProtection="1">
      <alignment horizontal="center" vertical="center"/>
    </xf>
    <xf numFmtId="3" fontId="23" fillId="0" borderId="83" xfId="0" applyNumberFormat="1" applyFont="1" applyFill="1" applyBorder="1" applyAlignment="1" applyProtection="1">
      <alignment horizontal="center" vertical="center"/>
    </xf>
    <xf numFmtId="0" fontId="23" fillId="0" borderId="83" xfId="0" applyFont="1" applyFill="1" applyBorder="1" applyAlignment="1" applyProtection="1">
      <alignment horizontal="justify" vertical="center" wrapText="1"/>
    </xf>
    <xf numFmtId="0" fontId="23" fillId="0" borderId="83" xfId="0" applyFont="1" applyFill="1" applyBorder="1" applyAlignment="1" applyProtection="1">
      <alignment horizontal="center" vertical="center" wrapText="1"/>
    </xf>
    <xf numFmtId="165" fontId="23" fillId="0" borderId="83" xfId="0" applyNumberFormat="1" applyFont="1" applyFill="1" applyBorder="1" applyAlignment="1" applyProtection="1">
      <alignment horizontal="center" vertical="center"/>
    </xf>
    <xf numFmtId="164" fontId="23" fillId="0" borderId="83" xfId="5" applyNumberFormat="1" applyFont="1" applyFill="1" applyBorder="1" applyAlignment="1" applyProtection="1">
      <alignment horizontal="center" vertical="center" wrapText="1"/>
    </xf>
    <xf numFmtId="164" fontId="46" fillId="0" borderId="83" xfId="0" applyNumberFormat="1" applyFont="1" applyFill="1" applyBorder="1" applyAlignment="1" applyProtection="1">
      <alignment horizontal="justify" vertical="center" wrapText="1"/>
    </xf>
    <xf numFmtId="9" fontId="23" fillId="0" borderId="83" xfId="5" applyFont="1" applyFill="1" applyBorder="1" applyAlignment="1" applyProtection="1">
      <alignment horizontal="center" vertical="center"/>
    </xf>
    <xf numFmtId="9" fontId="23" fillId="0" borderId="83" xfId="5" applyNumberFormat="1" applyFont="1" applyFill="1" applyBorder="1" applyAlignment="1" applyProtection="1">
      <alignment horizontal="center" vertical="center"/>
    </xf>
    <xf numFmtId="164" fontId="23" fillId="0" borderId="83" xfId="5" applyNumberFormat="1" applyFont="1" applyFill="1" applyBorder="1" applyAlignment="1" applyProtection="1">
      <alignment horizontal="center" vertical="center"/>
    </xf>
    <xf numFmtId="167" fontId="23" fillId="0" borderId="0" xfId="0" applyNumberFormat="1" applyFont="1" applyFill="1" applyProtection="1"/>
    <xf numFmtId="9" fontId="24" fillId="0" borderId="83" xfId="0" applyNumberFormat="1" applyFont="1" applyFill="1" applyBorder="1" applyAlignment="1" applyProtection="1">
      <alignment horizontal="center" vertical="center" wrapText="1"/>
    </xf>
    <xf numFmtId="164" fontId="24" fillId="0" borderId="83" xfId="0" applyNumberFormat="1" applyFont="1" applyFill="1" applyBorder="1" applyAlignment="1" applyProtection="1">
      <alignment horizontal="center" vertical="center" wrapText="1"/>
    </xf>
    <xf numFmtId="164" fontId="24" fillId="0" borderId="1" xfId="0" applyNumberFormat="1" applyFont="1" applyFill="1" applyBorder="1" applyAlignment="1" applyProtection="1">
      <alignment horizontal="justify" vertical="center" wrapText="1"/>
    </xf>
    <xf numFmtId="0" fontId="24" fillId="21" borderId="0" xfId="0" applyFont="1" applyFill="1" applyProtection="1"/>
    <xf numFmtId="0" fontId="24" fillId="0" borderId="0" xfId="0" applyFont="1" applyFill="1" applyAlignment="1" applyProtection="1">
      <alignment horizontal="center" vertical="center"/>
    </xf>
    <xf numFmtId="9" fontId="23" fillId="0" borderId="83" xfId="0" applyNumberFormat="1" applyFont="1" applyFill="1" applyBorder="1" applyAlignment="1" applyProtection="1">
      <alignment horizontal="center" vertical="center" wrapText="1"/>
    </xf>
    <xf numFmtId="9" fontId="46" fillId="0" borderId="83" xfId="0" applyNumberFormat="1" applyFont="1" applyFill="1" applyBorder="1" applyAlignment="1" applyProtection="1">
      <alignment horizontal="center" vertical="center" wrapText="1"/>
    </xf>
    <xf numFmtId="164" fontId="23" fillId="0" borderId="83" xfId="7" applyNumberFormat="1" applyFont="1" applyFill="1" applyBorder="1" applyAlignment="1" applyProtection="1">
      <alignment horizontal="center" vertical="center"/>
    </xf>
    <xf numFmtId="0" fontId="8" fillId="0" borderId="0" xfId="0" applyFont="1" applyFill="1" applyProtection="1"/>
    <xf numFmtId="0" fontId="8" fillId="0" borderId="0" xfId="0" applyFont="1" applyFill="1" applyAlignment="1" applyProtection="1">
      <alignment horizontal="center" vertical="center"/>
    </xf>
    <xf numFmtId="164" fontId="23" fillId="3" borderId="83" xfId="0" applyNumberFormat="1" applyFont="1" applyFill="1" applyBorder="1" applyAlignment="1" applyProtection="1">
      <alignment horizontal="center" vertical="center" wrapText="1"/>
    </xf>
    <xf numFmtId="164" fontId="23" fillId="0" borderId="0" xfId="0" applyNumberFormat="1" applyFont="1" applyFill="1" applyProtection="1"/>
    <xf numFmtId="9" fontId="24" fillId="0" borderId="1" xfId="0" applyNumberFormat="1" applyFont="1" applyFill="1" applyBorder="1" applyAlignment="1" applyProtection="1">
      <alignment horizontal="center" vertical="center" wrapText="1"/>
    </xf>
    <xf numFmtId="9" fontId="23" fillId="0" borderId="86" xfId="0" applyNumberFormat="1" applyFont="1" applyFill="1" applyBorder="1" applyAlignment="1" applyProtection="1">
      <alignment horizontal="center" vertical="center" wrapText="1"/>
    </xf>
    <xf numFmtId="165" fontId="23" fillId="0" borderId="83" xfId="27" applyNumberFormat="1" applyFont="1" applyFill="1" applyBorder="1" applyAlignment="1" applyProtection="1">
      <alignment horizontal="center" vertical="center"/>
    </xf>
    <xf numFmtId="165" fontId="23" fillId="0" borderId="0" xfId="0" applyNumberFormat="1" applyFont="1" applyFill="1" applyProtection="1"/>
    <xf numFmtId="164" fontId="4" fillId="0" borderId="83" xfId="0" applyNumberFormat="1" applyFont="1" applyFill="1" applyBorder="1" applyAlignment="1" applyProtection="1">
      <alignment horizontal="justify" vertical="center" wrapText="1"/>
    </xf>
    <xf numFmtId="165" fontId="23" fillId="3" borderId="0" xfId="0" applyNumberFormat="1" applyFont="1" applyFill="1" applyProtection="1"/>
    <xf numFmtId="164" fontId="46" fillId="0" borderId="83" xfId="5" applyNumberFormat="1" applyFont="1" applyFill="1" applyBorder="1" applyAlignment="1" applyProtection="1">
      <alignment horizontal="center" vertical="center" wrapText="1"/>
    </xf>
    <xf numFmtId="165" fontId="56" fillId="0" borderId="0" xfId="0" applyNumberFormat="1" applyFont="1" applyFill="1" applyProtection="1"/>
    <xf numFmtId="9" fontId="23" fillId="0" borderId="83" xfId="5" applyFont="1" applyFill="1" applyBorder="1" applyAlignment="1" applyProtection="1">
      <alignment horizontal="center" vertical="center" wrapText="1"/>
    </xf>
    <xf numFmtId="0" fontId="24" fillId="0" borderId="83" xfId="0" applyFont="1" applyFill="1" applyBorder="1" applyAlignment="1" applyProtection="1">
      <alignment horizontal="center"/>
    </xf>
    <xf numFmtId="164" fontId="46" fillId="0" borderId="83" xfId="0" applyNumberFormat="1" applyFont="1" applyFill="1" applyBorder="1" applyAlignment="1" applyProtection="1">
      <alignment horizontal="center" vertical="center" wrapText="1"/>
    </xf>
    <xf numFmtId="164" fontId="46" fillId="0" borderId="1" xfId="0" applyNumberFormat="1" applyFont="1" applyFill="1" applyBorder="1" applyAlignment="1" applyProtection="1">
      <alignment horizontal="justify" vertical="center" wrapText="1"/>
    </xf>
    <xf numFmtId="164" fontId="23" fillId="0" borderId="0" xfId="5" applyNumberFormat="1" applyFont="1" applyFill="1" applyProtection="1"/>
    <xf numFmtId="9" fontId="23" fillId="0" borderId="83" xfId="7" applyNumberFormat="1" applyFont="1" applyFill="1" applyBorder="1" applyAlignment="1" applyProtection="1">
      <alignment horizontal="center" vertical="center"/>
    </xf>
    <xf numFmtId="9" fontId="23" fillId="3" borderId="0" xfId="5" applyFont="1" applyFill="1" applyProtection="1"/>
    <xf numFmtId="9" fontId="23" fillId="0" borderId="0" xfId="5" applyFont="1" applyFill="1" applyProtection="1"/>
    <xf numFmtId="43" fontId="23" fillId="0" borderId="0" xfId="33" applyFont="1" applyFill="1" applyProtection="1"/>
    <xf numFmtId="164" fontId="24" fillId="0" borderId="83" xfId="0" applyNumberFormat="1" applyFont="1" applyFill="1" applyBorder="1" applyAlignment="1" applyProtection="1">
      <alignment horizontal="justify" vertical="center" wrapText="1"/>
    </xf>
    <xf numFmtId="10" fontId="23" fillId="0" borderId="83" xfId="0" applyNumberFormat="1" applyFont="1" applyFill="1" applyBorder="1" applyAlignment="1" applyProtection="1">
      <alignment horizontal="center" vertical="center" wrapText="1"/>
    </xf>
    <xf numFmtId="10" fontId="24" fillId="0" borderId="83" xfId="0" applyNumberFormat="1" applyFont="1" applyFill="1" applyBorder="1" applyAlignment="1" applyProtection="1">
      <alignment horizontal="center" vertical="center" wrapText="1"/>
    </xf>
    <xf numFmtId="9" fontId="23" fillId="0" borderId="83" xfId="0" applyNumberFormat="1" applyFont="1" applyFill="1" applyBorder="1" applyAlignment="1" applyProtection="1">
      <alignment horizontal="justify" vertical="center" wrapText="1"/>
    </xf>
    <xf numFmtId="0" fontId="24" fillId="0" borderId="1" xfId="0" applyFont="1" applyFill="1" applyBorder="1" applyAlignment="1" applyProtection="1">
      <alignment horizontal="center"/>
    </xf>
    <xf numFmtId="3" fontId="23" fillId="0" borderId="83" xfId="27" applyNumberFormat="1" applyFont="1" applyFill="1" applyBorder="1" applyAlignment="1" applyProtection="1">
      <alignment horizontal="center" vertical="center"/>
    </xf>
    <xf numFmtId="3" fontId="23" fillId="0" borderId="0" xfId="0" applyNumberFormat="1" applyFont="1" applyFill="1" applyProtection="1"/>
    <xf numFmtId="0" fontId="14" fillId="0" borderId="1" xfId="8" applyFont="1" applyAlignment="1" applyProtection="1">
      <alignment vertical="center"/>
    </xf>
    <xf numFmtId="0" fontId="14" fillId="0" borderId="1" xfId="8" applyFont="1" applyAlignment="1" applyProtection="1">
      <alignment horizontal="center" vertical="center"/>
    </xf>
    <xf numFmtId="0" fontId="14" fillId="0" borderId="1" xfId="8" applyFont="1" applyAlignment="1" applyProtection="1">
      <alignment vertical="center" wrapText="1"/>
    </xf>
    <xf numFmtId="0" fontId="6" fillId="0" borderId="1" xfId="8" applyFont="1" applyAlignment="1" applyProtection="1">
      <alignment vertical="center"/>
    </xf>
    <xf numFmtId="0" fontId="24" fillId="3" borderId="76" xfId="8" applyFont="1" applyFill="1" applyBorder="1" applyAlignment="1" applyProtection="1">
      <alignment horizontal="left"/>
    </xf>
    <xf numFmtId="0" fontId="24" fillId="3" borderId="78" xfId="8" applyFont="1" applyFill="1" applyBorder="1" applyAlignment="1" applyProtection="1">
      <alignment horizontal="left"/>
    </xf>
    <xf numFmtId="0" fontId="23" fillId="3" borderId="5" xfId="8" applyFont="1" applyFill="1" applyBorder="1" applyAlignment="1" applyProtection="1">
      <alignment horizontal="left"/>
    </xf>
    <xf numFmtId="0" fontId="23" fillId="3" borderId="28" xfId="8" applyFont="1" applyFill="1" applyBorder="1" applyAlignment="1" applyProtection="1">
      <alignment horizontal="center"/>
    </xf>
    <xf numFmtId="0" fontId="14" fillId="0" borderId="1" xfId="8" applyFont="1" applyBorder="1" applyAlignment="1" applyProtection="1">
      <alignment vertical="center"/>
    </xf>
    <xf numFmtId="0" fontId="14" fillId="0" borderId="1" xfId="8" applyFont="1" applyBorder="1" applyAlignment="1" applyProtection="1">
      <alignment horizontal="center" vertical="center"/>
    </xf>
    <xf numFmtId="0" fontId="14" fillId="0" borderId="1" xfId="8" applyFont="1" applyBorder="1" applyAlignment="1" applyProtection="1">
      <alignment vertical="center" wrapText="1"/>
    </xf>
    <xf numFmtId="0" fontId="5" fillId="5" borderId="16" xfId="8" applyFont="1" applyFill="1" applyBorder="1" applyAlignment="1" applyProtection="1">
      <alignment vertical="center"/>
    </xf>
    <xf numFmtId="0" fontId="5" fillId="5" borderId="17" xfId="8" applyFont="1" applyFill="1" applyBorder="1" applyAlignment="1" applyProtection="1">
      <alignment vertical="center"/>
    </xf>
    <xf numFmtId="0" fontId="24" fillId="3" borderId="76" xfId="0" applyFont="1" applyFill="1" applyBorder="1" applyAlignment="1" applyProtection="1">
      <alignment horizontal="left"/>
    </xf>
    <xf numFmtId="0" fontId="24" fillId="3" borderId="27" xfId="0" applyFont="1" applyFill="1" applyBorder="1" applyAlignment="1" applyProtection="1">
      <alignment horizontal="left"/>
    </xf>
    <xf numFmtId="0" fontId="8" fillId="16" borderId="2" xfId="1" applyFont="1" applyFill="1" applyBorder="1" applyAlignment="1" applyProtection="1">
      <alignment horizontal="center" vertical="center"/>
    </xf>
    <xf numFmtId="0" fontId="19" fillId="0" borderId="83" xfId="0" applyFont="1" applyBorder="1" applyAlignment="1" applyProtection="1">
      <alignment horizontal="center" vertical="center" wrapText="1"/>
    </xf>
    <xf numFmtId="0" fontId="14" fillId="0" borderId="0" xfId="0" applyFont="1" applyFill="1" applyAlignment="1" applyProtection="1">
      <alignment vertical="center"/>
    </xf>
    <xf numFmtId="0" fontId="14" fillId="0" borderId="0" xfId="0" applyFont="1" applyFill="1" applyAlignment="1" applyProtection="1">
      <alignment horizontal="center" vertical="center"/>
    </xf>
    <xf numFmtId="0" fontId="14" fillId="0" borderId="0" xfId="0" applyFont="1" applyFill="1" applyAlignment="1" applyProtection="1">
      <alignment vertical="center" wrapText="1"/>
    </xf>
    <xf numFmtId="0" fontId="6" fillId="0" borderId="0" xfId="0" applyFont="1" applyFill="1" applyAlignment="1" applyProtection="1">
      <alignment vertical="center"/>
    </xf>
    <xf numFmtId="0" fontId="8" fillId="0" borderId="3" xfId="0" applyFont="1" applyFill="1" applyBorder="1" applyAlignment="1" applyProtection="1">
      <alignment horizontal="left"/>
    </xf>
    <xf numFmtId="0" fontId="8" fillId="0" borderId="27"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28" xfId="0" applyFont="1" applyFill="1" applyBorder="1" applyAlignment="1" applyProtection="1">
      <alignment horizontal="center"/>
    </xf>
    <xf numFmtId="0" fontId="14" fillId="0" borderId="1" xfId="0" applyFont="1" applyFill="1" applyBorder="1" applyAlignment="1" applyProtection="1">
      <alignment vertical="center"/>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vertical="center" wrapText="1"/>
    </xf>
    <xf numFmtId="164" fontId="19" fillId="0" borderId="83" xfId="0" applyNumberFormat="1" applyFont="1" applyBorder="1" applyAlignment="1" applyProtection="1">
      <alignment horizontal="center" vertical="center" wrapText="1"/>
    </xf>
    <xf numFmtId="0" fontId="14" fillId="0" borderId="1" xfId="1" applyFont="1" applyFill="1" applyBorder="1" applyAlignment="1" applyProtection="1">
      <alignment vertical="center"/>
    </xf>
    <xf numFmtId="0" fontId="8" fillId="0" borderId="2" xfId="1" applyFont="1" applyFill="1" applyBorder="1" applyAlignment="1" applyProtection="1">
      <alignment horizontal="center" vertical="center"/>
    </xf>
    <xf numFmtId="0" fontId="14" fillId="0" borderId="1" xfId="1" applyFont="1" applyFill="1" applyBorder="1" applyAlignment="1" applyProtection="1">
      <alignment horizontal="center" vertical="center"/>
    </xf>
    <xf numFmtId="0" fontId="14" fillId="0" borderId="1" xfId="1" applyFont="1" applyFill="1" applyBorder="1" applyAlignment="1" applyProtection="1">
      <alignment vertical="center" wrapText="1"/>
    </xf>
    <xf numFmtId="0" fontId="6" fillId="0" borderId="1" xfId="1" applyFont="1" applyFill="1" applyBorder="1" applyAlignment="1" applyProtection="1">
      <alignment horizontal="left" vertical="center"/>
    </xf>
    <xf numFmtId="166" fontId="46" fillId="0" borderId="1" xfId="5" applyNumberFormat="1" applyFont="1" applyBorder="1" applyAlignment="1" applyProtection="1">
      <alignment horizontal="center" vertical="center"/>
    </xf>
    <xf numFmtId="0" fontId="8" fillId="16" borderId="73" xfId="1" applyFont="1" applyFill="1" applyBorder="1" applyAlignment="1" applyProtection="1">
      <alignment horizontal="center" vertical="center"/>
    </xf>
    <xf numFmtId="166" fontId="46" fillId="0" borderId="1" xfId="0" applyNumberFormat="1" applyFont="1" applyBorder="1" applyAlignment="1" applyProtection="1">
      <alignment horizontal="center" vertical="center"/>
    </xf>
    <xf numFmtId="164" fontId="6" fillId="0" borderId="1" xfId="5" applyNumberFormat="1" applyFont="1" applyBorder="1" applyAlignment="1" applyProtection="1">
      <alignment vertical="center"/>
    </xf>
    <xf numFmtId="0" fontId="0" fillId="0" borderId="76" xfId="0" applyBorder="1" applyAlignment="1" applyProtection="1">
      <alignment horizontal="center" vertical="center"/>
    </xf>
    <xf numFmtId="0" fontId="0" fillId="0" borderId="5" xfId="0" applyBorder="1" applyAlignment="1" applyProtection="1">
      <alignment horizontal="center" vertical="center"/>
    </xf>
    <xf numFmtId="0" fontId="0" fillId="0" borderId="80" xfId="0" applyBorder="1" applyAlignment="1" applyProtection="1">
      <alignment horizontal="center" vertical="center"/>
    </xf>
    <xf numFmtId="0" fontId="26" fillId="0" borderId="5" xfId="0" applyFont="1" applyBorder="1" applyAlignment="1" applyProtection="1">
      <alignment horizontal="center" vertical="center"/>
    </xf>
    <xf numFmtId="0" fontId="36" fillId="0" borderId="83" xfId="0" applyFont="1" applyBorder="1" applyAlignment="1" applyProtection="1">
      <alignment horizontal="center" vertical="center"/>
    </xf>
    <xf numFmtId="0" fontId="26" fillId="17" borderId="84" xfId="0" applyFont="1" applyFill="1" applyBorder="1" applyAlignment="1" applyProtection="1">
      <alignment horizontal="center" vertical="center" wrapText="1"/>
      <protection hidden="1"/>
    </xf>
    <xf numFmtId="0" fontId="26" fillId="17" borderId="85" xfId="0" applyFont="1" applyFill="1" applyBorder="1" applyAlignment="1" applyProtection="1">
      <alignment horizontal="center" vertical="center" wrapText="1"/>
      <protection hidden="1"/>
    </xf>
    <xf numFmtId="0" fontId="26" fillId="17" borderId="86" xfId="0" applyFont="1" applyFill="1" applyBorder="1" applyAlignment="1" applyProtection="1">
      <alignment horizontal="center" vertical="center" wrapText="1"/>
      <protection hidden="1"/>
    </xf>
    <xf numFmtId="0" fontId="26" fillId="23" borderId="67" xfId="0" applyFont="1" applyFill="1" applyBorder="1" applyAlignment="1" applyProtection="1">
      <alignment horizontal="center" vertical="center" wrapText="1"/>
      <protection hidden="1"/>
    </xf>
    <xf numFmtId="0" fontId="26" fillId="23" borderId="85" xfId="0" applyFont="1" applyFill="1" applyBorder="1" applyAlignment="1" applyProtection="1">
      <alignment horizontal="center" vertical="center" wrapText="1"/>
      <protection hidden="1"/>
    </xf>
    <xf numFmtId="0" fontId="49" fillId="25" borderId="84" xfId="0" applyFont="1" applyFill="1" applyBorder="1" applyAlignment="1" applyProtection="1">
      <alignment horizontal="center" vertical="center" wrapText="1"/>
      <protection hidden="1"/>
    </xf>
    <xf numFmtId="0" fontId="49" fillId="25" borderId="85" xfId="0" applyFont="1" applyFill="1" applyBorder="1" applyAlignment="1" applyProtection="1">
      <alignment horizontal="center" vertical="center" wrapText="1"/>
      <protection hidden="1"/>
    </xf>
    <xf numFmtId="0" fontId="26" fillId="0" borderId="0" xfId="0" applyFont="1" applyAlignment="1">
      <alignment horizontal="center"/>
    </xf>
    <xf numFmtId="0" fontId="19" fillId="0" borderId="76" xfId="0" applyFont="1" applyBorder="1" applyAlignment="1">
      <alignment horizontal="center" vertical="center" wrapText="1"/>
    </xf>
    <xf numFmtId="0" fontId="19" fillId="0" borderId="80" xfId="0" applyFont="1" applyBorder="1" applyAlignment="1">
      <alignment horizontal="center" vertical="center" wrapText="1"/>
    </xf>
    <xf numFmtId="0" fontId="19" fillId="0" borderId="5" xfId="0" applyFont="1" applyBorder="1" applyAlignment="1">
      <alignment horizontal="center" vertical="center" wrapText="1"/>
    </xf>
    <xf numFmtId="0" fontId="23" fillId="0" borderId="76" xfId="0" applyFont="1" applyBorder="1" applyAlignment="1">
      <alignment horizontal="center" vertical="center"/>
    </xf>
    <xf numFmtId="0" fontId="23" fillId="0" borderId="80" xfId="0" applyFont="1" applyBorder="1" applyAlignment="1">
      <alignment horizontal="center" vertical="center"/>
    </xf>
    <xf numFmtId="0" fontId="23" fillId="0" borderId="5" xfId="0" applyFont="1" applyBorder="1" applyAlignment="1">
      <alignment horizontal="center" vertical="center"/>
    </xf>
    <xf numFmtId="0" fontId="24" fillId="20" borderId="93" xfId="0" applyFont="1" applyFill="1" applyBorder="1" applyAlignment="1">
      <alignment horizontal="center" vertical="center" wrapText="1"/>
    </xf>
    <xf numFmtId="0" fontId="24" fillId="20" borderId="92" xfId="0" applyFont="1" applyFill="1" applyBorder="1" applyAlignment="1">
      <alignment horizontal="center" vertical="center" wrapText="1"/>
    </xf>
    <xf numFmtId="0" fontId="24" fillId="20" borderId="97" xfId="0" applyFont="1" applyFill="1" applyBorder="1" applyAlignment="1">
      <alignment horizontal="center" vertical="center"/>
    </xf>
    <xf numFmtId="0" fontId="24" fillId="20" borderId="98" xfId="0" applyFont="1" applyFill="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47" fillId="0" borderId="1" xfId="0" applyFont="1" applyBorder="1" applyAlignment="1">
      <alignment horizontal="center"/>
    </xf>
    <xf numFmtId="0" fontId="24" fillId="20" borderId="52" xfId="0" applyFont="1" applyFill="1" applyBorder="1" applyAlignment="1">
      <alignment horizontal="center" vertical="center" wrapText="1"/>
    </xf>
    <xf numFmtId="0" fontId="24" fillId="20" borderId="53" xfId="0" applyFont="1" applyFill="1" applyBorder="1" applyAlignment="1">
      <alignment horizontal="center" vertical="center" wrapText="1"/>
    </xf>
    <xf numFmtId="0" fontId="24" fillId="20" borderId="83" xfId="0" applyFont="1" applyFill="1" applyBorder="1" applyAlignment="1">
      <alignment horizontal="center" vertical="center" wrapText="1"/>
    </xf>
    <xf numFmtId="0" fontId="24" fillId="20" borderId="89" xfId="0" applyFont="1" applyFill="1" applyBorder="1" applyAlignment="1">
      <alignment horizontal="center" vertical="center"/>
    </xf>
    <xf numFmtId="0" fontId="24" fillId="20" borderId="56" xfId="0" applyFont="1" applyFill="1" applyBorder="1" applyAlignment="1">
      <alignment horizontal="center" vertical="center"/>
    </xf>
    <xf numFmtId="3" fontId="23" fillId="0" borderId="76" xfId="0" applyNumberFormat="1" applyFont="1" applyFill="1" applyBorder="1" applyAlignment="1" applyProtection="1">
      <alignment horizontal="center" vertical="center"/>
    </xf>
    <xf numFmtId="3" fontId="23" fillId="0" borderId="80" xfId="0" applyNumberFormat="1" applyFont="1" applyFill="1" applyBorder="1" applyAlignment="1" applyProtection="1">
      <alignment horizontal="center" vertical="center"/>
    </xf>
    <xf numFmtId="3" fontId="23" fillId="0" borderId="5" xfId="0" applyNumberFormat="1" applyFont="1" applyFill="1" applyBorder="1" applyAlignment="1" applyProtection="1">
      <alignment horizontal="center" vertical="center"/>
    </xf>
    <xf numFmtId="0" fontId="26" fillId="15" borderId="83" xfId="0" applyFont="1" applyFill="1" applyBorder="1" applyAlignment="1" applyProtection="1">
      <alignment horizontal="center" vertical="center"/>
    </xf>
    <xf numFmtId="0" fontId="26" fillId="23" borderId="67" xfId="0" applyFont="1" applyFill="1" applyBorder="1" applyAlignment="1" applyProtection="1">
      <alignment horizontal="center" vertical="center" wrapText="1"/>
    </xf>
    <xf numFmtId="0" fontId="26" fillId="23" borderId="85" xfId="0" applyFont="1" applyFill="1" applyBorder="1" applyAlignment="1" applyProtection="1">
      <alignment horizontal="center" vertical="center" wrapText="1"/>
    </xf>
    <xf numFmtId="0" fontId="26" fillId="17" borderId="84" xfId="0" applyFont="1" applyFill="1" applyBorder="1" applyAlignment="1" applyProtection="1">
      <alignment horizontal="center" vertical="center" wrapText="1"/>
    </xf>
    <xf numFmtId="0" fontId="26" fillId="17" borderId="85" xfId="0" applyFont="1" applyFill="1" applyBorder="1" applyAlignment="1" applyProtection="1">
      <alignment horizontal="center" vertical="center" wrapText="1"/>
    </xf>
    <xf numFmtId="0" fontId="26" fillId="17" borderId="86" xfId="0" applyFont="1" applyFill="1" applyBorder="1" applyAlignment="1" applyProtection="1">
      <alignment horizontal="center" vertical="center" wrapText="1"/>
    </xf>
    <xf numFmtId="0" fontId="49" fillId="25" borderId="84" xfId="0" applyFont="1" applyFill="1" applyBorder="1" applyAlignment="1" applyProtection="1">
      <alignment horizontal="center" vertical="center" wrapText="1"/>
    </xf>
    <xf numFmtId="0" fontId="49" fillId="25" borderId="85" xfId="0" applyFont="1" applyFill="1" applyBorder="1" applyAlignment="1" applyProtection="1">
      <alignment horizontal="center" vertical="center" wrapText="1"/>
    </xf>
    <xf numFmtId="0" fontId="24" fillId="22" borderId="83" xfId="0" applyFont="1" applyFill="1" applyBorder="1" applyAlignment="1" applyProtection="1">
      <alignment horizontal="center" vertical="center" wrapText="1"/>
    </xf>
    <xf numFmtId="0" fontId="24" fillId="22" borderId="83" xfId="0" applyFont="1" applyFill="1" applyBorder="1" applyAlignment="1" applyProtection="1">
      <alignment horizontal="center" vertical="center"/>
    </xf>
    <xf numFmtId="0" fontId="24" fillId="22" borderId="84" xfId="0" applyFont="1" applyFill="1" applyBorder="1" applyAlignment="1" applyProtection="1">
      <alignment horizontal="center" vertical="center" wrapText="1"/>
    </xf>
    <xf numFmtId="0" fontId="24" fillId="22" borderId="85" xfId="0" applyFont="1" applyFill="1" applyBorder="1" applyAlignment="1" applyProtection="1">
      <alignment horizontal="center" vertical="center" wrapText="1"/>
    </xf>
    <xf numFmtId="0" fontId="24" fillId="22" borderId="86"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47" fillId="0" borderId="1" xfId="0" applyFont="1" applyFill="1" applyBorder="1" applyAlignment="1" applyProtection="1">
      <alignment horizontal="center"/>
    </xf>
    <xf numFmtId="0" fontId="24" fillId="20" borderId="89" xfId="0" applyFont="1" applyFill="1" applyBorder="1" applyAlignment="1" applyProtection="1">
      <alignment horizontal="center" vertical="center"/>
    </xf>
    <xf numFmtId="0" fontId="24" fillId="20" borderId="58" xfId="0" applyFont="1" applyFill="1" applyBorder="1" applyAlignment="1" applyProtection="1">
      <alignment horizontal="center" vertical="center"/>
    </xf>
    <xf numFmtId="0" fontId="24" fillId="20" borderId="25" xfId="0" applyFont="1" applyFill="1" applyBorder="1" applyAlignment="1" applyProtection="1">
      <alignment horizontal="center" vertical="center" wrapText="1"/>
    </xf>
    <xf numFmtId="0" fontId="24" fillId="20" borderId="59" xfId="0" applyFont="1" applyFill="1" applyBorder="1" applyAlignment="1" applyProtection="1">
      <alignment horizontal="center" vertical="center" wrapText="1"/>
    </xf>
    <xf numFmtId="0" fontId="24" fillId="27" borderId="83" xfId="0" applyFont="1" applyFill="1" applyBorder="1" applyAlignment="1" applyProtection="1">
      <alignment horizontal="center" vertical="center" wrapText="1"/>
    </xf>
    <xf numFmtId="0" fontId="24" fillId="0" borderId="84" xfId="0" applyFont="1" applyFill="1" applyBorder="1" applyAlignment="1" applyProtection="1">
      <alignment horizontal="center"/>
    </xf>
    <xf numFmtId="0" fontId="24" fillId="0" borderId="85" xfId="0" applyFont="1" applyFill="1" applyBorder="1" applyAlignment="1" applyProtection="1">
      <alignment horizontal="center"/>
    </xf>
    <xf numFmtId="0" fontId="24" fillId="0" borderId="86" xfId="0" applyFont="1" applyFill="1" applyBorder="1" applyAlignment="1" applyProtection="1">
      <alignment horizontal="center"/>
    </xf>
    <xf numFmtId="0" fontId="24" fillId="20" borderId="91" xfId="0" applyFont="1" applyFill="1" applyBorder="1" applyAlignment="1" applyProtection="1">
      <alignment horizontal="center" vertical="center" wrapText="1"/>
    </xf>
    <xf numFmtId="0" fontId="24" fillId="20" borderId="93" xfId="0" applyFont="1" applyFill="1" applyBorder="1" applyAlignment="1" applyProtection="1">
      <alignment horizontal="center" vertical="center" wrapText="1"/>
    </xf>
    <xf numFmtId="0" fontId="24" fillId="20" borderId="92" xfId="0" applyFont="1" applyFill="1" applyBorder="1" applyAlignment="1" applyProtection="1">
      <alignment horizontal="center" vertical="center" wrapText="1"/>
    </xf>
    <xf numFmtId="0" fontId="24" fillId="22" borderId="83" xfId="0" applyFont="1" applyFill="1" applyBorder="1" applyAlignment="1" applyProtection="1">
      <alignment horizontal="justify" vertical="center" wrapText="1"/>
    </xf>
    <xf numFmtId="0" fontId="23" fillId="0" borderId="76" xfId="0" applyFont="1" applyFill="1" applyBorder="1" applyAlignment="1" applyProtection="1">
      <alignment horizontal="left" vertical="center" wrapText="1"/>
    </xf>
    <xf numFmtId="0" fontId="23" fillId="0" borderId="5" xfId="0" applyFont="1" applyFill="1" applyBorder="1" applyAlignment="1" applyProtection="1">
      <alignment horizontal="left" vertical="center" wrapText="1"/>
    </xf>
    <xf numFmtId="0" fontId="23" fillId="0" borderId="80" xfId="0" applyFont="1" applyFill="1" applyBorder="1" applyAlignment="1" applyProtection="1">
      <alignment horizontal="left" vertical="center" wrapText="1"/>
    </xf>
    <xf numFmtId="0" fontId="24" fillId="0" borderId="83" xfId="0" applyFont="1" applyFill="1" applyBorder="1" applyAlignment="1" applyProtection="1">
      <alignment horizontal="center"/>
    </xf>
    <xf numFmtId="0" fontId="24" fillId="22" borderId="86" xfId="0" applyFont="1" applyFill="1" applyBorder="1" applyAlignment="1" applyProtection="1">
      <alignment horizontal="justify" vertical="center" wrapText="1"/>
    </xf>
    <xf numFmtId="0" fontId="8" fillId="0" borderId="1" xfId="0" applyFont="1" applyBorder="1" applyAlignment="1" applyProtection="1">
      <alignment horizontal="center" vertical="center"/>
    </xf>
    <xf numFmtId="14" fontId="19" fillId="0" borderId="84" xfId="1" applyNumberFormat="1" applyFont="1" applyBorder="1" applyAlignment="1" applyProtection="1">
      <alignment horizontal="center" vertical="center"/>
    </xf>
    <xf numFmtId="14" fontId="19" fillId="0" borderId="86" xfId="1" applyNumberFormat="1" applyFont="1" applyBorder="1" applyAlignment="1" applyProtection="1">
      <alignment horizontal="center" vertical="center"/>
    </xf>
    <xf numFmtId="0" fontId="19" fillId="0" borderId="83" xfId="1" applyFont="1" applyBorder="1" applyAlignment="1" applyProtection="1">
      <alignment horizontal="left" vertical="center"/>
    </xf>
    <xf numFmtId="0" fontId="8" fillId="0" borderId="83" xfId="1" applyFont="1" applyBorder="1" applyAlignment="1" applyProtection="1">
      <alignment horizontal="left" vertical="center"/>
    </xf>
    <xf numFmtId="0" fontId="6" fillId="0" borderId="1" xfId="1" applyFont="1" applyBorder="1" applyAlignment="1" applyProtection="1">
      <alignment horizontal="left" vertical="center"/>
    </xf>
    <xf numFmtId="0" fontId="9" fillId="7" borderId="84" xfId="1" applyFont="1" applyFill="1" applyBorder="1" applyAlignment="1" applyProtection="1">
      <alignment horizontal="center" vertical="center" wrapText="1"/>
    </xf>
    <xf numFmtId="0" fontId="9" fillId="7" borderId="86" xfId="1" applyFont="1" applyFill="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80" xfId="0" applyFont="1" applyBorder="1" applyAlignment="1" applyProtection="1">
      <alignment horizontal="center" vertical="center" wrapText="1"/>
    </xf>
    <xf numFmtId="0" fontId="11" fillId="10" borderId="84" xfId="1" applyFont="1" applyFill="1" applyBorder="1" applyAlignment="1" applyProtection="1">
      <alignment horizontal="right" vertical="center"/>
    </xf>
    <xf numFmtId="0" fontId="11" fillId="10" borderId="85" xfId="1" applyFont="1" applyFill="1" applyBorder="1" applyAlignment="1" applyProtection="1">
      <alignment horizontal="right" vertical="center"/>
    </xf>
    <xf numFmtId="0" fontId="11" fillId="10" borderId="86" xfId="1" applyFont="1" applyFill="1" applyBorder="1" applyAlignment="1" applyProtection="1">
      <alignment horizontal="right" vertical="center"/>
    </xf>
    <xf numFmtId="0" fontId="4" fillId="0" borderId="84" xfId="1" applyFont="1" applyBorder="1" applyAlignment="1" applyProtection="1">
      <alignment horizontal="left" vertical="top"/>
    </xf>
    <xf numFmtId="0" fontId="4" fillId="0" borderId="85" xfId="1" applyFont="1" applyBorder="1" applyAlignment="1" applyProtection="1">
      <alignment horizontal="left" vertical="top"/>
    </xf>
    <xf numFmtId="0" fontId="4" fillId="0" borderId="86" xfId="1" applyFont="1" applyBorder="1" applyAlignment="1" applyProtection="1">
      <alignment horizontal="left" vertical="top"/>
    </xf>
    <xf numFmtId="0" fontId="9" fillId="0" borderId="83" xfId="1" applyFont="1" applyFill="1" applyBorder="1" applyAlignment="1" applyProtection="1">
      <alignment horizontal="center" vertical="center" wrapText="1"/>
    </xf>
    <xf numFmtId="0" fontId="19" fillId="0" borderId="76" xfId="25" applyFont="1" applyFill="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19" fillId="0" borderId="76"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0" fontId="6" fillId="0" borderId="1" xfId="1" applyFont="1" applyAlignment="1" applyProtection="1">
      <alignment vertical="center"/>
    </xf>
    <xf numFmtId="0" fontId="9" fillId="0" borderId="84" xfId="1" applyFont="1" applyFill="1" applyBorder="1" applyAlignment="1" applyProtection="1">
      <alignment horizontal="center" vertical="center" wrapText="1"/>
    </xf>
    <xf numFmtId="0" fontId="9" fillId="0" borderId="86" xfId="1" applyFont="1" applyFill="1" applyBorder="1" applyAlignment="1" applyProtection="1">
      <alignment horizontal="center" vertical="center" wrapText="1"/>
    </xf>
    <xf numFmtId="0" fontId="5" fillId="5" borderId="16"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5" fillId="5" borderId="18" xfId="0" applyFont="1" applyFill="1" applyBorder="1" applyAlignment="1" applyProtection="1">
      <alignment horizontal="center" vertical="center"/>
    </xf>
    <xf numFmtId="0" fontId="8" fillId="6" borderId="80"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27" fillId="9" borderId="81" xfId="1" applyFont="1" applyFill="1" applyBorder="1" applyAlignment="1" applyProtection="1">
      <alignment horizontal="center" vertical="center" wrapText="1"/>
    </xf>
    <xf numFmtId="0" fontId="26" fillId="9" borderId="79" xfId="1" applyFont="1" applyFill="1" applyBorder="1" applyAlignment="1" applyProtection="1">
      <alignment horizontal="center" vertical="center" wrapText="1"/>
    </xf>
    <xf numFmtId="0" fontId="19" fillId="0" borderId="69" xfId="1" applyFont="1" applyBorder="1" applyAlignment="1" applyProtection="1">
      <alignment horizontal="left" vertical="center"/>
    </xf>
    <xf numFmtId="0" fontId="19" fillId="0" borderId="70" xfId="1" applyFont="1" applyBorder="1" applyAlignment="1" applyProtection="1">
      <alignment horizontal="left" vertical="center"/>
    </xf>
    <xf numFmtId="0" fontId="8" fillId="0" borderId="2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29" fillId="0" borderId="34" xfId="0" applyFont="1" applyBorder="1" applyAlignment="1" applyProtection="1">
      <alignment horizontal="center" vertical="center"/>
    </xf>
    <xf numFmtId="0" fontId="29" fillId="0" borderId="35"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87"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31" xfId="0" applyFont="1" applyBorder="1" applyAlignment="1" applyProtection="1">
      <alignment horizontal="center" vertical="center"/>
    </xf>
    <xf numFmtId="0" fontId="29" fillId="0" borderId="37" xfId="0" applyFont="1" applyBorder="1" applyAlignment="1" applyProtection="1">
      <alignment horizontal="center" vertical="center"/>
    </xf>
    <xf numFmtId="0" fontId="29" fillId="0" borderId="38" xfId="0" applyFont="1" applyBorder="1" applyAlignment="1" applyProtection="1">
      <alignment horizontal="center" vertical="center"/>
    </xf>
    <xf numFmtId="0" fontId="24" fillId="3" borderId="25" xfId="0" applyFont="1" applyFill="1" applyBorder="1" applyAlignment="1" applyProtection="1">
      <alignment horizontal="left"/>
    </xf>
    <xf numFmtId="0" fontId="23" fillId="3" borderId="26" xfId="0" applyFont="1" applyFill="1" applyBorder="1" applyAlignment="1" applyProtection="1">
      <alignment horizontal="left"/>
    </xf>
    <xf numFmtId="0" fontId="24" fillId="3" borderId="67" xfId="0" applyFont="1" applyFill="1" applyBorder="1" applyAlignment="1" applyProtection="1">
      <alignment horizontal="left"/>
    </xf>
    <xf numFmtId="0" fontId="23" fillId="3" borderId="68" xfId="0" applyFont="1" applyFill="1" applyBorder="1" applyAlignment="1" applyProtection="1">
      <alignment horizontal="left"/>
    </xf>
    <xf numFmtId="15" fontId="23" fillId="3" borderId="31" xfId="0" quotePrefix="1" applyNumberFormat="1" applyFont="1" applyFill="1" applyBorder="1" applyAlignment="1" applyProtection="1">
      <alignment horizontal="left"/>
    </xf>
    <xf numFmtId="0" fontId="23" fillId="3" borderId="32" xfId="0" applyFont="1" applyFill="1" applyBorder="1" applyAlignment="1" applyProtection="1">
      <alignment horizontal="left"/>
    </xf>
    <xf numFmtId="0" fontId="8" fillId="0" borderId="20" xfId="8" applyFont="1" applyFill="1" applyBorder="1" applyAlignment="1" applyProtection="1">
      <alignment horizontal="center" vertical="center"/>
    </xf>
    <xf numFmtId="0" fontId="8" fillId="0" borderId="21" xfId="8" applyFont="1" applyFill="1" applyBorder="1" applyAlignment="1" applyProtection="1">
      <alignment horizontal="center" vertical="center"/>
    </xf>
    <xf numFmtId="0" fontId="8" fillId="0" borderId="22" xfId="8" applyFont="1" applyFill="1" applyBorder="1" applyAlignment="1" applyProtection="1">
      <alignment horizontal="center" vertical="center"/>
    </xf>
    <xf numFmtId="0" fontId="29" fillId="0" borderId="34" xfId="8" applyFont="1" applyBorder="1" applyAlignment="1" applyProtection="1">
      <alignment horizontal="center" vertical="center"/>
    </xf>
    <xf numFmtId="0" fontId="29" fillId="0" borderId="35" xfId="8" applyFont="1" applyBorder="1" applyAlignment="1" applyProtection="1">
      <alignment horizontal="center" vertical="center"/>
    </xf>
    <xf numFmtId="0" fontId="29" fillId="0" borderId="36" xfId="8" applyFont="1" applyBorder="1" applyAlignment="1" applyProtection="1">
      <alignment horizontal="center" vertical="center"/>
    </xf>
    <xf numFmtId="0" fontId="29" fillId="0" borderId="87" xfId="8" applyFont="1" applyBorder="1" applyAlignment="1" applyProtection="1">
      <alignment horizontal="center" vertical="center"/>
    </xf>
    <xf numFmtId="0" fontId="29" fillId="0" borderId="1" xfId="8" applyFont="1" applyBorder="1" applyAlignment="1" applyProtection="1">
      <alignment horizontal="center" vertical="center"/>
    </xf>
    <xf numFmtId="0" fontId="29" fillId="0" borderId="19" xfId="8" applyFont="1" applyBorder="1" applyAlignment="1" applyProtection="1">
      <alignment horizontal="center" vertical="center"/>
    </xf>
    <xf numFmtId="0" fontId="29" fillId="0" borderId="31" xfId="8" applyFont="1" applyBorder="1" applyAlignment="1" applyProtection="1">
      <alignment horizontal="center" vertical="center"/>
    </xf>
    <xf numFmtId="0" fontId="29" fillId="0" borderId="37" xfId="8" applyFont="1" applyBorder="1" applyAlignment="1" applyProtection="1">
      <alignment horizontal="center" vertical="center"/>
    </xf>
    <xf numFmtId="0" fontId="29" fillId="0" borderId="38" xfId="8" applyFont="1" applyBorder="1" applyAlignment="1" applyProtection="1">
      <alignment horizontal="center" vertical="center"/>
    </xf>
    <xf numFmtId="0" fontId="24" fillId="3" borderId="25" xfId="8" applyFont="1" applyFill="1" applyBorder="1" applyAlignment="1" applyProtection="1">
      <alignment horizontal="left"/>
    </xf>
    <xf numFmtId="0" fontId="23" fillId="3" borderId="26" xfId="8" applyFont="1" applyFill="1" applyBorder="1" applyAlignment="1" applyProtection="1">
      <alignment horizontal="left"/>
    </xf>
    <xf numFmtId="0" fontId="24" fillId="3" borderId="67" xfId="8" applyFont="1" applyFill="1" applyBorder="1" applyAlignment="1" applyProtection="1">
      <alignment horizontal="left"/>
    </xf>
    <xf numFmtId="0" fontId="23" fillId="3" borderId="68" xfId="8" applyFont="1" applyFill="1" applyBorder="1" applyAlignment="1" applyProtection="1">
      <alignment horizontal="left"/>
    </xf>
    <xf numFmtId="15" fontId="23" fillId="3" borderId="31" xfId="8" quotePrefix="1" applyNumberFormat="1" applyFont="1" applyFill="1" applyBorder="1" applyAlignment="1" applyProtection="1">
      <alignment horizontal="left"/>
    </xf>
    <xf numFmtId="0" fontId="23" fillId="3" borderId="32" xfId="8" applyFont="1" applyFill="1" applyBorder="1" applyAlignment="1" applyProtection="1">
      <alignment horizontal="left"/>
    </xf>
    <xf numFmtId="0" fontId="5" fillId="5" borderId="16" xfId="8" applyFont="1" applyFill="1" applyBorder="1" applyAlignment="1" applyProtection="1">
      <alignment horizontal="center" vertical="center"/>
    </xf>
    <xf numFmtId="0" fontId="5" fillId="5" borderId="17" xfId="8" applyFont="1" applyFill="1" applyBorder="1" applyAlignment="1" applyProtection="1">
      <alignment horizontal="center" vertical="center"/>
    </xf>
    <xf numFmtId="0" fontId="5" fillId="5" borderId="18" xfId="8" applyFont="1" applyFill="1" applyBorder="1" applyAlignment="1" applyProtection="1">
      <alignment horizontal="center" vertical="center"/>
    </xf>
    <xf numFmtId="0" fontId="8" fillId="6" borderId="80" xfId="8" applyFont="1" applyFill="1" applyBorder="1" applyAlignment="1" applyProtection="1">
      <alignment horizontal="center" vertical="center" wrapText="1"/>
    </xf>
    <xf numFmtId="0" fontId="8" fillId="6" borderId="5" xfId="8" applyFont="1" applyFill="1" applyBorder="1" applyAlignment="1" applyProtection="1">
      <alignment horizontal="center" vertical="center" wrapText="1"/>
    </xf>
    <xf numFmtId="0" fontId="19" fillId="0" borderId="76" xfId="8" applyFont="1" applyBorder="1" applyAlignment="1" applyProtection="1">
      <alignment horizontal="center" vertical="center" wrapText="1"/>
    </xf>
    <xf numFmtId="0" fontId="19" fillId="0" borderId="80" xfId="8" applyFont="1" applyBorder="1" applyAlignment="1" applyProtection="1">
      <alignment horizontal="center" vertical="center" wrapText="1"/>
    </xf>
    <xf numFmtId="0" fontId="19" fillId="0" borderId="5" xfId="8" applyFont="1" applyBorder="1" applyAlignment="1" applyProtection="1">
      <alignment horizontal="center" vertical="center" wrapText="1"/>
    </xf>
    <xf numFmtId="14" fontId="19" fillId="0" borderId="7" xfId="1" applyNumberFormat="1" applyFont="1" applyBorder="1" applyAlignment="1" applyProtection="1">
      <alignment horizontal="center" vertical="center" wrapText="1"/>
    </xf>
    <xf numFmtId="14" fontId="19" fillId="0" borderId="6" xfId="1" applyNumberFormat="1" applyFont="1" applyBorder="1" applyAlignment="1" applyProtection="1">
      <alignment horizontal="center" vertical="center"/>
    </xf>
    <xf numFmtId="0" fontId="19" fillId="0" borderId="83" xfId="1" applyFont="1" applyBorder="1" applyAlignment="1" applyProtection="1">
      <alignment horizontal="left" vertical="center" wrapText="1"/>
    </xf>
    <xf numFmtId="0" fontId="8" fillId="0" borderId="83" xfId="1" applyFont="1" applyBorder="1" applyAlignment="1" applyProtection="1">
      <alignment horizontal="left" vertical="center" wrapText="1"/>
    </xf>
    <xf numFmtId="0" fontId="8" fillId="0" borderId="3" xfId="0" applyFont="1" applyBorder="1" applyAlignment="1" applyProtection="1">
      <alignment horizontal="center" vertical="top" wrapText="1"/>
    </xf>
    <xf numFmtId="0" fontId="8" fillId="0" borderId="80"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14" fontId="19" fillId="0" borderId="84" xfId="1" applyNumberFormat="1" applyFont="1" applyBorder="1" applyAlignment="1" applyProtection="1">
      <alignment horizontal="center" vertical="center" wrapText="1"/>
    </xf>
    <xf numFmtId="0" fontId="36" fillId="0" borderId="3" xfId="0" applyFont="1" applyBorder="1" applyAlignment="1" applyProtection="1">
      <alignment horizontal="center" vertical="top" wrapText="1"/>
    </xf>
    <xf numFmtId="0" fontId="36" fillId="0" borderId="4" xfId="0" applyFont="1" applyBorder="1" applyAlignment="1" applyProtection="1">
      <alignment horizontal="center" vertical="top" wrapText="1"/>
    </xf>
    <xf numFmtId="0" fontId="36" fillId="0" borderId="5" xfId="0" applyFont="1" applyBorder="1" applyAlignment="1" applyProtection="1">
      <alignment horizontal="center" vertical="top" wrapText="1"/>
    </xf>
    <xf numFmtId="0" fontId="11" fillId="10" borderId="7" xfId="1" applyFont="1" applyFill="1" applyBorder="1" applyAlignment="1" applyProtection="1">
      <alignment horizontal="right" vertical="center"/>
    </xf>
    <xf numFmtId="0" fontId="11" fillId="10" borderId="15" xfId="1" applyFont="1" applyFill="1" applyBorder="1" applyAlignment="1" applyProtection="1">
      <alignment horizontal="right" vertical="center"/>
    </xf>
    <xf numFmtId="0" fontId="11" fillId="10" borderId="6" xfId="1" applyFont="1" applyFill="1" applyBorder="1" applyAlignment="1" applyProtection="1">
      <alignment horizontal="right" vertical="center"/>
    </xf>
    <xf numFmtId="0" fontId="27" fillId="9" borderId="10" xfId="1" applyFont="1" applyFill="1" applyBorder="1" applyAlignment="1" applyProtection="1">
      <alignment horizontal="center" vertical="center" wrapText="1"/>
    </xf>
    <xf numFmtId="0" fontId="26" fillId="9" borderId="9" xfId="1"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9" fillId="7" borderId="7" xfId="1" applyFont="1" applyFill="1" applyBorder="1" applyAlignment="1" applyProtection="1">
      <alignment horizontal="center" vertical="center" wrapText="1"/>
    </xf>
    <xf numFmtId="0" fontId="9" fillId="7" borderId="6" xfId="1" applyFont="1" applyFill="1" applyBorder="1" applyAlignment="1" applyProtection="1">
      <alignment horizontal="center" vertical="center" wrapText="1"/>
    </xf>
    <xf numFmtId="0" fontId="19" fillId="0" borderId="2" xfId="1" applyFont="1" applyBorder="1" applyAlignment="1" applyProtection="1">
      <alignment horizontal="left" vertical="center" wrapText="1"/>
    </xf>
    <xf numFmtId="0" fontId="8" fillId="0" borderId="2" xfId="1" applyFont="1" applyBorder="1" applyAlignment="1" applyProtection="1">
      <alignment horizontal="left" vertical="center" wrapText="1"/>
    </xf>
    <xf numFmtId="0" fontId="24" fillId="3" borderId="29" xfId="0" applyFont="1" applyFill="1" applyBorder="1" applyAlignment="1" applyProtection="1">
      <alignment horizontal="left"/>
    </xf>
    <xf numFmtId="0" fontId="23" fillId="3" borderId="30" xfId="0" applyFont="1" applyFill="1" applyBorder="1" applyAlignment="1" applyProtection="1">
      <alignment horizontal="left"/>
    </xf>
    <xf numFmtId="0" fontId="29" fillId="0" borderId="8" xfId="0" applyFont="1" applyBorder="1" applyAlignment="1" applyProtection="1">
      <alignment horizontal="center" vertical="center"/>
    </xf>
    <xf numFmtId="0" fontId="11" fillId="0" borderId="7" xfId="1" applyFont="1" applyBorder="1" applyAlignment="1" applyProtection="1">
      <alignment horizontal="left" vertical="top"/>
    </xf>
    <xf numFmtId="0" fontId="4" fillId="0" borderId="15" xfId="1" applyFont="1" applyBorder="1" applyAlignment="1" applyProtection="1">
      <alignment horizontal="left" vertical="top"/>
    </xf>
    <xf numFmtId="0" fontId="4" fillId="0" borderId="6" xfId="1" applyFont="1" applyBorder="1" applyAlignment="1" applyProtection="1">
      <alignment horizontal="left" vertical="top"/>
    </xf>
    <xf numFmtId="0" fontId="19" fillId="0" borderId="23" xfId="1" applyFont="1" applyBorder="1" applyAlignment="1" applyProtection="1">
      <alignment horizontal="left" vertical="center"/>
    </xf>
    <xf numFmtId="0" fontId="19" fillId="0" borderId="24" xfId="1" applyFont="1" applyBorder="1" applyAlignment="1" applyProtection="1">
      <alignment horizontal="left" vertical="center"/>
    </xf>
    <xf numFmtId="0" fontId="9" fillId="0" borderId="7"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8" xfId="0" applyFont="1" applyBorder="1" applyAlignment="1">
      <alignment horizontal="center" vertical="center"/>
    </xf>
    <xf numFmtId="0" fontId="29" fillId="0" borderId="1" xfId="0" applyFont="1" applyBorder="1" applyAlignment="1">
      <alignment horizontal="center" vertical="center"/>
    </xf>
    <xf numFmtId="0" fontId="29" fillId="0" borderId="19" xfId="0" applyFont="1" applyBorder="1" applyAlignment="1">
      <alignment horizontal="center" vertical="center"/>
    </xf>
    <xf numFmtId="0" fontId="29" fillId="0" borderId="31"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4" fillId="3" borderId="25" xfId="0" applyFont="1" applyFill="1" applyBorder="1" applyAlignment="1">
      <alignment horizontal="left"/>
    </xf>
    <xf numFmtId="0" fontId="23" fillId="3" borderId="26" xfId="0" applyFont="1" applyFill="1" applyBorder="1" applyAlignment="1">
      <alignment horizontal="left"/>
    </xf>
    <xf numFmtId="0" fontId="24" fillId="3" borderId="29" xfId="0" applyFont="1" applyFill="1" applyBorder="1" applyAlignment="1">
      <alignment horizontal="left"/>
    </xf>
    <xf numFmtId="0" fontId="23" fillId="3" borderId="30" xfId="0" applyFont="1" applyFill="1" applyBorder="1" applyAlignment="1">
      <alignment horizontal="left"/>
    </xf>
    <xf numFmtId="15" fontId="23" fillId="3" borderId="31" xfId="0" quotePrefix="1" applyNumberFormat="1" applyFont="1" applyFill="1" applyBorder="1" applyAlignment="1">
      <alignment horizontal="left"/>
    </xf>
    <xf numFmtId="0" fontId="23" fillId="3" borderId="32" xfId="0" applyFont="1" applyFill="1" applyBorder="1" applyAlignment="1">
      <alignment horizontal="left"/>
    </xf>
    <xf numFmtId="0" fontId="5" fillId="5" borderId="16"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8" fillId="6" borderId="62"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10" fillId="9" borderId="10" xfId="1" applyFont="1" applyFill="1" applyBorder="1" applyAlignment="1" applyProtection="1">
      <alignment horizontal="center" vertical="center" wrapText="1"/>
    </xf>
    <xf numFmtId="0" fontId="8" fillId="9" borderId="9" xfId="1" applyFont="1" applyFill="1" applyBorder="1" applyAlignment="1" applyProtection="1">
      <alignment horizontal="center" vertical="center" wrapText="1"/>
    </xf>
    <xf numFmtId="0" fontId="6" fillId="0" borderId="1" xfId="1" applyFont="1" applyBorder="1" applyAlignment="1">
      <alignment horizontal="left" vertical="center"/>
    </xf>
    <xf numFmtId="0" fontId="41" fillId="0" borderId="3" xfId="0" applyFont="1" applyBorder="1" applyAlignment="1" applyProtection="1">
      <alignment horizontal="center" vertical="top" wrapText="1"/>
    </xf>
    <xf numFmtId="0" fontId="41" fillId="0" borderId="80" xfId="0" applyFont="1" applyBorder="1" applyAlignment="1" applyProtection="1">
      <alignment horizontal="center" vertical="top" wrapText="1"/>
    </xf>
    <xf numFmtId="0" fontId="41" fillId="0" borderId="4" xfId="0" applyFont="1" applyBorder="1" applyAlignment="1" applyProtection="1">
      <alignment horizontal="center" vertical="top" wrapText="1"/>
    </xf>
    <xf numFmtId="0" fontId="6" fillId="0" borderId="1" xfId="1" applyFont="1" applyAlignment="1">
      <alignment vertical="center"/>
    </xf>
    <xf numFmtId="14" fontId="19" fillId="0" borderId="7" xfId="1" applyNumberFormat="1" applyFont="1" applyBorder="1" applyAlignment="1" applyProtection="1">
      <alignment horizontal="center" vertical="center" wrapText="1"/>
      <protection locked="0"/>
    </xf>
    <xf numFmtId="14" fontId="19" fillId="0" borderId="6" xfId="1" applyNumberFormat="1" applyFont="1" applyBorder="1" applyAlignment="1" applyProtection="1">
      <alignment horizontal="center" vertical="center"/>
      <protection locked="0"/>
    </xf>
    <xf numFmtId="0" fontId="19" fillId="0" borderId="2"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4" fillId="0" borderId="1" xfId="1" applyFont="1" applyBorder="1" applyAlignment="1" applyProtection="1">
      <alignment horizontal="left" vertical="center"/>
      <protection locked="0"/>
    </xf>
    <xf numFmtId="0" fontId="4" fillId="0" borderId="7" xfId="1" applyFont="1" applyBorder="1" applyAlignment="1" applyProtection="1">
      <alignment horizontal="left" vertical="top"/>
      <protection locked="0"/>
    </xf>
    <xf numFmtId="0" fontId="4" fillId="0" borderId="15" xfId="1" applyFont="1" applyBorder="1" applyAlignment="1" applyProtection="1">
      <alignment horizontal="left" vertical="top"/>
      <protection locked="0"/>
    </xf>
    <xf numFmtId="0" fontId="4" fillId="0" borderId="6" xfId="1" applyFont="1" applyBorder="1" applyAlignment="1" applyProtection="1">
      <alignment horizontal="left" vertical="top"/>
      <protection locked="0"/>
    </xf>
    <xf numFmtId="0" fontId="19" fillId="0" borderId="76" xfId="0" applyFont="1" applyFill="1" applyBorder="1" applyAlignment="1" applyProtection="1">
      <alignment horizontal="center" vertical="center" wrapText="1"/>
    </xf>
    <xf numFmtId="0" fontId="19" fillId="0" borderId="80" xfId="0" applyFont="1" applyFill="1" applyBorder="1" applyAlignment="1" applyProtection="1">
      <alignment horizontal="center" vertical="center" wrapText="1"/>
    </xf>
    <xf numFmtId="0" fontId="19" fillId="0" borderId="76"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8" fillId="0" borderId="2" xfId="1" applyFont="1" applyBorder="1" applyAlignment="1" applyProtection="1">
      <alignment horizontal="left" vertical="center"/>
      <protection locked="0"/>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9" fillId="0" borderId="5" xfId="0" applyFont="1" applyBorder="1" applyAlignment="1" applyProtection="1">
      <alignment horizontal="center" vertical="center" wrapText="1"/>
    </xf>
    <xf numFmtId="0" fontId="4" fillId="0" borderId="7" xfId="1" applyFont="1" applyBorder="1" applyAlignment="1" applyProtection="1">
      <alignment horizontal="left" vertical="top"/>
    </xf>
    <xf numFmtId="0" fontId="40" fillId="0" borderId="3"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0" fontId="40" fillId="0" borderId="5" xfId="0" applyFont="1" applyBorder="1" applyAlignment="1" applyProtection="1">
      <alignment horizontal="center" vertical="center" wrapText="1"/>
    </xf>
    <xf numFmtId="0" fontId="19" fillId="0" borderId="23" xfId="1" applyFont="1" applyFill="1" applyBorder="1" applyAlignment="1" applyProtection="1">
      <alignment horizontal="left" vertical="center"/>
    </xf>
    <xf numFmtId="0" fontId="19" fillId="0" borderId="24" xfId="1" applyFont="1" applyFill="1" applyBorder="1" applyAlignment="1" applyProtection="1">
      <alignment horizontal="left" vertical="center"/>
    </xf>
    <xf numFmtId="0" fontId="29" fillId="0" borderId="34" xfId="0" applyFont="1" applyFill="1" applyBorder="1" applyAlignment="1" applyProtection="1">
      <alignment horizontal="center" vertical="center"/>
    </xf>
    <xf numFmtId="0" fontId="29" fillId="0" borderId="35" xfId="0" applyFont="1" applyFill="1" applyBorder="1" applyAlignment="1" applyProtection="1">
      <alignment horizontal="center" vertical="center"/>
    </xf>
    <xf numFmtId="0" fontId="29" fillId="0" borderId="36"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9" fillId="0" borderId="37" xfId="0" applyFont="1" applyFill="1" applyBorder="1" applyAlignment="1" applyProtection="1">
      <alignment horizontal="center" vertical="center"/>
    </xf>
    <xf numFmtId="0" fontId="29" fillId="0" borderId="38" xfId="0" applyFont="1" applyFill="1" applyBorder="1" applyAlignment="1" applyProtection="1">
      <alignment horizontal="center" vertical="center"/>
    </xf>
    <xf numFmtId="0" fontId="8" fillId="0" borderId="25" xfId="0" applyFont="1" applyFill="1" applyBorder="1" applyAlignment="1" applyProtection="1">
      <alignment horizontal="left"/>
    </xf>
    <xf numFmtId="0" fontId="19" fillId="0" borderId="26" xfId="0" applyFont="1" applyFill="1" applyBorder="1" applyAlignment="1" applyProtection="1">
      <alignment horizontal="left"/>
    </xf>
    <xf numFmtId="0" fontId="8" fillId="0" borderId="29" xfId="0" applyFont="1" applyFill="1" applyBorder="1" applyAlignment="1" applyProtection="1">
      <alignment horizontal="left"/>
    </xf>
    <xf numFmtId="0" fontId="19" fillId="0" borderId="30" xfId="0" applyFont="1" applyFill="1" applyBorder="1" applyAlignment="1" applyProtection="1">
      <alignment horizontal="left"/>
    </xf>
    <xf numFmtId="15" fontId="19" fillId="0" borderId="31" xfId="0" quotePrefix="1" applyNumberFormat="1" applyFont="1" applyFill="1" applyBorder="1" applyAlignment="1" applyProtection="1">
      <alignment horizontal="left"/>
    </xf>
    <xf numFmtId="0" fontId="19" fillId="0" borderId="32" xfId="0" applyFont="1" applyFill="1" applyBorder="1" applyAlignment="1" applyProtection="1">
      <alignment horizontal="left"/>
    </xf>
    <xf numFmtId="0" fontId="36" fillId="0" borderId="88"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76" xfId="0" applyFont="1" applyFill="1" applyBorder="1" applyAlignment="1" applyProtection="1">
      <alignment horizontal="left" vertical="center" wrapText="1"/>
    </xf>
    <xf numFmtId="0" fontId="36" fillId="0" borderId="65" xfId="0" applyFont="1" applyFill="1" applyBorder="1" applyAlignment="1" applyProtection="1">
      <alignment horizontal="left" vertical="center" wrapText="1"/>
    </xf>
    <xf numFmtId="0" fontId="6" fillId="0" borderId="1" xfId="1" applyFont="1" applyFill="1" applyBorder="1" applyAlignment="1" applyProtection="1">
      <alignment horizontal="left" vertical="center"/>
    </xf>
    <xf numFmtId="0" fontId="36" fillId="0" borderId="3" xfId="0" applyFont="1" applyFill="1" applyBorder="1" applyAlignment="1" applyProtection="1">
      <alignment horizontal="center" vertical="top" wrapText="1"/>
    </xf>
    <xf numFmtId="0" fontId="36" fillId="0" borderId="4" xfId="0" applyFont="1" applyFill="1" applyBorder="1" applyAlignment="1" applyProtection="1">
      <alignment horizontal="center" vertical="top" wrapText="1"/>
    </xf>
    <xf numFmtId="0" fontId="36" fillId="0" borderId="5" xfId="0" applyFont="1" applyFill="1" applyBorder="1" applyAlignment="1" applyProtection="1">
      <alignment horizontal="center" vertical="top" wrapText="1"/>
    </xf>
    <xf numFmtId="0" fontId="6" fillId="0" borderId="1" xfId="1" applyFont="1" applyFill="1" applyAlignment="1" applyProtection="1">
      <alignment vertical="center"/>
    </xf>
    <xf numFmtId="14" fontId="19" fillId="0" borderId="7" xfId="1" applyNumberFormat="1" applyFont="1" applyFill="1" applyBorder="1" applyAlignment="1" applyProtection="1">
      <alignment horizontal="center" vertical="center" wrapText="1"/>
    </xf>
    <xf numFmtId="14" fontId="19" fillId="0" borderId="6" xfId="1" applyNumberFormat="1" applyFont="1" applyFill="1" applyBorder="1" applyAlignment="1" applyProtection="1">
      <alignment horizontal="center" vertical="center"/>
    </xf>
    <xf numFmtId="0" fontId="19" fillId="0" borderId="2" xfId="1" applyFont="1" applyFill="1" applyBorder="1" applyAlignment="1" applyProtection="1">
      <alignment horizontal="left" vertical="center"/>
    </xf>
    <xf numFmtId="0" fontId="8" fillId="0" borderId="2" xfId="1" applyFont="1" applyFill="1" applyBorder="1" applyAlignment="1" applyProtection="1">
      <alignment horizontal="left" vertical="center"/>
    </xf>
    <xf numFmtId="0" fontId="19" fillId="0" borderId="3" xfId="24" applyFont="1" applyBorder="1" applyAlignment="1" applyProtection="1">
      <alignment horizontal="center" vertical="top" wrapText="1"/>
    </xf>
    <xf numFmtId="0" fontId="19" fillId="0" borderId="4" xfId="24" applyFont="1" applyBorder="1" applyAlignment="1" applyProtection="1">
      <alignment horizontal="center" vertical="top" wrapText="1"/>
    </xf>
    <xf numFmtId="0" fontId="19" fillId="0" borderId="5" xfId="24" applyFont="1" applyBorder="1" applyAlignment="1" applyProtection="1">
      <alignment horizontal="center" vertical="top" wrapText="1"/>
    </xf>
    <xf numFmtId="14" fontId="19" fillId="0" borderId="7"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protection locked="0"/>
    </xf>
    <xf numFmtId="0" fontId="19" fillId="0" borderId="2" xfId="1" applyFont="1" applyBorder="1" applyAlignment="1" applyProtection="1">
      <alignment horizontal="left" vertical="center"/>
      <protection locked="0"/>
    </xf>
    <xf numFmtId="14" fontId="19" fillId="0" borderId="7" xfId="1" applyNumberFormat="1" applyFont="1" applyFill="1" applyBorder="1" applyAlignment="1" applyProtection="1">
      <alignment horizontal="center" vertical="center"/>
    </xf>
    <xf numFmtId="0" fontId="8" fillId="0" borderId="2" xfId="1" applyFont="1" applyBorder="1" applyAlignment="1" applyProtection="1">
      <alignment horizontal="left" vertical="center"/>
    </xf>
    <xf numFmtId="0" fontId="9" fillId="0" borderId="73" xfId="1" applyFont="1" applyFill="1" applyBorder="1" applyAlignment="1" applyProtection="1">
      <alignment horizontal="center" vertical="center" wrapText="1"/>
    </xf>
    <xf numFmtId="0" fontId="9" fillId="7" borderId="74" xfId="1" applyFont="1" applyFill="1" applyBorder="1" applyAlignment="1" applyProtection="1">
      <alignment horizontal="center" vertical="center" wrapText="1"/>
    </xf>
    <xf numFmtId="0" fontId="9" fillId="7" borderId="75" xfId="1" applyFont="1" applyFill="1" applyBorder="1" applyAlignment="1" applyProtection="1">
      <alignment horizontal="center" vertical="center" wrapText="1"/>
    </xf>
    <xf numFmtId="0" fontId="11" fillId="10" borderId="74" xfId="1" applyFont="1" applyFill="1" applyBorder="1" applyAlignment="1" applyProtection="1">
      <alignment horizontal="right" vertical="center"/>
    </xf>
    <xf numFmtId="0" fontId="11" fillId="10" borderId="77" xfId="1" applyFont="1" applyFill="1" applyBorder="1" applyAlignment="1" applyProtection="1">
      <alignment horizontal="right" vertical="center"/>
    </xf>
    <xf numFmtId="0" fontId="11" fillId="10" borderId="75" xfId="1" applyFont="1" applyFill="1" applyBorder="1" applyAlignment="1" applyProtection="1">
      <alignment horizontal="right" vertical="center"/>
    </xf>
    <xf numFmtId="0" fontId="4" fillId="0" borderId="74" xfId="1" applyFont="1" applyBorder="1" applyAlignment="1" applyProtection="1">
      <alignment horizontal="left" vertical="top"/>
    </xf>
    <xf numFmtId="0" fontId="4" fillId="0" borderId="77" xfId="1" applyFont="1" applyBorder="1" applyAlignment="1" applyProtection="1">
      <alignment horizontal="left" vertical="top"/>
    </xf>
    <xf numFmtId="0" fontId="4" fillId="0" borderId="75" xfId="1" applyFont="1" applyBorder="1" applyAlignment="1" applyProtection="1">
      <alignment horizontal="left" vertical="top"/>
    </xf>
    <xf numFmtId="0" fontId="19" fillId="0" borderId="73" xfId="1" applyFont="1" applyBorder="1" applyAlignment="1" applyProtection="1">
      <alignment horizontal="left" vertical="center"/>
    </xf>
    <xf numFmtId="0" fontId="8" fillId="0" borderId="73" xfId="1" applyFont="1" applyBorder="1" applyAlignment="1" applyProtection="1">
      <alignment horizontal="left" vertical="center"/>
    </xf>
    <xf numFmtId="0" fontId="9" fillId="0" borderId="74" xfId="1" applyFont="1" applyFill="1" applyBorder="1" applyAlignment="1" applyProtection="1">
      <alignment horizontal="center" vertical="center" wrapText="1"/>
    </xf>
    <xf numFmtId="0" fontId="9" fillId="0" borderId="75" xfId="1" applyFont="1" applyFill="1" applyBorder="1" applyAlignment="1" applyProtection="1">
      <alignment horizontal="center" vertical="center" wrapText="1"/>
    </xf>
    <xf numFmtId="0" fontId="8" fillId="6" borderId="71" xfId="0" applyFont="1" applyFill="1" applyBorder="1" applyAlignment="1" applyProtection="1">
      <alignment horizontal="center" vertical="center" wrapText="1"/>
    </xf>
    <xf numFmtId="0" fontId="27" fillId="9" borderId="72" xfId="1" applyFont="1" applyFill="1" applyBorder="1" applyAlignment="1" applyProtection="1">
      <alignment horizontal="center" vertical="center" wrapText="1"/>
    </xf>
    <xf numFmtId="0" fontId="29" fillId="0" borderId="66" xfId="0" applyFont="1" applyBorder="1" applyAlignment="1" applyProtection="1">
      <alignment horizontal="center" vertical="center"/>
    </xf>
    <xf numFmtId="0" fontId="41" fillId="0" borderId="76" xfId="0" applyFont="1" applyBorder="1" applyAlignment="1" applyProtection="1">
      <alignment horizontal="center" vertical="top" wrapText="1"/>
    </xf>
    <xf numFmtId="0" fontId="19" fillId="0" borderId="2" xfId="1" applyFont="1" applyBorder="1" applyAlignment="1" applyProtection="1">
      <alignment horizontal="left" vertical="center"/>
    </xf>
    <xf numFmtId="0" fontId="36" fillId="0" borderId="76" xfId="0" applyFont="1" applyBorder="1" applyAlignment="1" applyProtection="1">
      <alignment horizontal="center" vertical="center" wrapText="1"/>
    </xf>
    <xf numFmtId="0" fontId="36" fillId="0" borderId="80" xfId="0" applyFont="1" applyBorder="1" applyAlignment="1" applyProtection="1">
      <alignment horizontal="center" vertical="center" wrapText="1"/>
    </xf>
    <xf numFmtId="0" fontId="36" fillId="0" borderId="5" xfId="0" applyFont="1" applyBorder="1" applyAlignment="1" applyProtection="1">
      <alignment horizontal="center" vertical="center" wrapText="1"/>
    </xf>
    <xf numFmtId="0" fontId="42" fillId="0" borderId="34" xfId="0" applyFont="1" applyBorder="1" applyAlignment="1" applyProtection="1">
      <alignment horizontal="center" vertical="center"/>
    </xf>
    <xf numFmtId="0" fontId="42" fillId="0" borderId="35" xfId="0" applyFont="1" applyBorder="1" applyAlignment="1" applyProtection="1">
      <alignment horizontal="center" vertical="center"/>
    </xf>
    <xf numFmtId="0" fontId="42" fillId="0" borderId="36" xfId="0" applyFont="1" applyBorder="1" applyAlignment="1" applyProtection="1">
      <alignment horizontal="center" vertical="center"/>
    </xf>
    <xf numFmtId="0" fontId="42" fillId="0" borderId="66" xfId="0" applyFont="1" applyBorder="1" applyAlignment="1" applyProtection="1">
      <alignment horizontal="center" vertical="center"/>
    </xf>
    <xf numFmtId="0" fontId="42" fillId="0" borderId="1" xfId="0" applyFont="1" applyBorder="1" applyAlignment="1" applyProtection="1">
      <alignment horizontal="center" vertical="center"/>
    </xf>
    <xf numFmtId="0" fontId="42" fillId="0" borderId="19" xfId="0" applyFont="1" applyBorder="1" applyAlignment="1" applyProtection="1">
      <alignment horizontal="center" vertical="center"/>
    </xf>
    <xf numFmtId="0" fontId="42" fillId="0" borderId="31" xfId="0" applyFont="1" applyBorder="1" applyAlignment="1" applyProtection="1">
      <alignment horizontal="center" vertical="center"/>
    </xf>
    <xf numFmtId="0" fontId="42" fillId="0" borderId="37" xfId="0" applyFont="1" applyBorder="1" applyAlignment="1" applyProtection="1">
      <alignment horizontal="center" vertical="center"/>
    </xf>
    <xf numFmtId="0" fontId="42" fillId="0" borderId="38" xfId="0" applyFont="1" applyBorder="1" applyAlignment="1" applyProtection="1">
      <alignment horizontal="center" vertical="center"/>
    </xf>
    <xf numFmtId="0" fontId="19" fillId="0" borderId="76" xfId="0" applyFont="1" applyBorder="1" applyAlignment="1" applyProtection="1">
      <alignment horizontal="center" vertical="center" wrapText="1"/>
    </xf>
    <xf numFmtId="0" fontId="4" fillId="0" borderId="84" xfId="1" applyFont="1" applyBorder="1" applyAlignment="1" applyProtection="1">
      <alignment horizontal="left" vertical="top"/>
      <protection locked="0"/>
    </xf>
    <xf numFmtId="0" fontId="4" fillId="0" borderId="85" xfId="1" applyFont="1" applyBorder="1" applyAlignment="1" applyProtection="1">
      <alignment horizontal="left" vertical="top"/>
      <protection locked="0"/>
    </xf>
    <xf numFmtId="0" fontId="4" fillId="0" borderId="86" xfId="1" applyFont="1" applyBorder="1" applyAlignment="1" applyProtection="1">
      <alignment horizontal="left" vertical="top"/>
      <protection locked="0"/>
    </xf>
    <xf numFmtId="14" fontId="19" fillId="0" borderId="84" xfId="1" applyNumberFormat="1" applyFont="1" applyBorder="1" applyAlignment="1" applyProtection="1">
      <alignment horizontal="center" vertical="center"/>
      <protection locked="0"/>
    </xf>
    <xf numFmtId="14" fontId="19" fillId="0" borderId="86" xfId="1" applyNumberFormat="1" applyFont="1" applyBorder="1" applyAlignment="1" applyProtection="1">
      <alignment horizontal="center" vertical="center"/>
      <protection locked="0"/>
    </xf>
    <xf numFmtId="0" fontId="19" fillId="0" borderId="83" xfId="1" applyFont="1" applyBorder="1" applyAlignment="1" applyProtection="1">
      <alignment horizontal="left" vertical="center"/>
      <protection locked="0"/>
    </xf>
    <xf numFmtId="0" fontId="8" fillId="0" borderId="83" xfId="1" applyFont="1" applyBorder="1" applyAlignment="1" applyProtection="1">
      <alignment horizontal="left" vertical="center"/>
      <protection locked="0"/>
    </xf>
    <xf numFmtId="0" fontId="8" fillId="6" borderId="80" xfId="0" applyFont="1" applyFill="1" applyBorder="1" applyAlignment="1">
      <alignment horizontal="center" vertical="center" wrapText="1"/>
    </xf>
    <xf numFmtId="0" fontId="29" fillId="0" borderId="87" xfId="0" applyFont="1" applyBorder="1" applyAlignment="1">
      <alignment horizontal="center" vertical="center"/>
    </xf>
    <xf numFmtId="0" fontId="24" fillId="3" borderId="67" xfId="0" applyFont="1" applyFill="1" applyBorder="1" applyAlignment="1">
      <alignment horizontal="left"/>
    </xf>
    <xf numFmtId="0" fontId="23" fillId="3" borderId="68" xfId="0" applyFont="1" applyFill="1" applyBorder="1" applyAlignment="1">
      <alignment horizontal="left"/>
    </xf>
    <xf numFmtId="0" fontId="19" fillId="0" borderId="4" xfId="0" applyFont="1" applyBorder="1" applyAlignment="1" applyProtection="1">
      <alignment horizontal="center" vertical="center" wrapText="1"/>
    </xf>
    <xf numFmtId="0" fontId="36" fillId="0" borderId="80" xfId="0" applyFont="1" applyBorder="1" applyAlignment="1" applyProtection="1">
      <alignment horizontal="center" vertical="top" wrapText="1"/>
    </xf>
    <xf numFmtId="0" fontId="4" fillId="0" borderId="84" xfId="1" applyFont="1" applyBorder="1" applyAlignment="1" applyProtection="1">
      <alignment horizontal="left" vertical="top" wrapText="1"/>
    </xf>
    <xf numFmtId="0" fontId="4" fillId="0" borderId="85" xfId="1" applyFont="1" applyBorder="1" applyAlignment="1" applyProtection="1">
      <alignment horizontal="left" vertical="top" wrapText="1"/>
    </xf>
    <xf numFmtId="0" fontId="4" fillId="0" borderId="86" xfId="1" applyFont="1" applyBorder="1" applyAlignment="1" applyProtection="1">
      <alignment horizontal="left" vertical="top" wrapText="1"/>
    </xf>
    <xf numFmtId="0" fontId="30" fillId="11" borderId="47" xfId="22" applyFont="1" applyFill="1" applyBorder="1" applyAlignment="1">
      <alignment horizontal="center" vertical="center"/>
    </xf>
    <xf numFmtId="0" fontId="30" fillId="11" borderId="35" xfId="22" applyFont="1" applyFill="1" applyBorder="1" applyAlignment="1">
      <alignment horizontal="center" vertical="center"/>
    </xf>
    <xf numFmtId="0" fontId="30" fillId="11" borderId="48" xfId="22" applyFont="1" applyFill="1" applyBorder="1" applyAlignment="1">
      <alignment horizontal="center" vertical="center"/>
    </xf>
    <xf numFmtId="0" fontId="32" fillId="0" borderId="2" xfId="22" applyFont="1" applyFill="1" applyBorder="1" applyAlignment="1">
      <alignment horizontal="left" vertical="center" wrapText="1"/>
    </xf>
    <xf numFmtId="0" fontId="32" fillId="0" borderId="55" xfId="22" applyFont="1" applyFill="1" applyBorder="1" applyAlignment="1">
      <alignment horizontal="left" vertical="center" wrapText="1"/>
    </xf>
    <xf numFmtId="0" fontId="8" fillId="0" borderId="20" xfId="22" applyFont="1" applyFill="1" applyBorder="1" applyAlignment="1">
      <alignment horizontal="center" vertical="center"/>
    </xf>
    <xf numFmtId="0" fontId="8" fillId="0" borderId="21" xfId="22" applyFont="1" applyFill="1" applyBorder="1" applyAlignment="1">
      <alignment horizontal="center" vertical="center"/>
    </xf>
    <xf numFmtId="0" fontId="8" fillId="0" borderId="22" xfId="22" applyFont="1" applyFill="1" applyBorder="1" applyAlignment="1">
      <alignment horizontal="center" vertical="center"/>
    </xf>
    <xf numFmtId="0" fontId="8" fillId="0" borderId="34" xfId="22" applyFont="1" applyFill="1" applyBorder="1" applyAlignment="1">
      <alignment horizontal="center" vertical="center"/>
    </xf>
    <xf numFmtId="0" fontId="8" fillId="0" borderId="35" xfId="22" applyFont="1" applyFill="1" applyBorder="1" applyAlignment="1">
      <alignment horizontal="center" vertical="center"/>
    </xf>
    <xf numFmtId="0" fontId="8" fillId="0" borderId="8" xfId="22" applyFont="1" applyFill="1" applyBorder="1" applyAlignment="1">
      <alignment horizontal="center" vertical="center"/>
    </xf>
    <xf numFmtId="0" fontId="8" fillId="0" borderId="1" xfId="22" applyFont="1" applyFill="1" applyBorder="1" applyAlignment="1">
      <alignment horizontal="center" vertical="center"/>
    </xf>
    <xf numFmtId="0" fontId="8" fillId="0" borderId="31" xfId="22" applyFont="1" applyFill="1" applyBorder="1" applyAlignment="1">
      <alignment horizontal="center" vertical="center"/>
    </xf>
    <xf numFmtId="0" fontId="8" fillId="0" borderId="37" xfId="22" applyFont="1" applyFill="1" applyBorder="1" applyAlignment="1">
      <alignment horizontal="center" vertical="center"/>
    </xf>
    <xf numFmtId="0" fontId="24" fillId="3" borderId="25" xfId="22" applyFont="1" applyFill="1" applyBorder="1" applyAlignment="1">
      <alignment horizontal="left"/>
    </xf>
    <xf numFmtId="0" fontId="23" fillId="3" borderId="26" xfId="22" applyFont="1" applyFill="1" applyBorder="1" applyAlignment="1">
      <alignment horizontal="left"/>
    </xf>
    <xf numFmtId="0" fontId="24" fillId="3" borderId="29" xfId="22" applyFont="1" applyFill="1" applyBorder="1" applyAlignment="1">
      <alignment horizontal="left"/>
    </xf>
    <xf numFmtId="0" fontId="23" fillId="3" borderId="30" xfId="22" applyFont="1" applyFill="1" applyBorder="1" applyAlignment="1">
      <alignment horizontal="left"/>
    </xf>
    <xf numFmtId="15" fontId="23" fillId="3" borderId="31" xfId="22" quotePrefix="1" applyNumberFormat="1" applyFont="1" applyFill="1" applyBorder="1" applyAlignment="1">
      <alignment horizontal="left"/>
    </xf>
    <xf numFmtId="0" fontId="23" fillId="3" borderId="32" xfId="22" applyFont="1" applyFill="1" applyBorder="1" applyAlignment="1">
      <alignment horizontal="left"/>
    </xf>
    <xf numFmtId="0" fontId="19" fillId="0" borderId="2" xfId="22" applyFont="1" applyFill="1" applyBorder="1" applyAlignment="1">
      <alignment horizontal="left" vertical="center" wrapText="1"/>
    </xf>
    <xf numFmtId="0" fontId="19" fillId="0" borderId="55" xfId="22" applyFont="1" applyFill="1" applyBorder="1" applyAlignment="1">
      <alignment horizontal="left" vertical="center" wrapText="1"/>
    </xf>
    <xf numFmtId="0" fontId="19" fillId="0" borderId="49" xfId="22" applyFont="1" applyBorder="1" applyAlignment="1">
      <alignment horizontal="center" vertical="center" wrapText="1"/>
    </xf>
    <xf numFmtId="0" fontId="19" fillId="0" borderId="37" xfId="22" applyFont="1" applyBorder="1" applyAlignment="1">
      <alignment horizontal="center" vertical="center" wrapText="1"/>
    </xf>
    <xf numFmtId="0" fontId="19" fillId="0" borderId="32" xfId="22" applyFont="1" applyBorder="1" applyAlignment="1">
      <alignment horizontal="center" vertical="center" wrapText="1"/>
    </xf>
    <xf numFmtId="0" fontId="30" fillId="11" borderId="33" xfId="22" applyFont="1" applyFill="1" applyBorder="1" applyAlignment="1">
      <alignment horizontal="center" vertical="center"/>
    </xf>
    <xf numFmtId="0" fontId="30" fillId="11" borderId="51" xfId="22" applyFont="1" applyFill="1" applyBorder="1" applyAlignment="1">
      <alignment horizontal="center" vertical="center"/>
    </xf>
    <xf numFmtId="0" fontId="19" fillId="0" borderId="52" xfId="22" applyFont="1" applyFill="1" applyBorder="1" applyAlignment="1">
      <alignment horizontal="left" vertical="center" wrapText="1"/>
    </xf>
    <xf numFmtId="0" fontId="19" fillId="0" borderId="53" xfId="22" applyFont="1" applyFill="1" applyBorder="1" applyAlignment="1">
      <alignment horizontal="left" vertical="center" wrapText="1"/>
    </xf>
    <xf numFmtId="0" fontId="19" fillId="0" borderId="5" xfId="22" applyFont="1" applyFill="1" applyBorder="1" applyAlignment="1">
      <alignment horizontal="left" vertical="center" wrapText="1"/>
    </xf>
    <xf numFmtId="0" fontId="19" fillId="0" borderId="28" xfId="22" applyFont="1" applyFill="1" applyBorder="1" applyAlignment="1">
      <alignment horizontal="left" vertical="center" wrapText="1"/>
    </xf>
    <xf numFmtId="0" fontId="19" fillId="0" borderId="59" xfId="22" applyFont="1" applyFill="1" applyBorder="1" applyAlignment="1">
      <alignment horizontal="left" vertical="center" wrapText="1"/>
    </xf>
    <xf numFmtId="0" fontId="19" fillId="0" borderId="60" xfId="22" applyFont="1" applyFill="1" applyBorder="1" applyAlignment="1">
      <alignment horizontal="left" vertical="center" wrapText="1"/>
    </xf>
    <xf numFmtId="0" fontId="8" fillId="14" borderId="20" xfId="8" applyFont="1" applyFill="1" applyBorder="1" applyAlignment="1">
      <alignment horizontal="left" vertical="center"/>
    </xf>
    <xf numFmtId="0" fontId="8" fillId="14" borderId="39" xfId="8" applyFont="1" applyFill="1" applyBorder="1" applyAlignment="1">
      <alignment horizontal="left" vertical="center"/>
    </xf>
    <xf numFmtId="0" fontId="8" fillId="14" borderId="45" xfId="8" applyFont="1" applyFill="1" applyBorder="1" applyAlignment="1">
      <alignment horizontal="left" vertical="center"/>
    </xf>
    <xf numFmtId="0" fontId="4" fillId="0" borderId="22" xfId="8" applyFont="1" applyBorder="1" applyAlignment="1">
      <alignment horizontal="left" vertical="center" wrapText="1"/>
    </xf>
    <xf numFmtId="0" fontId="4" fillId="0" borderId="44" xfId="8" applyFont="1" applyBorder="1" applyAlignment="1">
      <alignment horizontal="left" vertical="center" wrapText="1"/>
    </xf>
    <xf numFmtId="0" fontId="4" fillId="0" borderId="44" xfId="8" applyFont="1" applyBorder="1" applyAlignment="1">
      <alignment horizontal="left" vertical="center"/>
    </xf>
    <xf numFmtId="0" fontId="4" fillId="0" borderId="46" xfId="8" applyFont="1" applyBorder="1" applyAlignment="1">
      <alignment horizontal="left" vertical="center"/>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7" xfId="8" applyFont="1" applyBorder="1" applyAlignment="1">
      <alignment horizontal="left" vertical="center" wrapText="1"/>
    </xf>
    <xf numFmtId="0" fontId="4" fillId="0" borderId="15" xfId="8" applyFont="1" applyBorder="1" applyAlignment="1">
      <alignment horizontal="left" vertical="center" wrapText="1"/>
    </xf>
    <xf numFmtId="0" fontId="4" fillId="0" borderId="6" xfId="8" applyFont="1" applyBorder="1" applyAlignment="1">
      <alignment horizontal="left" vertical="center" wrapText="1"/>
    </xf>
    <xf numFmtId="0" fontId="4" fillId="0" borderId="2" xfId="8" applyFont="1" applyBorder="1" applyAlignment="1">
      <alignment horizontal="left"/>
    </xf>
    <xf numFmtId="0" fontId="4" fillId="0" borderId="7" xfId="8" applyFont="1" applyBorder="1" applyAlignment="1">
      <alignment horizontal="left"/>
    </xf>
    <xf numFmtId="0" fontId="4" fillId="0" borderId="15" xfId="8" applyFont="1" applyBorder="1" applyAlignment="1">
      <alignment horizontal="left"/>
    </xf>
    <xf numFmtId="0" fontId="4" fillId="0" borderId="6" xfId="8" applyFont="1" applyBorder="1" applyAlignment="1">
      <alignment horizontal="left"/>
    </xf>
    <xf numFmtId="0" fontId="4" fillId="0" borderId="2" xfId="8" applyFont="1" applyBorder="1" applyAlignment="1">
      <alignment horizontal="center" vertical="center"/>
    </xf>
    <xf numFmtId="0" fontId="4" fillId="0" borderId="7" xfId="8" applyFont="1" applyBorder="1" applyAlignment="1">
      <alignment horizontal="center" vertical="center"/>
    </xf>
    <xf numFmtId="0" fontId="4" fillId="0" borderId="15" xfId="8" applyFont="1" applyBorder="1" applyAlignment="1">
      <alignment horizontal="center" vertical="center"/>
    </xf>
    <xf numFmtId="0" fontId="4" fillId="0" borderId="6" xfId="8" applyFont="1" applyBorder="1" applyAlignment="1">
      <alignment horizontal="center" vertical="center"/>
    </xf>
    <xf numFmtId="0" fontId="8" fillId="13" borderId="2" xfId="8" applyFont="1" applyFill="1" applyBorder="1" applyAlignment="1">
      <alignment horizontal="center" vertical="center" wrapText="1"/>
    </xf>
    <xf numFmtId="0" fontId="25" fillId="12" borderId="2" xfId="8" applyFont="1" applyFill="1" applyBorder="1" applyAlignment="1">
      <alignment horizontal="center" vertical="center" wrapText="1"/>
    </xf>
    <xf numFmtId="0" fontId="4" fillId="0" borderId="2" xfId="8" applyFont="1" applyBorder="1" applyAlignment="1">
      <alignment horizontal="left" vertical="center" wrapText="1"/>
    </xf>
    <xf numFmtId="0" fontId="25" fillId="12" borderId="29" xfId="8" applyFont="1" applyFill="1" applyBorder="1" applyAlignment="1">
      <alignment horizontal="center" vertical="center" wrapText="1"/>
    </xf>
    <xf numFmtId="0" fontId="25" fillId="12" borderId="43" xfId="8" applyFont="1" applyFill="1" applyBorder="1" applyAlignment="1">
      <alignment horizontal="center" vertical="center" wrapText="1"/>
    </xf>
    <xf numFmtId="0" fontId="25" fillId="12" borderId="41" xfId="8" applyFont="1" applyFill="1" applyBorder="1" applyAlignment="1">
      <alignment horizontal="center" vertical="center" wrapText="1"/>
    </xf>
    <xf numFmtId="0" fontId="25" fillId="12" borderId="12" xfId="8" applyFont="1" applyFill="1" applyBorder="1" applyAlignment="1">
      <alignment horizontal="center" vertical="center" wrapText="1"/>
    </xf>
    <xf numFmtId="0" fontId="25" fillId="12" borderId="13" xfId="8" applyFont="1" applyFill="1" applyBorder="1" applyAlignment="1">
      <alignment horizontal="center" vertical="center" wrapText="1"/>
    </xf>
    <xf numFmtId="0" fontId="25" fillId="12" borderId="14" xfId="8" applyFont="1" applyFill="1" applyBorder="1" applyAlignment="1">
      <alignment horizontal="center" vertical="center" wrapText="1"/>
    </xf>
    <xf numFmtId="0" fontId="25" fillId="12" borderId="2" xfId="8" applyFont="1" applyFill="1" applyBorder="1" applyAlignment="1">
      <alignment horizontal="center" vertical="center"/>
    </xf>
    <xf numFmtId="0" fontId="30" fillId="11" borderId="2" xfId="8" applyFont="1" applyFill="1" applyBorder="1" applyAlignment="1">
      <alignment horizontal="center" vertical="center" wrapText="1"/>
    </xf>
    <xf numFmtId="0" fontId="25" fillId="0" borderId="2" xfId="8" applyFont="1" applyBorder="1" applyAlignment="1">
      <alignment horizontal="center" vertical="center" wrapText="1"/>
    </xf>
    <xf numFmtId="0" fontId="19" fillId="12" borderId="2" xfId="8" applyFont="1" applyFill="1" applyBorder="1" applyAlignment="1">
      <alignment horizontal="center" vertical="center" wrapText="1"/>
    </xf>
    <xf numFmtId="14" fontId="19" fillId="0" borderId="2" xfId="8" applyNumberFormat="1" applyFont="1" applyBorder="1" applyAlignment="1">
      <alignment horizontal="center" vertical="center" wrapText="1"/>
    </xf>
    <xf numFmtId="0" fontId="19" fillId="0" borderId="2" xfId="8" applyFont="1" applyBorder="1" applyAlignment="1">
      <alignment horizontal="center" vertical="center" wrapText="1"/>
    </xf>
    <xf numFmtId="0" fontId="19" fillId="0" borderId="20" xfId="8" applyFont="1" applyBorder="1" applyAlignment="1">
      <alignment horizontal="center"/>
    </xf>
    <xf numFmtId="0" fontId="19" fillId="0" borderId="39" xfId="8" applyFont="1" applyBorder="1" applyAlignment="1">
      <alignment horizontal="center"/>
    </xf>
    <xf numFmtId="0" fontId="19" fillId="0" borderId="21" xfId="8" applyFont="1" applyBorder="1" applyAlignment="1">
      <alignment horizontal="center"/>
    </xf>
    <xf numFmtId="0" fontId="19" fillId="0" borderId="4" xfId="8" applyFont="1" applyBorder="1" applyAlignment="1">
      <alignment horizontal="center"/>
    </xf>
    <xf numFmtId="0" fontId="19" fillId="0" borderId="22" xfId="8" applyFont="1" applyBorder="1" applyAlignment="1">
      <alignment horizontal="center"/>
    </xf>
    <xf numFmtId="0" fontId="19" fillId="0" borderId="44" xfId="8" applyFont="1" applyBorder="1" applyAlignment="1">
      <alignment horizontal="center"/>
    </xf>
    <xf numFmtId="0" fontId="8" fillId="0" borderId="39" xfId="8" applyFont="1" applyBorder="1" applyAlignment="1">
      <alignment horizontal="center" vertical="center" wrapText="1"/>
    </xf>
    <xf numFmtId="0" fontId="8" fillId="0" borderId="4" xfId="8" applyFont="1" applyBorder="1" applyAlignment="1">
      <alignment horizontal="center" vertical="center" wrapText="1"/>
    </xf>
    <xf numFmtId="0" fontId="8" fillId="0" borderId="44" xfId="8" applyFont="1" applyBorder="1" applyAlignment="1">
      <alignment horizontal="center" vertical="center" wrapText="1"/>
    </xf>
    <xf numFmtId="0" fontId="24" fillId="3" borderId="25" xfId="8" applyFont="1" applyFill="1" applyBorder="1" applyAlignment="1">
      <alignment horizontal="left"/>
    </xf>
    <xf numFmtId="0" fontId="24" fillId="3" borderId="40" xfId="8" applyFont="1" applyFill="1" applyBorder="1" applyAlignment="1">
      <alignment horizontal="left"/>
    </xf>
    <xf numFmtId="0" fontId="23" fillId="3" borderId="26" xfId="8" applyFont="1" applyFill="1" applyBorder="1" applyAlignment="1">
      <alignment horizontal="left"/>
    </xf>
    <xf numFmtId="0" fontId="24" fillId="3" borderId="29" xfId="8" applyFont="1" applyFill="1" applyBorder="1" applyAlignment="1">
      <alignment horizontal="left"/>
    </xf>
    <xf numFmtId="0" fontId="24" fillId="3" borderId="41" xfId="8" applyFont="1" applyFill="1" applyBorder="1" applyAlignment="1">
      <alignment horizontal="left"/>
    </xf>
    <xf numFmtId="0" fontId="24" fillId="3" borderId="30" xfId="8" applyFont="1" applyFill="1" applyBorder="1" applyAlignment="1">
      <alignment horizontal="left"/>
    </xf>
    <xf numFmtId="0" fontId="23" fillId="3" borderId="12" xfId="8" applyFont="1" applyFill="1" applyBorder="1" applyAlignment="1">
      <alignment horizontal="left"/>
    </xf>
    <xf numFmtId="0" fontId="23" fillId="3" borderId="14" xfId="8" applyFont="1" applyFill="1" applyBorder="1" applyAlignment="1">
      <alignment horizontal="left"/>
    </xf>
    <xf numFmtId="0" fontId="23" fillId="3" borderId="12" xfId="8" applyFont="1" applyFill="1" applyBorder="1" applyAlignment="1">
      <alignment horizontal="center"/>
    </xf>
    <xf numFmtId="0" fontId="23" fillId="3" borderId="42" xfId="8" applyFont="1" applyFill="1" applyBorder="1" applyAlignment="1">
      <alignment horizontal="center"/>
    </xf>
    <xf numFmtId="0" fontId="24" fillId="3" borderId="43" xfId="8" applyFont="1" applyFill="1" applyBorder="1" applyAlignment="1">
      <alignment horizontal="left"/>
    </xf>
    <xf numFmtId="0" fontId="23" fillId="3" borderId="30" xfId="8" applyFont="1" applyFill="1" applyBorder="1" applyAlignment="1">
      <alignment horizontal="left"/>
    </xf>
    <xf numFmtId="15" fontId="23" fillId="3" borderId="31" xfId="8" quotePrefix="1" applyNumberFormat="1" applyFont="1" applyFill="1" applyBorder="1" applyAlignment="1">
      <alignment horizontal="left"/>
    </xf>
    <xf numFmtId="15" fontId="23" fillId="3" borderId="37" xfId="8" quotePrefix="1" applyNumberFormat="1" applyFont="1" applyFill="1" applyBorder="1" applyAlignment="1">
      <alignment horizontal="left"/>
    </xf>
    <xf numFmtId="0" fontId="23" fillId="3" borderId="32" xfId="8" applyFont="1" applyFill="1" applyBorder="1" applyAlignment="1">
      <alignment horizontal="left"/>
    </xf>
  </cellXfs>
  <cellStyles count="34">
    <cellStyle name="Excel_BuiltIn_Percent" xfId="15" xr:uid="{00000000-0005-0000-0000-000000000000}"/>
    <cellStyle name="Millares" xfId="33" builtinId="3"/>
    <cellStyle name="Millares [0]" xfId="27" builtinId="6"/>
    <cellStyle name="Millares [0] 2" xfId="32" xr:uid="{00000000-0005-0000-0000-000002000000}"/>
    <cellStyle name="Millares 2" xfId="6" xr:uid="{00000000-0005-0000-0000-000003000000}"/>
    <cellStyle name="Millares 2 2" xfId="26" xr:uid="{00000000-0005-0000-0000-000004000000}"/>
    <cellStyle name="Millares 3" xfId="21" xr:uid="{00000000-0005-0000-0000-000005000000}"/>
    <cellStyle name="Normal" xfId="0" builtinId="0"/>
    <cellStyle name="Normal 10" xfId="8" xr:uid="{00000000-0005-0000-0000-000007000000}"/>
    <cellStyle name="Normal 11" xfId="14" xr:uid="{00000000-0005-0000-0000-000008000000}"/>
    <cellStyle name="Normal 12" xfId="19" xr:uid="{00000000-0005-0000-0000-000009000000}"/>
    <cellStyle name="Normal 12 2" xfId="23" xr:uid="{00000000-0005-0000-0000-00000A000000}"/>
    <cellStyle name="Normal 13" xfId="20" xr:uid="{00000000-0005-0000-0000-00000B000000}"/>
    <cellStyle name="Normal 14" xfId="24" xr:uid="{00000000-0005-0000-0000-00000C000000}"/>
    <cellStyle name="Normal 15" xfId="25" xr:uid="{00000000-0005-0000-0000-00000D000000}"/>
    <cellStyle name="Normal 16" xfId="28" xr:uid="{00000000-0005-0000-0000-00000E000000}"/>
    <cellStyle name="Normal 2" xfId="2" xr:uid="{00000000-0005-0000-0000-00000F000000}"/>
    <cellStyle name="Normal 2 2" xfId="16" xr:uid="{00000000-0005-0000-0000-000010000000}"/>
    <cellStyle name="Normal 2 3" xfId="22" xr:uid="{00000000-0005-0000-0000-000011000000}"/>
    <cellStyle name="Normal 2 4" xfId="29" xr:uid="{00000000-0005-0000-0000-000012000000}"/>
    <cellStyle name="Normal 3" xfId="1" xr:uid="{00000000-0005-0000-0000-000013000000}"/>
    <cellStyle name="Normal 3 2" xfId="17" xr:uid="{00000000-0005-0000-0000-000014000000}"/>
    <cellStyle name="Normal 3 3" xfId="30" xr:uid="{00000000-0005-0000-0000-000015000000}"/>
    <cellStyle name="Normal 4" xfId="4" xr:uid="{00000000-0005-0000-0000-000016000000}"/>
    <cellStyle name="Normal 4 2" xfId="18" xr:uid="{00000000-0005-0000-0000-000017000000}"/>
    <cellStyle name="Normal 5" xfId="9" xr:uid="{00000000-0005-0000-0000-000018000000}"/>
    <cellStyle name="Normal 6" xfId="10" xr:uid="{00000000-0005-0000-0000-000019000000}"/>
    <cellStyle name="Normal 7" xfId="11" xr:uid="{00000000-0005-0000-0000-00001A000000}"/>
    <cellStyle name="Normal 8" xfId="12" xr:uid="{00000000-0005-0000-0000-00001B000000}"/>
    <cellStyle name="Normal 9" xfId="13" xr:uid="{00000000-0005-0000-0000-00001C000000}"/>
    <cellStyle name="Porcentaje" xfId="5" builtinId="5"/>
    <cellStyle name="Porcentaje 2" xfId="3" xr:uid="{00000000-0005-0000-0000-00001E000000}"/>
    <cellStyle name="Porcentaje 3" xfId="7" xr:uid="{00000000-0005-0000-0000-00001F000000}"/>
    <cellStyle name="Porcentaje 4" xfId="31" xr:uid="{00000000-0005-0000-0000-000020000000}"/>
  </cellStyles>
  <dxfs count="134">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ont>
        <color theme="0"/>
      </font>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0" tint="-0.24994659260841701"/>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s>
  <tableStyles count="0" defaultTableStyle="TableStyleMedium9" defaultPivotStyle="PivotStyleMedium4"/>
  <colors>
    <mruColors>
      <color rgb="FFFF9900"/>
      <color rgb="FF00FF00"/>
      <color rgb="FF00CC66"/>
      <color rgb="FFED720D"/>
      <color rgb="FFE67300"/>
      <color rgb="FFF67B00"/>
      <color rgb="FFFF7D00"/>
      <color rgb="FFFA7D00"/>
      <color rgb="FFFF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'Resúmen Desempeño de Procesos'!$C$9</c:f>
              <c:strCache>
                <c:ptCount val="1"/>
                <c:pt idx="0">
                  <c:v>Desempeño 
Promedio 
Año 2020</c:v>
                </c:pt>
              </c:strCache>
            </c:strRef>
          </c:tx>
          <c:spPr>
            <a:solidFill>
              <a:srgbClr val="00B0F0"/>
            </a:solidFill>
            <a:ln>
              <a:noFill/>
            </a:ln>
            <a:effectLst/>
            <a:scene3d>
              <a:camera prst="orthographicFront"/>
              <a:lightRig rig="threePt" dir="t"/>
            </a:scene3d>
            <a:sp3d>
              <a:bevelT/>
            </a:sp3d>
          </c:spPr>
          <c:invertIfNegative val="0"/>
          <c:dPt>
            <c:idx val="7"/>
            <c:invertIfNegative val="0"/>
            <c:bubble3D val="0"/>
            <c:spPr>
              <a:solidFill>
                <a:srgbClr val="FF9900"/>
              </a:solidFill>
              <a:ln>
                <a:noFill/>
              </a:ln>
              <a:effectLst/>
              <a:scene3d>
                <a:camera prst="orthographicFront"/>
                <a:lightRig rig="threePt" dir="t"/>
              </a:scene3d>
              <a:sp3d>
                <a:bevelT/>
              </a:sp3d>
            </c:spPr>
            <c:extLst>
              <c:ext xmlns:c16="http://schemas.microsoft.com/office/drawing/2014/chart" uri="{C3380CC4-5D6E-409C-BE32-E72D297353CC}">
                <c16:uniqueId val="{00000000-61C0-4C61-A862-9B0275EDCD68}"/>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'Resúmen Desempeño de Procesos'!$B$10:$B$25</c:f>
              <c:strCache>
                <c:ptCount val="16"/>
                <c:pt idx="0">
                  <c:v>01 Direccionamiento Estratégico</c:v>
                </c:pt>
                <c:pt idx="1">
                  <c:v>02 Gestión del Conocimiento e Innovación</c:v>
                </c:pt>
                <c:pt idx="2">
                  <c:v>03 Direccionamiento TIC</c:v>
                </c:pt>
                <c:pt idx="3">
                  <c:v>04 Comunicación Estratégica</c:v>
                </c:pt>
                <c:pt idx="4">
                  <c:v>14 Servicio al Usuario</c:v>
                </c:pt>
                <c:pt idx="5">
                  <c:v>05 Promoción y Defensa de Derechos</c:v>
                </c:pt>
                <c:pt idx="6">
                  <c:v>06 Prevención y Control de la Función Pública</c:v>
                </c:pt>
                <c:pt idx="7">
                  <c:v>07 Potestad Disciplinaria</c:v>
                </c:pt>
                <c:pt idx="8">
                  <c:v>08 Gestión del Talento Humano</c:v>
                </c:pt>
                <c:pt idx="9">
                  <c:v>09 Gestión Administrativa</c:v>
                </c:pt>
                <c:pt idx="10">
                  <c:v>10 Gestión Financiera</c:v>
                </c:pt>
                <c:pt idx="11">
                  <c:v>11 Gestión Contractual</c:v>
                </c:pt>
                <c:pt idx="12">
                  <c:v>12 Gestión Documental</c:v>
                </c:pt>
                <c:pt idx="13">
                  <c:v>13 Gestión Jurídica</c:v>
                </c:pt>
                <c:pt idx="14">
                  <c:v>15 Control Disciplinario Interno</c:v>
                </c:pt>
                <c:pt idx="15">
                  <c:v>16 Evaluación y Seguimiento</c:v>
                </c:pt>
              </c:strCache>
            </c:strRef>
          </c:cat>
          <c:val>
            <c:numRef>
              <c:f>'Resúmen Desempeño de Procesos'!$C$10:$C$25</c:f>
              <c:numCache>
                <c:formatCode>0.0%</c:formatCode>
                <c:ptCount val="16"/>
                <c:pt idx="0">
                  <c:v>0.99921666666666675</c:v>
                </c:pt>
                <c:pt idx="1">
                  <c:v>1.675</c:v>
                </c:pt>
                <c:pt idx="2">
                  <c:v>1.0263394216133941</c:v>
                </c:pt>
                <c:pt idx="3">
                  <c:v>1</c:v>
                </c:pt>
                <c:pt idx="4">
                  <c:v>1</c:v>
                </c:pt>
                <c:pt idx="5">
                  <c:v>1.3845041007222141</c:v>
                </c:pt>
                <c:pt idx="6">
                  <c:v>1.0134631642512077</c:v>
                </c:pt>
                <c:pt idx="7">
                  <c:v>0.78805555555555562</c:v>
                </c:pt>
                <c:pt idx="8">
                  <c:v>1.0298250115624812</c:v>
                </c:pt>
                <c:pt idx="9">
                  <c:v>1.0898173853437012</c:v>
                </c:pt>
                <c:pt idx="10">
                  <c:v>0.99099999999999999</c:v>
                </c:pt>
                <c:pt idx="11">
                  <c:v>1.0073684210526317</c:v>
                </c:pt>
                <c:pt idx="12">
                  <c:v>1.1822222222222223</c:v>
                </c:pt>
                <c:pt idx="13">
                  <c:v>1</c:v>
                </c:pt>
                <c:pt idx="14">
                  <c:v>1.1489130434782608</c:v>
                </c:pt>
                <c:pt idx="15">
                  <c:v>1</c:v>
                </c:pt>
              </c:numCache>
            </c:numRef>
          </c:val>
          <c:extLst>
            <c:ext xmlns:c16="http://schemas.microsoft.com/office/drawing/2014/chart" uri="{C3380CC4-5D6E-409C-BE32-E72D297353CC}">
              <c16:uniqueId val="{00000000-8725-43A5-98D0-ED2E6559A2B0}"/>
            </c:ext>
          </c:extLst>
        </c:ser>
        <c:dLbls>
          <c:showLegendKey val="0"/>
          <c:showVal val="0"/>
          <c:showCatName val="0"/>
          <c:showSerName val="0"/>
          <c:showPercent val="0"/>
          <c:showBubbleSize val="0"/>
        </c:dLbls>
        <c:gapWidth val="182"/>
        <c:axId val="514618896"/>
        <c:axId val="514625136"/>
      </c:barChart>
      <c:catAx>
        <c:axId val="514618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crossAx val="514625136"/>
        <c:crosses val="autoZero"/>
        <c:auto val="1"/>
        <c:lblAlgn val="ctr"/>
        <c:lblOffset val="100"/>
        <c:noMultiLvlLbl val="0"/>
      </c:catAx>
      <c:valAx>
        <c:axId val="51462513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4618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313763</xdr:colOff>
      <xdr:row>3</xdr:row>
      <xdr:rowOff>123263</xdr:rowOff>
    </xdr:from>
    <xdr:to>
      <xdr:col>7</xdr:col>
      <xdr:colOff>11206</xdr:colOff>
      <xdr:row>26</xdr:row>
      <xdr:rowOff>78440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402D1D16-03AC-4EDE-AD0B-4DF293E5A0A8}"/>
            </a:ext>
          </a:extLst>
        </xdr:cNvPr>
        <xdr:cNvSpPr>
          <a:spLocks noChangeArrowheads="1"/>
        </xdr:cNvSpPr>
      </xdr:nvSpPr>
      <xdr:spPr bwMode="auto">
        <a:xfrm>
          <a:off x="200025" y="1419225"/>
          <a:ext cx="17125950" cy="14611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749754</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CA27DA0-A8A4-48E5-9316-1945355DFCB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54453" y="369094"/>
          <a:ext cx="1809751" cy="62490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8C5A696A-BF36-493B-9786-8FF880524280}"/>
            </a:ext>
          </a:extLst>
        </xdr:cNvPr>
        <xdr:cNvSpPr>
          <a:spLocks noChangeArrowheads="1"/>
        </xdr:cNvSpPr>
      </xdr:nvSpPr>
      <xdr:spPr bwMode="auto">
        <a:xfrm>
          <a:off x="285750" y="1419225"/>
          <a:ext cx="18116550" cy="11087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2314575</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28CEFBC-3B85-45CE-9EDA-6316EB63A3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2260147" cy="624907"/>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4EE30E02-AD12-4946-B755-D953199A4ECE}"/>
            </a:ext>
          </a:extLst>
        </xdr:cNvPr>
        <xdr:cNvSpPr>
          <a:spLocks noChangeArrowheads="1"/>
        </xdr:cNvSpPr>
      </xdr:nvSpPr>
      <xdr:spPr bwMode="auto">
        <a:xfrm>
          <a:off x="285750" y="1419225"/>
          <a:ext cx="16630650" cy="165258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1748118</xdr:colOff>
      <xdr:row>5</xdr:row>
      <xdr:rowOff>22412</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4B7EAA5B-5396-45E4-A38D-56E7406C4D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5781" y="402712"/>
          <a:ext cx="1693690" cy="63943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26918B5F-4566-4DB5-9876-99FB34BE247E}"/>
            </a:ext>
          </a:extLst>
        </xdr:cNvPr>
        <xdr:cNvSpPr>
          <a:spLocks noChangeArrowheads="1"/>
        </xdr:cNvSpPr>
      </xdr:nvSpPr>
      <xdr:spPr bwMode="auto">
        <a:xfrm>
          <a:off x="285750" y="1419225"/>
          <a:ext cx="15497175" cy="13049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238125</xdr:colOff>
      <xdr:row>1</xdr:row>
      <xdr:rowOff>169070</xdr:rowOff>
    </xdr:from>
    <xdr:to>
      <xdr:col>1</xdr:col>
      <xdr:colOff>2124075</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7230925-09A4-48E2-B253-38436AD3BBD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3875" y="397670"/>
          <a:ext cx="1885950" cy="61198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9F7CB373-92BD-4A04-A611-10FF24542B48}"/>
            </a:ext>
          </a:extLst>
        </xdr:cNvPr>
        <xdr:cNvSpPr>
          <a:spLocks noChangeArrowheads="1"/>
        </xdr:cNvSpPr>
      </xdr:nvSpPr>
      <xdr:spPr bwMode="auto">
        <a:xfrm>
          <a:off x="285750" y="1419225"/>
          <a:ext cx="19469100" cy="113157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314202</xdr:colOff>
      <xdr:row>1</xdr:row>
      <xdr:rowOff>143958</xdr:rowOff>
    </xdr:from>
    <xdr:to>
      <xdr:col>1</xdr:col>
      <xdr:colOff>2805546</xdr:colOff>
      <xdr:row>5</xdr:row>
      <xdr:rowOff>17318</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BE3C7E6-7ECB-43F3-8FC0-29148F676AD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08611" y="369094"/>
          <a:ext cx="2491344" cy="68731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C6041A6A-8CE3-4D80-8313-595066D282C8}"/>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178595</xdr:rowOff>
    </xdr:from>
    <xdr:to>
      <xdr:col>1</xdr:col>
      <xdr:colOff>1819275</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DA6A9BC-E00A-4486-928B-DC5BEF28646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5"/>
          <a:ext cx="1764847" cy="621506"/>
        </a:xfrm>
        <a:prstGeom prst="rect">
          <a:avLst/>
        </a:prstGeom>
        <a:noFill/>
        <a:ln>
          <a:noFill/>
        </a:ln>
      </xdr:spPr>
    </xdr:pic>
    <xdr:clientData/>
  </xdr:twoCellAnchor>
  <xdr:twoCellAnchor>
    <xdr:from>
      <xdr:col>1</xdr:col>
      <xdr:colOff>0</xdr:colOff>
      <xdr:row>7</xdr:row>
      <xdr:rowOff>0</xdr:rowOff>
    </xdr:from>
    <xdr:to>
      <xdr:col>10</xdr:col>
      <xdr:colOff>0</xdr:colOff>
      <xdr:row>15</xdr:row>
      <xdr:rowOff>0</xdr:rowOff>
    </xdr:to>
    <xdr:sp macro="" textlink="">
      <xdr:nvSpPr>
        <xdr:cNvPr id="4" name="AutoShape 23">
          <a:extLst>
            <a:ext uri="{FF2B5EF4-FFF2-40B4-BE49-F238E27FC236}">
              <a16:creationId xmlns:a16="http://schemas.microsoft.com/office/drawing/2014/main" id="{925EABD1-D34F-4934-9236-ECB6AE84D2A7}"/>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4126BA05-26C5-4DA4-8C51-9998DBA548BF}"/>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1657351</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AD92B0F-147F-48BB-831D-704369A034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602922" cy="573881"/>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20</xdr:row>
      <xdr:rowOff>0</xdr:rowOff>
    </xdr:to>
    <xdr:sp macro="" textlink="">
      <xdr:nvSpPr>
        <xdr:cNvPr id="2" name="AutoShape 23">
          <a:extLst>
            <a:ext uri="{FF2B5EF4-FFF2-40B4-BE49-F238E27FC236}">
              <a16:creationId xmlns:a16="http://schemas.microsoft.com/office/drawing/2014/main" id="{F9A7ECC3-9013-48C6-A72E-2AF362AA71BD}"/>
            </a:ext>
          </a:extLst>
        </xdr:cNvPr>
        <xdr:cNvSpPr>
          <a:spLocks noChangeArrowheads="1"/>
        </xdr:cNvSpPr>
      </xdr:nvSpPr>
      <xdr:spPr bwMode="auto">
        <a:xfrm>
          <a:off x="285750" y="1419225"/>
          <a:ext cx="16659225" cy="235648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83004</xdr:colOff>
      <xdr:row>1</xdr:row>
      <xdr:rowOff>178595</xdr:rowOff>
    </xdr:from>
    <xdr:to>
      <xdr:col>1</xdr:col>
      <xdr:colOff>1781176</xdr:colOff>
      <xdr:row>5</xdr:row>
      <xdr:rowOff>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1BDD1A7E-0330-49FC-8639-E0BE3ED0CF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68754" y="407195"/>
          <a:ext cx="1698172" cy="602456"/>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57150</xdr:colOff>
      <xdr:row>1</xdr:row>
      <xdr:rowOff>190500</xdr:rowOff>
    </xdr:from>
    <xdr:to>
      <xdr:col>2</xdr:col>
      <xdr:colOff>914401</xdr:colOff>
      <xdr:row>5</xdr:row>
      <xdr:rowOff>15307</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85750"/>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B89A969C-E698-413B-97F9-5E55ECB24792}"/>
            </a:ext>
          </a:extLst>
        </xdr:cNvPr>
        <xdr:cNvSpPr>
          <a:spLocks noChangeArrowheads="1"/>
        </xdr:cNvSpPr>
      </xdr:nvSpPr>
      <xdr:spPr bwMode="auto">
        <a:xfrm>
          <a:off x="285750" y="1438275"/>
          <a:ext cx="17564100" cy="10287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121104</xdr:colOff>
      <xdr:row>2</xdr:row>
      <xdr:rowOff>26194</xdr:rowOff>
    </xdr:from>
    <xdr:to>
      <xdr:col>1</xdr:col>
      <xdr:colOff>1771650</xdr:colOff>
      <xdr:row>4</xdr:row>
      <xdr:rowOff>171450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916984B-0204-488F-9D87-2E303C7A75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406854" y="454819"/>
          <a:ext cx="1650546" cy="53578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F82E81BD-F0F2-42F5-85BA-1970B1695A19}"/>
            </a:ext>
          </a:extLst>
        </xdr:cNvPr>
        <xdr:cNvSpPr>
          <a:spLocks noChangeArrowheads="1"/>
        </xdr:cNvSpPr>
      </xdr:nvSpPr>
      <xdr:spPr bwMode="auto">
        <a:xfrm>
          <a:off x="285750" y="1438275"/>
          <a:ext cx="19154775" cy="79914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345782</xdr:colOff>
      <xdr:row>1</xdr:row>
      <xdr:rowOff>156884</xdr:rowOff>
    </xdr:from>
    <xdr:to>
      <xdr:col>1</xdr:col>
      <xdr:colOff>3286125</xdr:colOff>
      <xdr:row>5</xdr:row>
      <xdr:rowOff>68957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F613B054-8A00-4FF7-B093-C0F73EF34CC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31532" y="385484"/>
          <a:ext cx="2940343" cy="70264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398E01CB-48E9-4C39-8E45-FBD656E4AE70}"/>
            </a:ext>
          </a:extLst>
        </xdr:cNvPr>
        <xdr:cNvSpPr>
          <a:spLocks noChangeArrowheads="1"/>
        </xdr:cNvSpPr>
      </xdr:nvSpPr>
      <xdr:spPr bwMode="auto">
        <a:xfrm>
          <a:off x="285750" y="1419225"/>
          <a:ext cx="16659225" cy="157734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178595</xdr:rowOff>
    </xdr:from>
    <xdr:to>
      <xdr:col>1</xdr:col>
      <xdr:colOff>1752601</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BB3C021-1E59-49C2-A017-760B2471291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5"/>
          <a:ext cx="1698172" cy="62150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071" name="Rectangle 23" hidden="1">
          <a:extLst>
            <a:ext uri="{FF2B5EF4-FFF2-40B4-BE49-F238E27FC236}">
              <a16:creationId xmlns:a16="http://schemas.microsoft.com/office/drawing/2014/main" id="{00000000-0008-0000-0E00-000017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0E00-000002000000}"/>
            </a:ext>
          </a:extLst>
        </xdr:cNvPr>
        <xdr:cNvSpPr>
          <a:spLocks noChangeArrowheads="1"/>
        </xdr:cNvSpPr>
      </xdr:nvSpPr>
      <xdr:spPr bwMode="auto">
        <a:xfrm>
          <a:off x="0" y="0"/>
          <a:ext cx="27327225" cy="65627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4</xdr:row>
      <xdr:rowOff>177078</xdr:rowOff>
    </xdr:to>
    <xdr:pic>
      <xdr:nvPicPr>
        <xdr:cNvPr id="6" name="Picture 4" descr="Macintosh HD:Users:personeriabogota:Documents:Personeria:2016:Julio:Propuesta logo:Logo Nuevo Personeria cuadricula-02.png">
          <a:extLst>
            <a:ext uri="{FF2B5EF4-FFF2-40B4-BE49-F238E27FC236}">
              <a16:creationId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26</xdr:row>
      <xdr:rowOff>0</xdr:rowOff>
    </xdr:to>
    <xdr:sp macro="" textlink="">
      <xdr:nvSpPr>
        <xdr:cNvPr id="2" name="AutoShape 23">
          <a:extLst>
            <a:ext uri="{FF2B5EF4-FFF2-40B4-BE49-F238E27FC236}">
              <a16:creationId xmlns:a16="http://schemas.microsoft.com/office/drawing/2014/main" id="{F318A8C8-2721-4660-923E-9E3769D78F6C}"/>
            </a:ext>
          </a:extLst>
        </xdr:cNvPr>
        <xdr:cNvSpPr>
          <a:spLocks noChangeArrowheads="1"/>
        </xdr:cNvSpPr>
      </xdr:nvSpPr>
      <xdr:spPr bwMode="auto">
        <a:xfrm>
          <a:off x="447675" y="1419225"/>
          <a:ext cx="23841075" cy="274986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247650</xdr:colOff>
      <xdr:row>2</xdr:row>
      <xdr:rowOff>0</xdr:rowOff>
    </xdr:from>
    <xdr:to>
      <xdr:col>1</xdr:col>
      <xdr:colOff>2190750</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4397904-C4DB-4AED-A6AF-F77B3E0EF0A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95325" y="428625"/>
          <a:ext cx="1943100" cy="5905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64DBD69E-FE0B-4B3B-8522-75C35408105F}"/>
            </a:ext>
          </a:extLst>
        </xdr:cNvPr>
        <xdr:cNvSpPr>
          <a:spLocks noChangeArrowheads="1"/>
        </xdr:cNvSpPr>
      </xdr:nvSpPr>
      <xdr:spPr bwMode="auto">
        <a:xfrm>
          <a:off x="285750" y="1419225"/>
          <a:ext cx="16630650" cy="13544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1790699</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AFDB018-AA26-4F47-85FD-10BCD74925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736271" cy="61198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63977ADF-3AC2-4C36-9748-9A6F2901C373}"/>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102053</xdr:colOff>
      <xdr:row>2</xdr:row>
      <xdr:rowOff>7144</xdr:rowOff>
    </xdr:from>
    <xdr:to>
      <xdr:col>1</xdr:col>
      <xdr:colOff>1809750</xdr:colOff>
      <xdr:row>5</xdr:row>
      <xdr:rowOff>9525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F8219F5-BC93-4C98-B93D-AEC1D166C4F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7803" y="435769"/>
          <a:ext cx="1707697" cy="59293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25</xdr:row>
      <xdr:rowOff>0</xdr:rowOff>
    </xdr:to>
    <xdr:sp macro="" textlink="">
      <xdr:nvSpPr>
        <xdr:cNvPr id="2" name="AutoShape 23">
          <a:extLst>
            <a:ext uri="{FF2B5EF4-FFF2-40B4-BE49-F238E27FC236}">
              <a16:creationId xmlns:a16="http://schemas.microsoft.com/office/drawing/2014/main" id="{C2ACF43D-7D1A-42D3-AC6A-E19FA8D7FCA5}"/>
            </a:ext>
          </a:extLst>
        </xdr:cNvPr>
        <xdr:cNvSpPr>
          <a:spLocks noChangeArrowheads="1"/>
        </xdr:cNvSpPr>
      </xdr:nvSpPr>
      <xdr:spPr bwMode="auto">
        <a:xfrm>
          <a:off x="285750" y="1419225"/>
          <a:ext cx="17106900" cy="291560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233723</xdr:colOff>
      <xdr:row>1</xdr:row>
      <xdr:rowOff>189799</xdr:rowOff>
    </xdr:from>
    <xdr:to>
      <xdr:col>1</xdr:col>
      <xdr:colOff>2510118</xdr:colOff>
      <xdr:row>5</xdr:row>
      <xdr:rowOff>56029</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6B61C4C-4106-47EA-8C32-B349CBFEAD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5076" y="380299"/>
          <a:ext cx="2276395" cy="71787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H25"/>
  <sheetViews>
    <sheetView workbookViewId="0">
      <selection activeCell="A4" sqref="A4"/>
    </sheetView>
  </sheetViews>
  <sheetFormatPr baseColWidth="10" defaultRowHeight="12.75"/>
  <cols>
    <col min="1" max="1" width="36.28515625" style="258" customWidth="1"/>
    <col min="2" max="2" width="11.42578125" style="258"/>
    <col min="3" max="3" width="39.85546875" style="258" customWidth="1"/>
    <col min="4" max="7" width="11.42578125" style="258"/>
    <col min="8" max="8" width="27.140625" style="265" customWidth="1"/>
    <col min="9" max="16384" width="11.42578125" style="258"/>
  </cols>
  <sheetData>
    <row r="1" spans="1:8" ht="22.5">
      <c r="A1" s="257" t="s">
        <v>566</v>
      </c>
      <c r="B1" s="257" t="s">
        <v>670</v>
      </c>
      <c r="C1" s="257" t="s">
        <v>671</v>
      </c>
      <c r="D1" s="257" t="s">
        <v>672</v>
      </c>
      <c r="E1" s="257" t="s">
        <v>673</v>
      </c>
      <c r="F1" s="257" t="s">
        <v>674</v>
      </c>
      <c r="H1" s="259" t="s">
        <v>699</v>
      </c>
    </row>
    <row r="2" spans="1:8">
      <c r="A2" s="260" t="s">
        <v>570</v>
      </c>
      <c r="B2" s="260" t="s">
        <v>675</v>
      </c>
      <c r="C2" s="261" t="s">
        <v>676</v>
      </c>
      <c r="D2" s="262" t="s">
        <v>677</v>
      </c>
      <c r="E2" s="262" t="s">
        <v>569</v>
      </c>
      <c r="F2" s="262" t="s">
        <v>678</v>
      </c>
      <c r="H2" s="263" t="s">
        <v>691</v>
      </c>
    </row>
    <row r="3" spans="1:8">
      <c r="A3" s="260" t="s">
        <v>571</v>
      </c>
      <c r="B3" s="260" t="s">
        <v>675</v>
      </c>
      <c r="C3" s="261" t="s">
        <v>680</v>
      </c>
      <c r="D3" s="262" t="s">
        <v>681</v>
      </c>
      <c r="E3" s="262" t="s">
        <v>682</v>
      </c>
      <c r="F3" s="262" t="s">
        <v>683</v>
      </c>
      <c r="H3" s="263" t="s">
        <v>700</v>
      </c>
    </row>
    <row r="4" spans="1:8" ht="15">
      <c r="A4" s="260" t="s">
        <v>572</v>
      </c>
      <c r="B4" s="260" t="s">
        <v>675</v>
      </c>
      <c r="C4" s="261" t="s">
        <v>685</v>
      </c>
      <c r="D4" s="262" t="s">
        <v>686</v>
      </c>
      <c r="E4" s="262" t="s">
        <v>687</v>
      </c>
      <c r="F4" s="264"/>
      <c r="H4" s="265" t="s">
        <v>662</v>
      </c>
    </row>
    <row r="5" spans="1:8" ht="15">
      <c r="A5" s="260" t="s">
        <v>573</v>
      </c>
      <c r="B5" s="260" t="s">
        <v>675</v>
      </c>
      <c r="C5" s="260" t="s">
        <v>688</v>
      </c>
      <c r="D5" s="264"/>
      <c r="E5" s="264"/>
      <c r="F5" s="264"/>
      <c r="H5" s="265" t="s">
        <v>701</v>
      </c>
    </row>
    <row r="6" spans="1:8" ht="15">
      <c r="A6" s="260" t="s">
        <v>577</v>
      </c>
      <c r="B6" s="260" t="s">
        <v>689</v>
      </c>
      <c r="C6" s="261" t="s">
        <v>690</v>
      </c>
      <c r="D6" s="264"/>
      <c r="E6" s="264"/>
      <c r="F6" s="264"/>
      <c r="H6" s="265" t="s">
        <v>679</v>
      </c>
    </row>
    <row r="7" spans="1:8" ht="15">
      <c r="A7" s="260" t="s">
        <v>692</v>
      </c>
      <c r="B7" s="260" t="s">
        <v>689</v>
      </c>
      <c r="C7" s="261" t="s">
        <v>693</v>
      </c>
      <c r="D7" s="264"/>
      <c r="E7" s="264"/>
      <c r="F7" s="264"/>
    </row>
    <row r="8" spans="1:8" ht="15">
      <c r="A8" s="260" t="s">
        <v>579</v>
      </c>
      <c r="B8" s="260" t="s">
        <v>689</v>
      </c>
      <c r="C8" s="261" t="s">
        <v>694</v>
      </c>
      <c r="D8" s="264"/>
      <c r="E8" s="264"/>
      <c r="F8" s="264"/>
    </row>
    <row r="9" spans="1:8" ht="15">
      <c r="A9" s="260" t="s">
        <v>581</v>
      </c>
      <c r="B9" s="260" t="s">
        <v>695</v>
      </c>
      <c r="C9" s="261" t="s">
        <v>696</v>
      </c>
      <c r="D9" s="264"/>
      <c r="E9" s="264"/>
      <c r="F9" s="264"/>
    </row>
    <row r="10" spans="1:8" ht="15">
      <c r="A10" s="260" t="s">
        <v>582</v>
      </c>
      <c r="B10" s="260" t="s">
        <v>695</v>
      </c>
      <c r="C10" s="264"/>
      <c r="D10" s="264"/>
      <c r="E10" s="264"/>
      <c r="F10" s="264"/>
    </row>
    <row r="11" spans="1:8" ht="15">
      <c r="A11" s="260" t="s">
        <v>583</v>
      </c>
      <c r="B11" s="260" t="s">
        <v>695</v>
      </c>
      <c r="C11" s="264"/>
      <c r="D11" s="264"/>
      <c r="E11" s="264"/>
      <c r="F11" s="264"/>
    </row>
    <row r="12" spans="1:8" ht="15">
      <c r="A12" s="260" t="s">
        <v>584</v>
      </c>
      <c r="B12" s="260" t="s">
        <v>695</v>
      </c>
      <c r="C12" s="261"/>
      <c r="D12" s="264"/>
      <c r="E12" s="264"/>
      <c r="F12" s="264"/>
    </row>
    <row r="13" spans="1:8" ht="15">
      <c r="A13" s="260" t="s">
        <v>585</v>
      </c>
      <c r="B13" s="260" t="s">
        <v>697</v>
      </c>
      <c r="C13" s="261"/>
      <c r="D13" s="264"/>
      <c r="E13" s="264"/>
      <c r="F13" s="264"/>
    </row>
    <row r="14" spans="1:8" ht="15">
      <c r="A14" s="260" t="s">
        <v>586</v>
      </c>
      <c r="B14" s="260" t="s">
        <v>695</v>
      </c>
      <c r="C14" s="261"/>
      <c r="D14" s="264"/>
      <c r="E14" s="264"/>
      <c r="F14" s="264"/>
    </row>
    <row r="15" spans="1:8" ht="15">
      <c r="A15" s="260" t="s">
        <v>574</v>
      </c>
      <c r="B15" s="260" t="s">
        <v>675</v>
      </c>
      <c r="C15" s="261"/>
      <c r="D15" s="264"/>
      <c r="E15" s="264"/>
      <c r="F15" s="264"/>
    </row>
    <row r="16" spans="1:8" ht="15">
      <c r="A16" s="260" t="s">
        <v>588</v>
      </c>
      <c r="B16" s="260" t="s">
        <v>697</v>
      </c>
      <c r="C16" s="261"/>
      <c r="D16" s="264"/>
      <c r="E16" s="264"/>
      <c r="F16" s="264"/>
    </row>
    <row r="17" spans="1:6" ht="15">
      <c r="A17" s="260" t="s">
        <v>589</v>
      </c>
      <c r="B17" s="260" t="s">
        <v>697</v>
      </c>
      <c r="C17" s="261"/>
      <c r="D17" s="264"/>
      <c r="E17" s="264"/>
      <c r="F17" s="264"/>
    </row>
    <row r="20" spans="1:6" ht="15">
      <c r="A20" s="266" t="s">
        <v>684</v>
      </c>
      <c r="B20" s="264"/>
      <c r="C20" s="264"/>
      <c r="D20" s="264"/>
      <c r="E20" s="264"/>
      <c r="F20" s="264"/>
    </row>
    <row r="21" spans="1:6" ht="15">
      <c r="A21" s="260" t="s">
        <v>575</v>
      </c>
      <c r="B21" s="264"/>
      <c r="C21" s="264"/>
      <c r="D21" s="264"/>
      <c r="E21" s="264"/>
      <c r="F21" s="264"/>
    </row>
    <row r="22" spans="1:6" ht="15">
      <c r="A22" s="264"/>
      <c r="B22" s="264"/>
      <c r="C22" s="264"/>
      <c r="D22" s="264"/>
      <c r="E22" s="264"/>
      <c r="F22" s="264"/>
    </row>
    <row r="23" spans="1:6" ht="15">
      <c r="A23" s="264"/>
      <c r="B23" s="264"/>
      <c r="C23" s="264"/>
      <c r="D23" s="264"/>
      <c r="E23" s="264"/>
      <c r="F23" s="264"/>
    </row>
    <row r="24" spans="1:6">
      <c r="A24" s="267"/>
      <c r="B24" s="267"/>
      <c r="C24" s="267"/>
      <c r="D24" s="268"/>
      <c r="E24" s="268"/>
      <c r="F24" s="268"/>
    </row>
    <row r="25" spans="1:6">
      <c r="A25" s="267"/>
      <c r="B25" s="267"/>
      <c r="C25" s="267"/>
      <c r="D25" s="268"/>
      <c r="E25" s="268"/>
      <c r="F25" s="268"/>
    </row>
  </sheetData>
  <sheetProtection algorithmName="SHA-512" hashValue="YbtBuMk6InJpUaPvEoxiHm3oVpa0BEj4uIWhisNmQf/O7mMP9edhseOTqogsLbILgDI31k5CCMqg+i4Aw4Kgng==" saltValue="eCGRCrZHKsgCuPSwRfO57g==" spinCount="100000" sheet="1" objects="1" scenarios="1" select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1:AS30"/>
  <sheetViews>
    <sheetView showGridLines="0" topLeftCell="A16" zoomScale="55" zoomScaleNormal="55" workbookViewId="0">
      <selection activeCell="H23" sqref="H23"/>
    </sheetView>
  </sheetViews>
  <sheetFormatPr baseColWidth="10" defaultColWidth="17.28515625" defaultRowHeight="15" customHeight="1"/>
  <cols>
    <col min="1" max="1" width="4.28515625" style="89" customWidth="1"/>
    <col min="2" max="2" width="28.42578125" style="86" customWidth="1"/>
    <col min="3" max="3" width="33.28515625" style="86" customWidth="1"/>
    <col min="4" max="4" width="26" style="87" customWidth="1"/>
    <col min="5" max="5" width="30.7109375" style="86" customWidth="1"/>
    <col min="6" max="6" width="29.5703125" style="86" customWidth="1"/>
    <col min="7" max="7" width="24.28515625" style="86" customWidth="1"/>
    <col min="8" max="8" width="28.5703125" style="86" customWidth="1"/>
    <col min="9" max="9" width="50" style="86" customWidth="1"/>
    <col min="10" max="10" width="28.5703125" style="88" customWidth="1"/>
    <col min="11" max="17" width="14.28515625" style="89" customWidth="1"/>
    <col min="18" max="18" width="20.28515625" style="89" customWidth="1"/>
    <col min="19" max="42" width="14.28515625" style="89" customWidth="1"/>
    <col min="43" max="43" width="20.28515625" style="89" customWidth="1"/>
    <col min="44" max="44" width="20.42578125" style="89" customWidth="1"/>
    <col min="45" max="45" width="25.42578125" style="89" customWidth="1"/>
    <col min="46" max="16384" width="17.28515625" style="89"/>
  </cols>
  <sheetData>
    <row r="1" spans="2:45" ht="15" customHeight="1" thickBot="1"/>
    <row r="2" spans="2:45" ht="16.5" customHeight="1">
      <c r="B2" s="658"/>
      <c r="C2" s="661" t="s">
        <v>59</v>
      </c>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3"/>
      <c r="AR2" s="670" t="s">
        <v>39</v>
      </c>
      <c r="AS2" s="671"/>
    </row>
    <row r="3" spans="2:45" ht="16.5" customHeight="1">
      <c r="B3" s="659"/>
      <c r="C3" s="726"/>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6"/>
      <c r="AR3" s="90" t="s">
        <v>36</v>
      </c>
      <c r="AS3" s="533" t="s">
        <v>37</v>
      </c>
    </row>
    <row r="4" spans="2:45" ht="16.5" customHeight="1">
      <c r="B4" s="659"/>
      <c r="C4" s="726"/>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6"/>
      <c r="AR4" s="92">
        <v>3</v>
      </c>
      <c r="AS4" s="93" t="s">
        <v>102</v>
      </c>
    </row>
    <row r="5" spans="2:45" ht="16.5" customHeight="1">
      <c r="B5" s="659"/>
      <c r="C5" s="726"/>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c r="AR5" s="724" t="s">
        <v>38</v>
      </c>
      <c r="AS5" s="725"/>
    </row>
    <row r="6" spans="2:45" ht="16.5" customHeight="1" thickBot="1">
      <c r="B6" s="660"/>
      <c r="C6" s="667"/>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c r="AR6" s="674" t="s">
        <v>100</v>
      </c>
      <c r="AS6" s="675"/>
    </row>
    <row r="7" spans="2:45" ht="14.25" customHeight="1">
      <c r="B7" s="94"/>
      <c r="C7" s="94"/>
      <c r="D7" s="95"/>
      <c r="E7" s="94"/>
      <c r="F7" s="94"/>
      <c r="G7" s="94"/>
      <c r="H7" s="94"/>
      <c r="I7" s="94"/>
      <c r="J7" s="96"/>
      <c r="AR7" s="730"/>
      <c r="AS7" s="731"/>
    </row>
    <row r="8" spans="2:45" ht="15" customHeight="1">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3.5" customHeight="1">
      <c r="B9" s="718" t="s">
        <v>35</v>
      </c>
      <c r="C9" s="718" t="s">
        <v>34</v>
      </c>
      <c r="D9" s="718" t="s">
        <v>63</v>
      </c>
      <c r="E9" s="718" t="s">
        <v>66</v>
      </c>
      <c r="F9" s="718" t="s">
        <v>67</v>
      </c>
      <c r="G9" s="718" t="s">
        <v>31</v>
      </c>
      <c r="H9" s="718" t="s">
        <v>25</v>
      </c>
      <c r="I9" s="718" t="s">
        <v>95</v>
      </c>
      <c r="J9" s="718"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716" t="s">
        <v>6</v>
      </c>
      <c r="AR9" s="717" t="s">
        <v>7</v>
      </c>
      <c r="AS9" s="717" t="s">
        <v>24</v>
      </c>
    </row>
    <row r="10" spans="2:45" ht="13.5" customHeight="1">
      <c r="B10" s="718"/>
      <c r="C10" s="718"/>
      <c r="D10" s="718"/>
      <c r="E10" s="718"/>
      <c r="F10" s="718"/>
      <c r="G10" s="718"/>
      <c r="H10" s="718"/>
      <c r="I10" s="718"/>
      <c r="J10" s="718"/>
      <c r="K10" s="719" t="s">
        <v>26</v>
      </c>
      <c r="L10" s="719"/>
      <c r="M10" s="719"/>
      <c r="N10" s="719"/>
      <c r="O10" s="719"/>
      <c r="P10" s="719"/>
      <c r="Q10" s="719"/>
      <c r="R10" s="719"/>
      <c r="S10" s="719" t="s">
        <v>27</v>
      </c>
      <c r="T10" s="719"/>
      <c r="U10" s="719"/>
      <c r="V10" s="719"/>
      <c r="W10" s="719"/>
      <c r="X10" s="719"/>
      <c r="Y10" s="719"/>
      <c r="Z10" s="719"/>
      <c r="AA10" s="719" t="s">
        <v>28</v>
      </c>
      <c r="AB10" s="719"/>
      <c r="AC10" s="719"/>
      <c r="AD10" s="719"/>
      <c r="AE10" s="719"/>
      <c r="AF10" s="719"/>
      <c r="AG10" s="719"/>
      <c r="AH10" s="719"/>
      <c r="AI10" s="719" t="s">
        <v>29</v>
      </c>
      <c r="AJ10" s="719"/>
      <c r="AK10" s="719"/>
      <c r="AL10" s="719"/>
      <c r="AM10" s="719"/>
      <c r="AN10" s="719"/>
      <c r="AO10" s="719"/>
      <c r="AP10" s="719"/>
      <c r="AQ10" s="716"/>
      <c r="AR10" s="717"/>
      <c r="AS10" s="717"/>
    </row>
    <row r="11" spans="2:45" ht="17.25" customHeight="1">
      <c r="B11" s="718"/>
      <c r="C11" s="718"/>
      <c r="D11" s="718"/>
      <c r="E11" s="718"/>
      <c r="F11" s="718"/>
      <c r="G11" s="718"/>
      <c r="H11" s="718"/>
      <c r="I11" s="718"/>
      <c r="J11" s="718"/>
      <c r="K11" s="719" t="s">
        <v>8</v>
      </c>
      <c r="L11" s="719"/>
      <c r="M11" s="719" t="s">
        <v>9</v>
      </c>
      <c r="N11" s="719"/>
      <c r="O11" s="732" t="s">
        <v>10</v>
      </c>
      <c r="P11" s="733"/>
      <c r="Q11" s="720" t="s">
        <v>11</v>
      </c>
      <c r="R11" s="721"/>
      <c r="S11" s="719" t="s">
        <v>33</v>
      </c>
      <c r="T11" s="719"/>
      <c r="U11" s="719" t="s">
        <v>12</v>
      </c>
      <c r="V11" s="719"/>
      <c r="W11" s="719" t="s">
        <v>13</v>
      </c>
      <c r="X11" s="719"/>
      <c r="Y11" s="720" t="s">
        <v>11</v>
      </c>
      <c r="Z11" s="721"/>
      <c r="AA11" s="719" t="s">
        <v>14</v>
      </c>
      <c r="AB11" s="719"/>
      <c r="AC11" s="719" t="s">
        <v>15</v>
      </c>
      <c r="AD11" s="719"/>
      <c r="AE11" s="719" t="s">
        <v>16</v>
      </c>
      <c r="AF11" s="719"/>
      <c r="AG11" s="720" t="s">
        <v>11</v>
      </c>
      <c r="AH11" s="721"/>
      <c r="AI11" s="719" t="s">
        <v>17</v>
      </c>
      <c r="AJ11" s="719"/>
      <c r="AK11" s="719" t="s">
        <v>18</v>
      </c>
      <c r="AL11" s="719"/>
      <c r="AM11" s="719" t="s">
        <v>19</v>
      </c>
      <c r="AN11" s="719"/>
      <c r="AO11" s="720" t="s">
        <v>11</v>
      </c>
      <c r="AP11" s="721"/>
      <c r="AQ11" s="716"/>
      <c r="AR11" s="717"/>
      <c r="AS11" s="717"/>
    </row>
    <row r="12" spans="2:45" ht="15.75" customHeight="1">
      <c r="B12" s="652"/>
      <c r="C12" s="652"/>
      <c r="D12" s="652"/>
      <c r="E12" s="652"/>
      <c r="F12" s="652"/>
      <c r="G12" s="652"/>
      <c r="H12" s="652"/>
      <c r="I12" s="652"/>
      <c r="J12" s="652"/>
      <c r="K12" s="22" t="s">
        <v>20</v>
      </c>
      <c r="L12" s="23" t="s">
        <v>21</v>
      </c>
      <c r="M12" s="22" t="s">
        <v>20</v>
      </c>
      <c r="N12" s="23" t="s">
        <v>21</v>
      </c>
      <c r="O12" s="22" t="s">
        <v>20</v>
      </c>
      <c r="P12" s="23" t="s">
        <v>21</v>
      </c>
      <c r="Q12" s="24" t="s">
        <v>20</v>
      </c>
      <c r="R12" s="25" t="s">
        <v>21</v>
      </c>
      <c r="S12" s="22" t="s">
        <v>20</v>
      </c>
      <c r="T12" s="23" t="s">
        <v>21</v>
      </c>
      <c r="U12" s="22" t="s">
        <v>20</v>
      </c>
      <c r="V12" s="23" t="s">
        <v>21</v>
      </c>
      <c r="W12" s="22" t="s">
        <v>20</v>
      </c>
      <c r="X12" s="23" t="s">
        <v>21</v>
      </c>
      <c r="Y12" s="24" t="s">
        <v>20</v>
      </c>
      <c r="Z12" s="25" t="s">
        <v>21</v>
      </c>
      <c r="AA12" s="22" t="s">
        <v>20</v>
      </c>
      <c r="AB12" s="23" t="s">
        <v>21</v>
      </c>
      <c r="AC12" s="22" t="s">
        <v>20</v>
      </c>
      <c r="AD12" s="23" t="s">
        <v>21</v>
      </c>
      <c r="AE12" s="22" t="s">
        <v>20</v>
      </c>
      <c r="AF12" s="23" t="s">
        <v>21</v>
      </c>
      <c r="AG12" s="24" t="s">
        <v>20</v>
      </c>
      <c r="AH12" s="25" t="s">
        <v>21</v>
      </c>
      <c r="AI12" s="22" t="s">
        <v>20</v>
      </c>
      <c r="AJ12" s="23" t="s">
        <v>21</v>
      </c>
      <c r="AK12" s="22" t="s">
        <v>20</v>
      </c>
      <c r="AL12" s="23" t="s">
        <v>21</v>
      </c>
      <c r="AM12" s="22" t="s">
        <v>20</v>
      </c>
      <c r="AN12" s="23" t="s">
        <v>21</v>
      </c>
      <c r="AO12" s="24" t="s">
        <v>20</v>
      </c>
      <c r="AP12" s="25" t="s">
        <v>21</v>
      </c>
      <c r="AQ12" s="716"/>
      <c r="AR12" s="717"/>
      <c r="AS12" s="717"/>
    </row>
    <row r="13" spans="2:45" ht="150" customHeight="1">
      <c r="B13" s="710" t="s">
        <v>286</v>
      </c>
      <c r="C13" s="141" t="s">
        <v>482</v>
      </c>
      <c r="D13" s="142">
        <v>1</v>
      </c>
      <c r="E13" s="143" t="s">
        <v>483</v>
      </c>
      <c r="F13" s="144" t="s">
        <v>114</v>
      </c>
      <c r="G13" s="225">
        <v>1</v>
      </c>
      <c r="H13" s="146" t="s">
        <v>115</v>
      </c>
      <c r="I13" s="147" t="s">
        <v>484</v>
      </c>
      <c r="J13" s="148" t="s">
        <v>533</v>
      </c>
      <c r="K13" s="315">
        <v>1</v>
      </c>
      <c r="L13" s="315">
        <v>1</v>
      </c>
      <c r="M13" s="315">
        <v>1</v>
      </c>
      <c r="N13" s="315">
        <v>1</v>
      </c>
      <c r="O13" s="315">
        <v>1</v>
      </c>
      <c r="P13" s="315">
        <v>1</v>
      </c>
      <c r="Q13" s="312">
        <f>(K13+M13+O13)/3</f>
        <v>1</v>
      </c>
      <c r="R13" s="247">
        <f>IFERROR(IF(OR($AQ13="",$AQ13=0),0,ROUNDDOWN(AVERAGE(L13,N13,P13),3)),0)</f>
        <v>1</v>
      </c>
      <c r="S13" s="315">
        <v>1</v>
      </c>
      <c r="T13" s="315">
        <v>1</v>
      </c>
      <c r="U13" s="315">
        <v>1</v>
      </c>
      <c r="V13" s="315">
        <v>1</v>
      </c>
      <c r="W13" s="315">
        <v>1</v>
      </c>
      <c r="X13" s="315">
        <v>1</v>
      </c>
      <c r="Y13" s="312">
        <f>(S13+U13+W13)/3</f>
        <v>1</v>
      </c>
      <c r="Z13" s="247">
        <f>IFERROR(IF(OR($AQ13="",$AQ13=0),0,ROUNDDOWN(AVERAGE(T13,V13,X13),3)),0)</f>
        <v>1</v>
      </c>
      <c r="AA13" s="315">
        <v>1</v>
      </c>
      <c r="AB13" s="315">
        <v>1</v>
      </c>
      <c r="AC13" s="315">
        <v>1</v>
      </c>
      <c r="AD13" s="315">
        <v>1</v>
      </c>
      <c r="AE13" s="316">
        <v>1</v>
      </c>
      <c r="AF13" s="315">
        <v>1</v>
      </c>
      <c r="AG13" s="312">
        <f>(AA13+AC13+AE13)/3</f>
        <v>1</v>
      </c>
      <c r="AH13" s="247">
        <f>IFERROR(IF(OR($AQ13="",$AQ13=0),0,ROUNDDOWN(AVERAGE(AB13,AD13,AF13),3)),0)</f>
        <v>1</v>
      </c>
      <c r="AI13" s="315">
        <v>1</v>
      </c>
      <c r="AJ13" s="315">
        <v>1</v>
      </c>
      <c r="AK13" s="315">
        <v>1</v>
      </c>
      <c r="AL13" s="315">
        <v>1</v>
      </c>
      <c r="AM13" s="315">
        <v>1</v>
      </c>
      <c r="AN13" s="315">
        <v>1</v>
      </c>
      <c r="AO13" s="312">
        <f>(AI13+AK13+AM13)/3</f>
        <v>1</v>
      </c>
      <c r="AP13" s="247">
        <f>IFERROR(IF(OR($AQ13="",$AQ13=0),0,ROUNDDOWN(AVERAGE(AJ13,AL13,AN13),3)),0)</f>
        <v>1</v>
      </c>
      <c r="AQ13" s="312">
        <f>(Q13+Y13+AG13+AO13)/4</f>
        <v>1</v>
      </c>
      <c r="AR13" s="140">
        <f>IFERROR(IF(OR(AQ13="",AQ13=0),0,ROUNDDOWN(AVERAGE(L13,N13,P13,T13,V13,X13,AB13,AD13,AF13,AJ13,AL13,AN13),3)),0)</f>
        <v>1</v>
      </c>
      <c r="AS13" s="16">
        <f>IF(AND(AR13&gt;0,AQ13&gt;0),AR13/AQ13,0)</f>
        <v>1</v>
      </c>
    </row>
    <row r="14" spans="2:45" ht="150" customHeight="1">
      <c r="B14" s="711"/>
      <c r="C14" s="141" t="s">
        <v>407</v>
      </c>
      <c r="D14" s="142">
        <v>1</v>
      </c>
      <c r="E14" s="143" t="s">
        <v>118</v>
      </c>
      <c r="F14" s="144" t="s">
        <v>114</v>
      </c>
      <c r="G14" s="225">
        <v>1</v>
      </c>
      <c r="H14" s="146" t="s">
        <v>116</v>
      </c>
      <c r="I14" s="147" t="s">
        <v>120</v>
      </c>
      <c r="J14" s="148" t="s">
        <v>533</v>
      </c>
      <c r="K14" s="315">
        <v>0</v>
      </c>
      <c r="L14" s="315">
        <v>1</v>
      </c>
      <c r="M14" s="315">
        <v>1</v>
      </c>
      <c r="N14" s="315">
        <v>1</v>
      </c>
      <c r="O14" s="315">
        <v>1</v>
      </c>
      <c r="P14" s="315">
        <v>1</v>
      </c>
      <c r="Q14" s="312">
        <f t="shared" ref="Q14:Q17" si="0">(K14+M14+O14)/2</f>
        <v>1</v>
      </c>
      <c r="R14" s="247">
        <f>IFERROR(IF(OR(AQ14="",AQ14=0),0,ROUNDDOWN(AVERAGE(L14,N14,P14),3)),0)</f>
        <v>1</v>
      </c>
      <c r="S14" s="315">
        <v>1</v>
      </c>
      <c r="T14" s="315">
        <v>1</v>
      </c>
      <c r="U14" s="315">
        <v>1</v>
      </c>
      <c r="V14" s="315">
        <v>1</v>
      </c>
      <c r="W14" s="315">
        <v>1</v>
      </c>
      <c r="X14" s="315">
        <v>1</v>
      </c>
      <c r="Y14" s="312">
        <f t="shared" ref="Y14:Y17" si="1">(S14+U14+W14)/3</f>
        <v>1</v>
      </c>
      <c r="Z14" s="247">
        <f t="shared" ref="Z14:Z17" si="2">IFERROR(IF(OR($AQ14="",$AQ14=0),0,ROUNDDOWN(AVERAGE(T14,V14,X14),3)),0)</f>
        <v>1</v>
      </c>
      <c r="AA14" s="315">
        <v>1</v>
      </c>
      <c r="AB14" s="315">
        <v>1</v>
      </c>
      <c r="AC14" s="315">
        <v>1</v>
      </c>
      <c r="AD14" s="315">
        <v>1</v>
      </c>
      <c r="AE14" s="316">
        <v>1</v>
      </c>
      <c r="AF14" s="315">
        <v>1</v>
      </c>
      <c r="AG14" s="312">
        <f t="shared" ref="AG14:AG17" si="3">(AA14+AC14+AE14)/3</f>
        <v>1</v>
      </c>
      <c r="AH14" s="247">
        <f t="shared" ref="AH14:AH17" si="4">IFERROR(IF(OR($AQ14="",$AQ14=0),0,ROUNDDOWN(AVERAGE(AB14,AD14,AF14),3)),0)</f>
        <v>1</v>
      </c>
      <c r="AI14" s="315">
        <v>1</v>
      </c>
      <c r="AJ14" s="315">
        <v>1</v>
      </c>
      <c r="AK14" s="315">
        <v>1</v>
      </c>
      <c r="AL14" s="315">
        <v>1</v>
      </c>
      <c r="AM14" s="315">
        <v>1</v>
      </c>
      <c r="AN14" s="315">
        <v>1</v>
      </c>
      <c r="AO14" s="312">
        <f t="shared" ref="AO14:AO16" si="5">(AI14+AK14+AM14)/3</f>
        <v>1</v>
      </c>
      <c r="AP14" s="247">
        <f t="shared" ref="AP14:AP17" si="6">IFERROR(IF(OR($AQ14="",$AQ14=0),0,ROUNDDOWN(AVERAGE(AJ14,AL14,AN14),3)),0)</f>
        <v>1</v>
      </c>
      <c r="AQ14" s="312">
        <f>(Q14+Y14+AG14+AO14)/4</f>
        <v>1</v>
      </c>
      <c r="AR14" s="140">
        <f>IFERROR(IF(OR(AQ14="",AQ14=0),0,ROUNDDOWN(AVERAGE(L14,N14,P14,T14,V14,X14,AB14,AD14,AF14,AJ14,AL14,AN14),3)),0)</f>
        <v>1</v>
      </c>
      <c r="AS14" s="16">
        <f>IF(AND(AR14&gt;0,AQ14&gt;0),AR14/AQ14,0)</f>
        <v>1</v>
      </c>
    </row>
    <row r="15" spans="2:45" ht="150" customHeight="1">
      <c r="B15" s="711"/>
      <c r="C15" s="141" t="s">
        <v>408</v>
      </c>
      <c r="D15" s="142">
        <v>1</v>
      </c>
      <c r="E15" s="143" t="s">
        <v>117</v>
      </c>
      <c r="F15" s="144" t="s">
        <v>114</v>
      </c>
      <c r="G15" s="145" t="s">
        <v>198</v>
      </c>
      <c r="H15" s="146" t="s">
        <v>559</v>
      </c>
      <c r="I15" s="147" t="s">
        <v>119</v>
      </c>
      <c r="J15" s="148" t="s">
        <v>533</v>
      </c>
      <c r="K15" s="315">
        <v>0</v>
      </c>
      <c r="L15" s="315">
        <v>1</v>
      </c>
      <c r="M15" s="315">
        <v>1</v>
      </c>
      <c r="N15" s="315">
        <v>1</v>
      </c>
      <c r="O15" s="315">
        <v>1</v>
      </c>
      <c r="P15" s="315">
        <v>1</v>
      </c>
      <c r="Q15" s="312">
        <f t="shared" si="0"/>
        <v>1</v>
      </c>
      <c r="R15" s="247">
        <f>IFERROR(IF(OR(AQ15="",AQ15=0),0,ROUNDDOWN(AVERAGE(L15,N15,P15),3)),0)</f>
        <v>1</v>
      </c>
      <c r="S15" s="315">
        <v>1</v>
      </c>
      <c r="T15" s="315">
        <v>1</v>
      </c>
      <c r="U15" s="315">
        <v>1</v>
      </c>
      <c r="V15" s="315">
        <v>1</v>
      </c>
      <c r="W15" s="315">
        <v>1</v>
      </c>
      <c r="X15" s="315">
        <v>1</v>
      </c>
      <c r="Y15" s="312">
        <f t="shared" si="1"/>
        <v>1</v>
      </c>
      <c r="Z15" s="247">
        <f t="shared" si="2"/>
        <v>1</v>
      </c>
      <c r="AA15" s="315">
        <v>1</v>
      </c>
      <c r="AB15" s="315">
        <v>1</v>
      </c>
      <c r="AC15" s="315">
        <v>1</v>
      </c>
      <c r="AD15" s="315">
        <v>1</v>
      </c>
      <c r="AE15" s="316">
        <v>1</v>
      </c>
      <c r="AF15" s="315">
        <v>1</v>
      </c>
      <c r="AG15" s="312">
        <f t="shared" si="3"/>
        <v>1</v>
      </c>
      <c r="AH15" s="247">
        <f t="shared" si="4"/>
        <v>1</v>
      </c>
      <c r="AI15" s="315">
        <v>1</v>
      </c>
      <c r="AJ15" s="315">
        <v>1</v>
      </c>
      <c r="AK15" s="315">
        <v>1</v>
      </c>
      <c r="AL15" s="315">
        <v>1</v>
      </c>
      <c r="AM15" s="315">
        <v>1</v>
      </c>
      <c r="AN15" s="315">
        <v>1</v>
      </c>
      <c r="AO15" s="312">
        <f t="shared" si="5"/>
        <v>1</v>
      </c>
      <c r="AP15" s="247">
        <f t="shared" si="6"/>
        <v>1</v>
      </c>
      <c r="AQ15" s="312">
        <f>(Q15+Y15+AG15+AO15)/4</f>
        <v>1</v>
      </c>
      <c r="AR15" s="140">
        <f>IFERROR(IF(OR(AQ15="",AQ15=0),0,ROUNDDOWN(AVERAGE(L15,N15,P15,T15,V15,X15,AB15,AD15,AF15,AJ15,AL15,AN15),3)),0)</f>
        <v>1</v>
      </c>
      <c r="AS15" s="16">
        <f>IF(AND(AR15&gt;0,AQ15&gt;0),AR15/AQ15,0)</f>
        <v>1</v>
      </c>
    </row>
    <row r="16" spans="2:45" ht="198" customHeight="1">
      <c r="B16" s="711"/>
      <c r="C16" s="141" t="s">
        <v>409</v>
      </c>
      <c r="D16" s="142">
        <v>1</v>
      </c>
      <c r="E16" s="143" t="s">
        <v>121</v>
      </c>
      <c r="F16" s="144" t="s">
        <v>114</v>
      </c>
      <c r="G16" s="145" t="s">
        <v>198</v>
      </c>
      <c r="H16" s="146" t="s">
        <v>116</v>
      </c>
      <c r="I16" s="147" t="s">
        <v>122</v>
      </c>
      <c r="J16" s="148" t="s">
        <v>533</v>
      </c>
      <c r="K16" s="315">
        <v>0</v>
      </c>
      <c r="L16" s="315">
        <v>1</v>
      </c>
      <c r="M16" s="315">
        <v>1</v>
      </c>
      <c r="N16" s="315">
        <v>1</v>
      </c>
      <c r="O16" s="315">
        <v>1</v>
      </c>
      <c r="P16" s="315">
        <v>1</v>
      </c>
      <c r="Q16" s="312">
        <f t="shared" si="0"/>
        <v>1</v>
      </c>
      <c r="R16" s="247">
        <f>IFERROR(IF(OR(AQ16="",AQ16=0),0,ROUNDDOWN(AVERAGE(L16,N16,P16),3)),0)</f>
        <v>1</v>
      </c>
      <c r="S16" s="315">
        <v>1</v>
      </c>
      <c r="T16" s="315">
        <v>1</v>
      </c>
      <c r="U16" s="315">
        <v>1</v>
      </c>
      <c r="V16" s="315">
        <v>1</v>
      </c>
      <c r="W16" s="315">
        <v>1</v>
      </c>
      <c r="X16" s="315">
        <v>1</v>
      </c>
      <c r="Y16" s="312">
        <f t="shared" si="1"/>
        <v>1</v>
      </c>
      <c r="Z16" s="247">
        <f>IFERROR(IF(OR($AQ16="",$AQ16=0),0,ROUNDDOWN(AVERAGE(T16,V16,X16),3)),0)</f>
        <v>1</v>
      </c>
      <c r="AA16" s="315">
        <v>1</v>
      </c>
      <c r="AB16" s="315">
        <v>1</v>
      </c>
      <c r="AC16" s="315">
        <v>1</v>
      </c>
      <c r="AD16" s="315">
        <v>1</v>
      </c>
      <c r="AE16" s="316">
        <v>1</v>
      </c>
      <c r="AF16" s="315">
        <v>1</v>
      </c>
      <c r="AG16" s="312">
        <f t="shared" si="3"/>
        <v>1</v>
      </c>
      <c r="AH16" s="247">
        <f t="shared" si="4"/>
        <v>1</v>
      </c>
      <c r="AI16" s="315">
        <v>1</v>
      </c>
      <c r="AJ16" s="315">
        <v>1</v>
      </c>
      <c r="AK16" s="315">
        <v>1</v>
      </c>
      <c r="AL16" s="315">
        <v>1</v>
      </c>
      <c r="AM16" s="315">
        <v>1</v>
      </c>
      <c r="AN16" s="315">
        <v>1</v>
      </c>
      <c r="AO16" s="312">
        <f t="shared" si="5"/>
        <v>1</v>
      </c>
      <c r="AP16" s="247">
        <f t="shared" si="6"/>
        <v>1</v>
      </c>
      <c r="AQ16" s="312">
        <f>(Q16+Y16+AG16+AO16)/4</f>
        <v>1</v>
      </c>
      <c r="AR16" s="140">
        <f>IFERROR(IF(OR(AQ16="",AQ16=0),0,ROUNDDOWN(AVERAGE(L16,N16,P16,T16,V16,X16,AB16,AD16,AF16,AJ16,AL16,AN16),3)),0)</f>
        <v>1</v>
      </c>
      <c r="AS16" s="16">
        <f>IF(AND(AR16&gt;0,AQ16&gt;0),AR16/AQ16,0)</f>
        <v>1</v>
      </c>
    </row>
    <row r="17" spans="2:45" ht="190.5" customHeight="1">
      <c r="B17" s="712"/>
      <c r="C17" s="149" t="s">
        <v>410</v>
      </c>
      <c r="D17" s="142">
        <v>1</v>
      </c>
      <c r="E17" s="143" t="s">
        <v>123</v>
      </c>
      <c r="F17" s="144" t="s">
        <v>114</v>
      </c>
      <c r="G17" s="145" t="s">
        <v>198</v>
      </c>
      <c r="H17" s="146" t="s">
        <v>116</v>
      </c>
      <c r="I17" s="147" t="s">
        <v>124</v>
      </c>
      <c r="J17" s="148" t="s">
        <v>533</v>
      </c>
      <c r="K17" s="315">
        <v>0</v>
      </c>
      <c r="L17" s="315">
        <v>1</v>
      </c>
      <c r="M17" s="315">
        <v>1</v>
      </c>
      <c r="N17" s="315">
        <v>1</v>
      </c>
      <c r="O17" s="315">
        <v>1</v>
      </c>
      <c r="P17" s="315">
        <v>1</v>
      </c>
      <c r="Q17" s="312">
        <f t="shared" si="0"/>
        <v>1</v>
      </c>
      <c r="R17" s="247">
        <f>IFERROR(IF(OR(AQ17="",AQ17=0),0,ROUNDDOWN(AVERAGE(L17,N17,P17),3)),0)</f>
        <v>1</v>
      </c>
      <c r="S17" s="315">
        <v>1</v>
      </c>
      <c r="T17" s="315">
        <v>1</v>
      </c>
      <c r="U17" s="315">
        <v>1</v>
      </c>
      <c r="V17" s="315">
        <v>1</v>
      </c>
      <c r="W17" s="315">
        <v>1</v>
      </c>
      <c r="X17" s="315">
        <v>1</v>
      </c>
      <c r="Y17" s="312">
        <f t="shared" si="1"/>
        <v>1</v>
      </c>
      <c r="Z17" s="247">
        <f t="shared" si="2"/>
        <v>1</v>
      </c>
      <c r="AA17" s="315">
        <v>1</v>
      </c>
      <c r="AB17" s="315">
        <v>1</v>
      </c>
      <c r="AC17" s="315">
        <v>1</v>
      </c>
      <c r="AD17" s="315">
        <v>1</v>
      </c>
      <c r="AE17" s="316">
        <v>1</v>
      </c>
      <c r="AF17" s="315">
        <v>1</v>
      </c>
      <c r="AG17" s="312">
        <f t="shared" si="3"/>
        <v>1</v>
      </c>
      <c r="AH17" s="247">
        <f t="shared" si="4"/>
        <v>1</v>
      </c>
      <c r="AI17" s="315">
        <v>1</v>
      </c>
      <c r="AJ17" s="315">
        <v>1</v>
      </c>
      <c r="AK17" s="315">
        <v>1</v>
      </c>
      <c r="AL17" s="315">
        <v>1</v>
      </c>
      <c r="AM17" s="315">
        <v>1</v>
      </c>
      <c r="AN17" s="315">
        <v>1</v>
      </c>
      <c r="AO17" s="312">
        <f>(AI17+AK17+AM17)/3</f>
        <v>1</v>
      </c>
      <c r="AP17" s="247">
        <f t="shared" si="6"/>
        <v>1</v>
      </c>
      <c r="AQ17" s="312">
        <f>(Q17+Y17+AG17+AO17)/4</f>
        <v>1</v>
      </c>
      <c r="AR17" s="140">
        <f>IFERROR(IF(OR(AQ17="",AQ17=0),0,ROUNDDOWN(AVERAGE(L17,N17,P17,T17,V17,X17,AB17,AD17,AF17,AJ17,AL17,AN17),3)),0)</f>
        <v>1</v>
      </c>
      <c r="AS17" s="16">
        <f>IF(AND(AR17&gt;0,AQ17&gt;0),AR17/AQ17,0)</f>
        <v>1</v>
      </c>
    </row>
    <row r="18" spans="2:45" ht="23.25">
      <c r="B18" s="713" t="s">
        <v>23</v>
      </c>
      <c r="C18" s="714"/>
      <c r="D18" s="714"/>
      <c r="E18" s="714"/>
      <c r="F18" s="714"/>
      <c r="G18" s="714"/>
      <c r="H18" s="714"/>
      <c r="I18" s="714"/>
      <c r="J18" s="714"/>
      <c r="K18" s="714"/>
      <c r="L18" s="714"/>
      <c r="M18" s="714"/>
      <c r="N18" s="714"/>
      <c r="O18" s="714"/>
      <c r="P18" s="714"/>
      <c r="Q18" s="714"/>
      <c r="R18" s="714"/>
      <c r="S18" s="714"/>
      <c r="T18" s="714"/>
      <c r="U18" s="714"/>
      <c r="V18" s="714"/>
      <c r="W18" s="714"/>
      <c r="X18" s="714"/>
      <c r="Y18" s="714"/>
      <c r="Z18" s="714"/>
      <c r="AA18" s="714"/>
      <c r="AB18" s="714"/>
      <c r="AC18" s="714"/>
      <c r="AD18" s="714"/>
      <c r="AE18" s="714"/>
      <c r="AF18" s="714"/>
      <c r="AG18" s="714"/>
      <c r="AH18" s="714"/>
      <c r="AI18" s="714"/>
      <c r="AJ18" s="714"/>
      <c r="AK18" s="714"/>
      <c r="AL18" s="714"/>
      <c r="AM18" s="714"/>
      <c r="AN18" s="714"/>
      <c r="AO18" s="714"/>
      <c r="AP18" s="714"/>
      <c r="AQ18" s="714"/>
      <c r="AR18" s="715"/>
      <c r="AS18" s="317">
        <f>AVERAGE(AS13:AS17)</f>
        <v>1</v>
      </c>
    </row>
    <row r="19" spans="2:45" ht="17.25">
      <c r="B19" s="112"/>
      <c r="C19" s="112"/>
      <c r="D19" s="113"/>
      <c r="E19" s="112"/>
      <c r="F19" s="112"/>
      <c r="G19" s="112"/>
      <c r="H19" s="112"/>
      <c r="I19" s="112"/>
      <c r="J19" s="114"/>
    </row>
    <row r="20" spans="2:45" ht="30.75" customHeight="1">
      <c r="B20" s="54" t="s">
        <v>4</v>
      </c>
      <c r="C20" s="727" t="s">
        <v>125</v>
      </c>
      <c r="D20" s="728"/>
      <c r="E20" s="728"/>
      <c r="F20" s="728"/>
      <c r="G20" s="728"/>
      <c r="H20" s="728"/>
      <c r="I20" s="728"/>
      <c r="J20" s="729"/>
    </row>
    <row r="21" spans="2:45" ht="17.25">
      <c r="B21" s="112"/>
      <c r="C21" s="645"/>
      <c r="D21" s="645"/>
      <c r="E21" s="645"/>
      <c r="F21" s="645"/>
      <c r="G21" s="645"/>
      <c r="H21" s="645"/>
      <c r="I21" s="645"/>
      <c r="J21" s="645"/>
    </row>
    <row r="22" spans="2:45" ht="45.75" customHeight="1">
      <c r="B22" s="55" t="s">
        <v>32</v>
      </c>
      <c r="C22" s="702" t="s">
        <v>822</v>
      </c>
      <c r="D22" s="703"/>
      <c r="E22" s="112"/>
      <c r="F22" s="112"/>
      <c r="G22" s="534" t="s">
        <v>22</v>
      </c>
      <c r="H22" s="722" t="s">
        <v>890</v>
      </c>
      <c r="I22" s="723"/>
      <c r="J22" s="723"/>
    </row>
    <row r="23" spans="2:45" ht="13.5" customHeight="1">
      <c r="B23" s="112"/>
      <c r="C23" s="112"/>
      <c r="D23" s="113"/>
      <c r="E23" s="112"/>
      <c r="F23" s="112"/>
      <c r="G23" s="112"/>
      <c r="H23" s="112"/>
      <c r="I23" s="112"/>
      <c r="J23" s="114"/>
    </row>
    <row r="24" spans="2:45" ht="15" customHeight="1">
      <c r="B24" s="112"/>
      <c r="C24" s="112"/>
      <c r="D24" s="113"/>
      <c r="E24" s="112"/>
      <c r="F24" s="112"/>
      <c r="G24" s="112"/>
      <c r="H24" s="112"/>
      <c r="I24" s="112"/>
      <c r="J24" s="114"/>
    </row>
    <row r="25" spans="2:45" ht="17.25">
      <c r="B25" s="112"/>
      <c r="C25" s="112"/>
      <c r="D25" s="113"/>
      <c r="E25" s="112"/>
      <c r="F25" s="112"/>
      <c r="G25" s="112"/>
      <c r="H25" s="112"/>
      <c r="I25" s="112"/>
      <c r="J25" s="114"/>
    </row>
    <row r="26" spans="2:45" ht="15" customHeight="1">
      <c r="B26" s="112"/>
      <c r="C26" s="112"/>
      <c r="D26" s="113"/>
      <c r="E26" s="629"/>
      <c r="F26" s="629"/>
      <c r="G26" s="629"/>
      <c r="H26" s="629"/>
      <c r="I26" s="429"/>
      <c r="J26" s="112"/>
    </row>
    <row r="27" spans="2:45" ht="15" customHeight="1">
      <c r="B27" s="112"/>
      <c r="C27" s="112"/>
      <c r="D27" s="113"/>
      <c r="E27" s="112"/>
      <c r="F27" s="112"/>
      <c r="G27" s="114"/>
      <c r="H27" s="112"/>
      <c r="I27" s="112"/>
      <c r="J27" s="112"/>
    </row>
    <row r="28" spans="2:45" ht="15" customHeight="1">
      <c r="B28" s="112"/>
      <c r="C28" s="112"/>
      <c r="D28" s="113"/>
      <c r="E28" s="629"/>
      <c r="F28" s="629"/>
      <c r="G28" s="629"/>
      <c r="H28" s="629"/>
      <c r="I28" s="429"/>
      <c r="J28" s="112"/>
    </row>
    <row r="29" spans="2:45" ht="15" customHeight="1">
      <c r="B29" s="112"/>
      <c r="C29" s="112"/>
      <c r="D29" s="113"/>
      <c r="E29" s="112"/>
      <c r="F29" s="112"/>
      <c r="G29" s="114"/>
      <c r="H29" s="112"/>
      <c r="I29" s="112"/>
      <c r="J29" s="112"/>
    </row>
    <row r="30" spans="2:45" ht="15" customHeight="1">
      <c r="B30" s="112"/>
      <c r="C30" s="112"/>
      <c r="D30" s="113"/>
      <c r="E30" s="629"/>
      <c r="F30" s="629"/>
      <c r="G30" s="629"/>
      <c r="H30" s="629"/>
      <c r="I30" s="429"/>
      <c r="J30" s="112"/>
    </row>
  </sheetData>
  <sheetProtection algorithmName="SHA-512" hashValue="Do8u9XAhXU195+3Ja/fh//VTOoIZisbr7w5fii5mUhTKxgrLboMgzVFVJkAu1puVy8HEVb7WxmMg0vHRgBU0kw==" saltValue="fPl8RHqX4JuGbO477aj2OA==" spinCount="100000" sheet="1" objects="1" scenarios="1"/>
  <dataConsolidate/>
  <mergeCells count="49">
    <mergeCell ref="AA11:AB11"/>
    <mergeCell ref="G9:G12"/>
    <mergeCell ref="H9:H12"/>
    <mergeCell ref="J9:J12"/>
    <mergeCell ref="I9:I12"/>
    <mergeCell ref="U11:V11"/>
    <mergeCell ref="K11:L11"/>
    <mergeCell ref="M11:N11"/>
    <mergeCell ref="O11:P11"/>
    <mergeCell ref="W11:X11"/>
    <mergeCell ref="Y11:Z11"/>
    <mergeCell ref="B2:B6"/>
    <mergeCell ref="AR5:AS5"/>
    <mergeCell ref="AR6:AS6"/>
    <mergeCell ref="C2:AQ6"/>
    <mergeCell ref="C20:J20"/>
    <mergeCell ref="AR2:AS2"/>
    <mergeCell ref="AR7:AS7"/>
    <mergeCell ref="AI10:AP10"/>
    <mergeCell ref="AQ8:AS8"/>
    <mergeCell ref="Q11:R11"/>
    <mergeCell ref="S11:T11"/>
    <mergeCell ref="AO11:AP11"/>
    <mergeCell ref="AI11:AJ11"/>
    <mergeCell ref="AC11:AD11"/>
    <mergeCell ref="K10:R10"/>
    <mergeCell ref="S10:Z10"/>
    <mergeCell ref="E30:H30"/>
    <mergeCell ref="C21:J21"/>
    <mergeCell ref="H22:J22"/>
    <mergeCell ref="E26:H26"/>
    <mergeCell ref="E28:H28"/>
    <mergeCell ref="C22:D22"/>
    <mergeCell ref="B13:B17"/>
    <mergeCell ref="B18:AR18"/>
    <mergeCell ref="AQ9:AQ12"/>
    <mergeCell ref="AR9:AR12"/>
    <mergeCell ref="AS9:AS12"/>
    <mergeCell ref="B9:B12"/>
    <mergeCell ref="C9:C12"/>
    <mergeCell ref="AA10:AH10"/>
    <mergeCell ref="K9:AP9"/>
    <mergeCell ref="D9:D12"/>
    <mergeCell ref="E9:E12"/>
    <mergeCell ref="F9:F12"/>
    <mergeCell ref="AK11:AL11"/>
    <mergeCell ref="AM11:AN11"/>
    <mergeCell ref="AG11:AH11"/>
    <mergeCell ref="AE11:AF11"/>
  </mergeCells>
  <printOptions horizontalCentered="1" verticalCentered="1"/>
  <pageMargins left="0.78740157480314965" right="0.59055118110236227" top="0.74803149606299213" bottom="0.74803149606299213" header="0.31496062992125984" footer="0.31496062992125984"/>
  <pageSetup orientation="landscape" horizontalDpi="4294967295" verticalDpi="4294967295" r:id="rId1"/>
  <headerFooter>
    <oddFooter>&amp;R&amp;P de &amp;N</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1:AT47"/>
  <sheetViews>
    <sheetView showGridLines="0" zoomScale="55" zoomScaleNormal="55" workbookViewId="0">
      <selection activeCell="H39" sqref="H39:J39"/>
    </sheetView>
  </sheetViews>
  <sheetFormatPr baseColWidth="10" defaultColWidth="17.28515625" defaultRowHeight="15" customHeight="1"/>
  <cols>
    <col min="1" max="1" width="6.7109375" style="1" customWidth="1"/>
    <col min="2" max="3" width="35.7109375" style="5" customWidth="1"/>
    <col min="4" max="4" width="20.7109375" style="10" customWidth="1"/>
    <col min="5" max="5" width="25.7109375" style="5" customWidth="1"/>
    <col min="6" max="6" width="56.5703125" style="5" customWidth="1"/>
    <col min="7" max="7" width="31.28515625" style="5" customWidth="1"/>
    <col min="8" max="8" width="35.7109375" style="5" customWidth="1"/>
    <col min="9" max="9" width="65.42578125" style="5" customWidth="1"/>
    <col min="10" max="10" width="50.7109375" style="7" customWidth="1"/>
    <col min="11" max="11" width="18" style="1" customWidth="1"/>
    <col min="12" max="12" width="17.42578125" style="1" customWidth="1"/>
    <col min="13" max="16" width="17.42578125" style="1" bestFit="1" customWidth="1"/>
    <col min="17" max="17" width="19" style="1" bestFit="1" customWidth="1"/>
    <col min="18" max="19" width="17.42578125" style="1" bestFit="1" customWidth="1"/>
    <col min="20" max="20" width="17.28515625" style="1"/>
    <col min="21" max="21" width="17.42578125" style="1" bestFit="1" customWidth="1"/>
    <col min="22" max="22" width="17.42578125" style="1" customWidth="1"/>
    <col min="23" max="23" width="17.42578125" style="1" bestFit="1" customWidth="1"/>
    <col min="24" max="24" width="17.28515625" style="1"/>
    <col min="25" max="25" width="19" style="1" bestFit="1" customWidth="1"/>
    <col min="26" max="26" width="17.42578125" style="1" bestFit="1" customWidth="1"/>
    <col min="27" max="27" width="18.5703125" style="1" customWidth="1"/>
    <col min="28" max="28" width="17.28515625" style="1" customWidth="1"/>
    <col min="29" max="31" width="17.42578125" style="1" customWidth="1"/>
    <col min="32" max="32" width="17.28515625" style="1" customWidth="1"/>
    <col min="33" max="33" width="19" style="1" customWidth="1"/>
    <col min="34" max="42" width="17.42578125" style="1" customWidth="1"/>
    <col min="43" max="43" width="24.28515625" style="1" customWidth="1"/>
    <col min="44" max="44" width="22.140625" style="1" customWidth="1"/>
    <col min="45" max="45" width="24.28515625" style="1" customWidth="1"/>
    <col min="46" max="16384" width="17.28515625" style="1"/>
  </cols>
  <sheetData>
    <row r="1" spans="2:46" ht="18" thickBot="1"/>
    <row r="2" spans="2:46" ht="15.75">
      <c r="B2" s="734"/>
      <c r="C2" s="737" t="s">
        <v>59</v>
      </c>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8"/>
      <c r="AP2" s="738"/>
      <c r="AQ2" s="739"/>
      <c r="AR2" s="746" t="s">
        <v>39</v>
      </c>
      <c r="AS2" s="747"/>
    </row>
    <row r="3" spans="2:46" ht="15.75">
      <c r="B3" s="735"/>
      <c r="C3" s="740"/>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2"/>
      <c r="AR3" s="18" t="s">
        <v>36</v>
      </c>
      <c r="AS3" s="19" t="s">
        <v>37</v>
      </c>
    </row>
    <row r="4" spans="2:46">
      <c r="B4" s="735"/>
      <c r="C4" s="740"/>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2"/>
      <c r="AR4" s="20">
        <v>3</v>
      </c>
      <c r="AS4" s="21" t="s">
        <v>102</v>
      </c>
    </row>
    <row r="5" spans="2:46" ht="15.75">
      <c r="B5" s="735"/>
      <c r="C5" s="740"/>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2"/>
      <c r="AR5" s="748" t="s">
        <v>38</v>
      </c>
      <c r="AS5" s="749"/>
    </row>
    <row r="6" spans="2:46" ht="15.75" thickBot="1">
      <c r="B6" s="736"/>
      <c r="C6" s="743"/>
      <c r="D6" s="744"/>
      <c r="E6" s="744"/>
      <c r="F6" s="744"/>
      <c r="G6" s="744"/>
      <c r="H6" s="744"/>
      <c r="I6" s="744"/>
      <c r="J6" s="744"/>
      <c r="K6" s="744"/>
      <c r="L6" s="744"/>
      <c r="M6" s="744"/>
      <c r="N6" s="744"/>
      <c r="O6" s="744"/>
      <c r="P6" s="744"/>
      <c r="Q6" s="744"/>
      <c r="R6" s="744"/>
      <c r="S6" s="744"/>
      <c r="T6" s="744"/>
      <c r="U6" s="744"/>
      <c r="V6" s="744"/>
      <c r="W6" s="744"/>
      <c r="X6" s="744"/>
      <c r="Y6" s="744"/>
      <c r="Z6" s="744"/>
      <c r="AA6" s="744"/>
      <c r="AB6" s="744"/>
      <c r="AC6" s="744"/>
      <c r="AD6" s="744"/>
      <c r="AE6" s="744"/>
      <c r="AF6" s="744"/>
      <c r="AG6" s="744"/>
      <c r="AH6" s="744"/>
      <c r="AI6" s="744"/>
      <c r="AJ6" s="744"/>
      <c r="AK6" s="744"/>
      <c r="AL6" s="744"/>
      <c r="AM6" s="744"/>
      <c r="AN6" s="744"/>
      <c r="AO6" s="744"/>
      <c r="AP6" s="744"/>
      <c r="AQ6" s="745"/>
      <c r="AR6" s="750" t="s">
        <v>100</v>
      </c>
      <c r="AS6" s="751"/>
    </row>
    <row r="7" spans="2:46" ht="17.25">
      <c r="B7" s="2"/>
      <c r="C7" s="2"/>
      <c r="D7" s="8"/>
      <c r="E7" s="2"/>
      <c r="F7" s="2"/>
      <c r="G7" s="2"/>
      <c r="H7" s="2"/>
      <c r="I7" s="2"/>
      <c r="J7" s="6"/>
      <c r="AR7" s="730"/>
      <c r="AS7" s="731"/>
    </row>
    <row r="8" spans="2:46" ht="13.5">
      <c r="B8" s="13"/>
      <c r="C8" s="14"/>
      <c r="D8" s="14"/>
      <c r="E8" s="14"/>
      <c r="F8" s="14"/>
      <c r="G8" s="14"/>
      <c r="H8" s="14"/>
      <c r="I8" s="14"/>
      <c r="J8" s="58"/>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752"/>
      <c r="AR8" s="753"/>
      <c r="AS8" s="754"/>
    </row>
    <row r="9" spans="2:46" ht="15.75">
      <c r="B9" s="718" t="s">
        <v>35</v>
      </c>
      <c r="C9" s="718" t="s">
        <v>34</v>
      </c>
      <c r="D9" s="718" t="s">
        <v>0</v>
      </c>
      <c r="E9" s="718" t="s">
        <v>126</v>
      </c>
      <c r="F9" s="718" t="s">
        <v>127</v>
      </c>
      <c r="G9" s="755" t="s">
        <v>128</v>
      </c>
      <c r="H9" s="718" t="s">
        <v>25</v>
      </c>
      <c r="I9" s="718" t="s">
        <v>1</v>
      </c>
      <c r="J9" s="756"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757" t="s">
        <v>6</v>
      </c>
      <c r="AR9" s="758" t="s">
        <v>7</v>
      </c>
      <c r="AS9" s="758" t="s">
        <v>24</v>
      </c>
    </row>
    <row r="10" spans="2:46" ht="15.75">
      <c r="B10" s="718"/>
      <c r="C10" s="718"/>
      <c r="D10" s="718"/>
      <c r="E10" s="718"/>
      <c r="F10" s="718"/>
      <c r="G10" s="718"/>
      <c r="H10" s="718"/>
      <c r="I10" s="718"/>
      <c r="J10" s="756"/>
      <c r="K10" s="719" t="s">
        <v>26</v>
      </c>
      <c r="L10" s="719"/>
      <c r="M10" s="719"/>
      <c r="N10" s="719"/>
      <c r="O10" s="719"/>
      <c r="P10" s="719"/>
      <c r="Q10" s="719"/>
      <c r="R10" s="719"/>
      <c r="S10" s="719" t="s">
        <v>27</v>
      </c>
      <c r="T10" s="719"/>
      <c r="U10" s="719"/>
      <c r="V10" s="719"/>
      <c r="W10" s="719"/>
      <c r="X10" s="719"/>
      <c r="Y10" s="719"/>
      <c r="Z10" s="719"/>
      <c r="AA10" s="719" t="s">
        <v>28</v>
      </c>
      <c r="AB10" s="719"/>
      <c r="AC10" s="719"/>
      <c r="AD10" s="719"/>
      <c r="AE10" s="719"/>
      <c r="AF10" s="719"/>
      <c r="AG10" s="719"/>
      <c r="AH10" s="719"/>
      <c r="AI10" s="719" t="s">
        <v>29</v>
      </c>
      <c r="AJ10" s="719"/>
      <c r="AK10" s="719"/>
      <c r="AL10" s="719"/>
      <c r="AM10" s="719"/>
      <c r="AN10" s="719"/>
      <c r="AO10" s="719"/>
      <c r="AP10" s="719"/>
      <c r="AQ10" s="757"/>
      <c r="AR10" s="758"/>
      <c r="AS10" s="758"/>
    </row>
    <row r="11" spans="2:46" ht="15.75">
      <c r="B11" s="718"/>
      <c r="C11" s="718"/>
      <c r="D11" s="718"/>
      <c r="E11" s="718"/>
      <c r="F11" s="718"/>
      <c r="G11" s="718"/>
      <c r="H11" s="718"/>
      <c r="I11" s="718"/>
      <c r="J11" s="756"/>
      <c r="K11" s="719" t="s">
        <v>8</v>
      </c>
      <c r="L11" s="719"/>
      <c r="M11" s="719" t="s">
        <v>9</v>
      </c>
      <c r="N11" s="719"/>
      <c r="O11" s="732" t="s">
        <v>10</v>
      </c>
      <c r="P11" s="733"/>
      <c r="Q11" s="720" t="s">
        <v>11</v>
      </c>
      <c r="R11" s="721"/>
      <c r="S11" s="719" t="s">
        <v>33</v>
      </c>
      <c r="T11" s="719"/>
      <c r="U11" s="719" t="s">
        <v>12</v>
      </c>
      <c r="V11" s="719"/>
      <c r="W11" s="719" t="s">
        <v>13</v>
      </c>
      <c r="X11" s="719"/>
      <c r="Y11" s="720" t="s">
        <v>11</v>
      </c>
      <c r="Z11" s="721"/>
      <c r="AA11" s="719" t="s">
        <v>14</v>
      </c>
      <c r="AB11" s="719"/>
      <c r="AC11" s="719" t="s">
        <v>15</v>
      </c>
      <c r="AD11" s="719"/>
      <c r="AE11" s="719" t="s">
        <v>16</v>
      </c>
      <c r="AF11" s="719"/>
      <c r="AG11" s="720" t="s">
        <v>11</v>
      </c>
      <c r="AH11" s="721"/>
      <c r="AI11" s="719" t="s">
        <v>17</v>
      </c>
      <c r="AJ11" s="719"/>
      <c r="AK11" s="719" t="s">
        <v>18</v>
      </c>
      <c r="AL11" s="719"/>
      <c r="AM11" s="719" t="s">
        <v>19</v>
      </c>
      <c r="AN11" s="719"/>
      <c r="AO11" s="720" t="s">
        <v>11</v>
      </c>
      <c r="AP11" s="721"/>
      <c r="AQ11" s="757"/>
      <c r="AR11" s="758"/>
      <c r="AS11" s="758"/>
    </row>
    <row r="12" spans="2:46" ht="15.75">
      <c r="B12" s="652"/>
      <c r="C12" s="652"/>
      <c r="D12" s="652"/>
      <c r="E12" s="652"/>
      <c r="F12" s="652"/>
      <c r="G12" s="652"/>
      <c r="H12" s="652"/>
      <c r="I12" s="652"/>
      <c r="J12" s="756"/>
      <c r="K12" s="11" t="s">
        <v>20</v>
      </c>
      <c r="L12" s="12" t="s">
        <v>21</v>
      </c>
      <c r="M12" s="11" t="s">
        <v>20</v>
      </c>
      <c r="N12" s="12" t="s">
        <v>21</v>
      </c>
      <c r="O12" s="11" t="s">
        <v>20</v>
      </c>
      <c r="P12" s="12" t="s">
        <v>21</v>
      </c>
      <c r="Q12" s="59" t="s">
        <v>20</v>
      </c>
      <c r="R12" s="60" t="s">
        <v>21</v>
      </c>
      <c r="S12" s="11" t="s">
        <v>20</v>
      </c>
      <c r="T12" s="12" t="s">
        <v>21</v>
      </c>
      <c r="U12" s="11" t="s">
        <v>20</v>
      </c>
      <c r="V12" s="12" t="s">
        <v>21</v>
      </c>
      <c r="W12" s="11" t="s">
        <v>20</v>
      </c>
      <c r="X12" s="12" t="s">
        <v>21</v>
      </c>
      <c r="Y12" s="59" t="s">
        <v>20</v>
      </c>
      <c r="Z12" s="60" t="s">
        <v>21</v>
      </c>
      <c r="AA12" s="11" t="s">
        <v>20</v>
      </c>
      <c r="AB12" s="12" t="s">
        <v>21</v>
      </c>
      <c r="AC12" s="11" t="s">
        <v>20</v>
      </c>
      <c r="AD12" s="12" t="s">
        <v>21</v>
      </c>
      <c r="AE12" s="11" t="s">
        <v>20</v>
      </c>
      <c r="AF12" s="12" t="s">
        <v>21</v>
      </c>
      <c r="AG12" s="59" t="s">
        <v>20</v>
      </c>
      <c r="AH12" s="60" t="s">
        <v>21</v>
      </c>
      <c r="AI12" s="11" t="s">
        <v>20</v>
      </c>
      <c r="AJ12" s="12" t="s">
        <v>21</v>
      </c>
      <c r="AK12" s="11" t="s">
        <v>20</v>
      </c>
      <c r="AL12" s="12" t="s">
        <v>21</v>
      </c>
      <c r="AM12" s="11" t="s">
        <v>20</v>
      </c>
      <c r="AN12" s="12" t="s">
        <v>21</v>
      </c>
      <c r="AO12" s="59" t="s">
        <v>20</v>
      </c>
      <c r="AP12" s="60" t="s">
        <v>21</v>
      </c>
      <c r="AQ12" s="757"/>
      <c r="AR12" s="758"/>
      <c r="AS12" s="758"/>
    </row>
    <row r="13" spans="2:46" ht="165" customHeight="1">
      <c r="B13" s="760" t="s">
        <v>828</v>
      </c>
      <c r="C13" s="774" t="s">
        <v>411</v>
      </c>
      <c r="D13" s="374">
        <v>106</v>
      </c>
      <c r="E13" s="375" t="s">
        <v>185</v>
      </c>
      <c r="F13" s="375" t="s">
        <v>129</v>
      </c>
      <c r="G13" s="376">
        <v>123</v>
      </c>
      <c r="H13" s="375" t="s">
        <v>780</v>
      </c>
      <c r="I13" s="152" t="s">
        <v>130</v>
      </c>
      <c r="J13" s="377" t="s">
        <v>525</v>
      </c>
      <c r="K13" s="162">
        <v>1</v>
      </c>
      <c r="L13" s="162">
        <v>1</v>
      </c>
      <c r="M13" s="162">
        <v>1</v>
      </c>
      <c r="N13" s="162">
        <v>4</v>
      </c>
      <c r="O13" s="162">
        <v>10</v>
      </c>
      <c r="P13" s="162">
        <v>6</v>
      </c>
      <c r="Q13" s="61">
        <f>K13+M13+O13</f>
        <v>12</v>
      </c>
      <c r="R13" s="61">
        <f>L13+N13+P13</f>
        <v>11</v>
      </c>
      <c r="S13" s="399">
        <v>16</v>
      </c>
      <c r="T13" s="399">
        <v>9</v>
      </c>
      <c r="U13" s="399">
        <v>16</v>
      </c>
      <c r="V13" s="399">
        <v>19</v>
      </c>
      <c r="W13" s="399">
        <v>9</v>
      </c>
      <c r="X13" s="399">
        <v>16</v>
      </c>
      <c r="Y13" s="61">
        <f>S13+U13+W13</f>
        <v>41</v>
      </c>
      <c r="Z13" s="61">
        <f>T13+V13+X13</f>
        <v>44</v>
      </c>
      <c r="AA13" s="399">
        <v>12</v>
      </c>
      <c r="AB13" s="399">
        <v>10</v>
      </c>
      <c r="AC13" s="399">
        <v>12</v>
      </c>
      <c r="AD13" s="399">
        <v>13</v>
      </c>
      <c r="AE13" s="399">
        <v>9</v>
      </c>
      <c r="AF13" s="399">
        <v>14</v>
      </c>
      <c r="AG13" s="61">
        <f>AA13+AC13+AE13</f>
        <v>33</v>
      </c>
      <c r="AH13" s="61">
        <f>AB13+AD13+AF13</f>
        <v>37</v>
      </c>
      <c r="AI13" s="399">
        <v>15</v>
      </c>
      <c r="AJ13" s="399">
        <v>18</v>
      </c>
      <c r="AK13" s="399">
        <v>4</v>
      </c>
      <c r="AL13" s="399">
        <v>8</v>
      </c>
      <c r="AM13" s="399">
        <v>1</v>
      </c>
      <c r="AN13" s="399">
        <v>0</v>
      </c>
      <c r="AO13" s="61">
        <f>AI13+AK13+AM13</f>
        <v>20</v>
      </c>
      <c r="AP13" s="61">
        <f>AJ13+AL13+AN13</f>
        <v>26</v>
      </c>
      <c r="AQ13" s="17">
        <f>Q13+Y13+AG13+AO13</f>
        <v>106</v>
      </c>
      <c r="AR13" s="65">
        <f>R13+Z13+AH13+AP13</f>
        <v>118</v>
      </c>
      <c r="AS13" s="249">
        <f t="shared" ref="AS13:AS20" si="0">IF(AND(AR13&gt;0,AQ13&gt;0),AR13/AQ13,0)</f>
        <v>1.1132075471698113</v>
      </c>
    </row>
    <row r="14" spans="2:46" ht="165" customHeight="1">
      <c r="B14" s="761"/>
      <c r="C14" s="775"/>
      <c r="D14" s="378">
        <v>384354</v>
      </c>
      <c r="E14" s="379" t="s">
        <v>191</v>
      </c>
      <c r="F14" s="376" t="s">
        <v>151</v>
      </c>
      <c r="G14" s="380">
        <v>145655</v>
      </c>
      <c r="H14" s="379" t="s">
        <v>781</v>
      </c>
      <c r="I14" s="152" t="s">
        <v>152</v>
      </c>
      <c r="J14" s="377" t="s">
        <v>525</v>
      </c>
      <c r="K14" s="163">
        <v>0</v>
      </c>
      <c r="L14" s="163">
        <v>3340</v>
      </c>
      <c r="M14" s="163">
        <v>0</v>
      </c>
      <c r="N14" s="163">
        <v>10007</v>
      </c>
      <c r="O14" s="163">
        <v>10264</v>
      </c>
      <c r="P14" s="163">
        <v>10021</v>
      </c>
      <c r="Q14" s="63">
        <f>K14+M14+O14</f>
        <v>10264</v>
      </c>
      <c r="R14" s="63">
        <f>L14+N14+P14</f>
        <v>23368</v>
      </c>
      <c r="S14" s="373">
        <v>20603</v>
      </c>
      <c r="T14" s="373">
        <v>59409</v>
      </c>
      <c r="U14" s="373">
        <v>20603</v>
      </c>
      <c r="V14" s="373">
        <v>83502</v>
      </c>
      <c r="W14" s="373">
        <v>20603</v>
      </c>
      <c r="X14" s="373">
        <v>65886</v>
      </c>
      <c r="Y14" s="63">
        <f>S14+U14+W14</f>
        <v>61809</v>
      </c>
      <c r="Z14" s="63">
        <f>T14+V14+X14</f>
        <v>208797</v>
      </c>
      <c r="AA14" s="373">
        <v>67675</v>
      </c>
      <c r="AB14" s="373">
        <v>44777</v>
      </c>
      <c r="AC14" s="373">
        <v>57614</v>
      </c>
      <c r="AD14" s="373">
        <v>65493</v>
      </c>
      <c r="AE14" s="373">
        <v>57932</v>
      </c>
      <c r="AF14" s="373">
        <v>33367</v>
      </c>
      <c r="AG14" s="63">
        <f>AA14+AC14+AE14</f>
        <v>183221</v>
      </c>
      <c r="AH14" s="63">
        <f>AB14+AD14+AF14</f>
        <v>143637</v>
      </c>
      <c r="AI14" s="373">
        <v>57868</v>
      </c>
      <c r="AJ14" s="373">
        <v>8585</v>
      </c>
      <c r="AK14" s="373">
        <v>57867</v>
      </c>
      <c r="AL14" s="373">
        <v>5154</v>
      </c>
      <c r="AM14" s="373">
        <v>13325</v>
      </c>
      <c r="AN14" s="373">
        <v>2576</v>
      </c>
      <c r="AO14" s="63">
        <f>AI14+AK14+AM14</f>
        <v>129060</v>
      </c>
      <c r="AP14" s="63">
        <f>AJ14+AL14+AN14</f>
        <v>16315</v>
      </c>
      <c r="AQ14" s="15">
        <f>Q14+Y14+AG14+AO14</f>
        <v>384354</v>
      </c>
      <c r="AR14" s="66">
        <f>R14+Z14+AH14+AP14</f>
        <v>392117</v>
      </c>
      <c r="AS14" s="249">
        <f t="shared" si="0"/>
        <v>1.0201975262388319</v>
      </c>
    </row>
    <row r="15" spans="2:46" ht="116.25" customHeight="1">
      <c r="B15" s="762"/>
      <c r="C15" s="772" t="s">
        <v>412</v>
      </c>
      <c r="D15" s="374">
        <v>112505</v>
      </c>
      <c r="E15" s="375" t="s">
        <v>186</v>
      </c>
      <c r="F15" s="375" t="s">
        <v>131</v>
      </c>
      <c r="G15" s="381">
        <v>72574</v>
      </c>
      <c r="H15" s="375" t="s">
        <v>782</v>
      </c>
      <c r="I15" s="152" t="s">
        <v>132</v>
      </c>
      <c r="J15" s="382" t="s">
        <v>529</v>
      </c>
      <c r="K15" s="162">
        <v>9950</v>
      </c>
      <c r="L15" s="359">
        <v>13652</v>
      </c>
      <c r="M15" s="162">
        <v>11450</v>
      </c>
      <c r="N15" s="162">
        <v>14363</v>
      </c>
      <c r="O15" s="162">
        <v>11950</v>
      </c>
      <c r="P15" s="162">
        <v>6492</v>
      </c>
      <c r="Q15" s="61">
        <f t="shared" ref="Q15:R30" si="1">K15+M15+O15</f>
        <v>33350</v>
      </c>
      <c r="R15" s="61">
        <f t="shared" si="1"/>
        <v>34507</v>
      </c>
      <c r="S15" s="399">
        <v>7875</v>
      </c>
      <c r="T15" s="399">
        <v>9600</v>
      </c>
      <c r="U15" s="399">
        <v>8365</v>
      </c>
      <c r="V15" s="399">
        <v>10509</v>
      </c>
      <c r="W15" s="399">
        <v>8120</v>
      </c>
      <c r="X15" s="399">
        <v>11581</v>
      </c>
      <c r="Y15" s="61">
        <f t="shared" ref="Y15:Z30" si="2">S15+U15+W15</f>
        <v>24360</v>
      </c>
      <c r="Z15" s="61">
        <f t="shared" si="2"/>
        <v>31690</v>
      </c>
      <c r="AA15" s="399">
        <v>8355</v>
      </c>
      <c r="AB15" s="399">
        <v>11239</v>
      </c>
      <c r="AC15" s="399">
        <v>8305</v>
      </c>
      <c r="AD15" s="399">
        <v>8519</v>
      </c>
      <c r="AE15" s="399">
        <v>8305</v>
      </c>
      <c r="AF15" s="399">
        <v>11116</v>
      </c>
      <c r="AG15" s="61">
        <f t="shared" ref="AG15:AH30" si="3">AA15+AC15+AE15</f>
        <v>24965</v>
      </c>
      <c r="AH15" s="61">
        <f t="shared" si="3"/>
        <v>30874</v>
      </c>
      <c r="AI15" s="399">
        <v>10316</v>
      </c>
      <c r="AJ15" s="399">
        <v>11470</v>
      </c>
      <c r="AK15" s="399">
        <v>9967</v>
      </c>
      <c r="AL15" s="399">
        <v>9926</v>
      </c>
      <c r="AM15" s="399">
        <v>9547</v>
      </c>
      <c r="AN15" s="399">
        <v>8958</v>
      </c>
      <c r="AO15" s="61">
        <f t="shared" ref="AO15:AP26" si="4">AI15+AK15+AM15</f>
        <v>29830</v>
      </c>
      <c r="AP15" s="61">
        <f t="shared" si="4"/>
        <v>30354</v>
      </c>
      <c r="AQ15" s="17">
        <f t="shared" ref="AQ15:AR26" si="5">Q15+Y15+AG15+AO15</f>
        <v>112505</v>
      </c>
      <c r="AR15" s="65">
        <f t="shared" si="5"/>
        <v>127425</v>
      </c>
      <c r="AS15" s="249">
        <f t="shared" si="0"/>
        <v>1.1326163281631927</v>
      </c>
      <c r="AT15" s="62"/>
    </row>
    <row r="16" spans="2:46" ht="101.25" customHeight="1">
      <c r="B16" s="761"/>
      <c r="C16" s="773"/>
      <c r="D16" s="374">
        <v>240</v>
      </c>
      <c r="E16" s="375" t="s">
        <v>186</v>
      </c>
      <c r="F16" s="375" t="s">
        <v>131</v>
      </c>
      <c r="G16" s="381">
        <v>363</v>
      </c>
      <c r="H16" s="375" t="s">
        <v>783</v>
      </c>
      <c r="I16" s="152" t="s">
        <v>132</v>
      </c>
      <c r="J16" s="383" t="s">
        <v>528</v>
      </c>
      <c r="K16" s="105">
        <v>25</v>
      </c>
      <c r="L16" s="105">
        <v>31</v>
      </c>
      <c r="M16" s="105">
        <v>25</v>
      </c>
      <c r="N16" s="105">
        <v>37</v>
      </c>
      <c r="O16" s="105">
        <v>40</v>
      </c>
      <c r="P16" s="105">
        <v>20</v>
      </c>
      <c r="Q16" s="63">
        <f t="shared" si="1"/>
        <v>90</v>
      </c>
      <c r="R16" s="63">
        <f t="shared" si="1"/>
        <v>88</v>
      </c>
      <c r="S16" s="128">
        <v>1</v>
      </c>
      <c r="T16" s="128">
        <v>3</v>
      </c>
      <c r="U16" s="128">
        <v>3</v>
      </c>
      <c r="V16" s="128">
        <v>40</v>
      </c>
      <c r="W16" s="128">
        <v>25</v>
      </c>
      <c r="X16" s="128">
        <v>26</v>
      </c>
      <c r="Y16" s="63">
        <f t="shared" si="2"/>
        <v>29</v>
      </c>
      <c r="Z16" s="63">
        <f t="shared" si="2"/>
        <v>69</v>
      </c>
      <c r="AA16" s="128">
        <v>18</v>
      </c>
      <c r="AB16" s="128">
        <v>18</v>
      </c>
      <c r="AC16" s="128">
        <v>22</v>
      </c>
      <c r="AD16" s="128">
        <v>22</v>
      </c>
      <c r="AE16" s="128">
        <v>20</v>
      </c>
      <c r="AF16" s="128">
        <v>41</v>
      </c>
      <c r="AG16" s="63">
        <f t="shared" si="3"/>
        <v>60</v>
      </c>
      <c r="AH16" s="63">
        <f t="shared" si="3"/>
        <v>81</v>
      </c>
      <c r="AI16" s="128">
        <v>21</v>
      </c>
      <c r="AJ16" s="128">
        <v>15</v>
      </c>
      <c r="AK16" s="128">
        <v>20</v>
      </c>
      <c r="AL16" s="128">
        <v>17</v>
      </c>
      <c r="AM16" s="128">
        <v>20</v>
      </c>
      <c r="AN16" s="128">
        <v>23</v>
      </c>
      <c r="AO16" s="61">
        <f>AI16+AK16+AM16</f>
        <v>61</v>
      </c>
      <c r="AP16" s="61">
        <f>AJ16+AL16+AN16</f>
        <v>55</v>
      </c>
      <c r="AQ16" s="17">
        <f>Q16+Y16+AG16+AO16</f>
        <v>240</v>
      </c>
      <c r="AR16" s="65">
        <f>R16+Z16+AH16+AP16</f>
        <v>293</v>
      </c>
      <c r="AS16" s="249">
        <f t="shared" si="0"/>
        <v>1.2208333333333334</v>
      </c>
      <c r="AT16" s="62"/>
    </row>
    <row r="17" spans="2:46" ht="135">
      <c r="B17" s="762"/>
      <c r="C17" s="773"/>
      <c r="D17" s="374">
        <v>4256</v>
      </c>
      <c r="E17" s="375" t="s">
        <v>187</v>
      </c>
      <c r="F17" s="375" t="s">
        <v>133</v>
      </c>
      <c r="G17" s="381">
        <v>13535</v>
      </c>
      <c r="H17" s="375" t="s">
        <v>784</v>
      </c>
      <c r="I17" s="152" t="s">
        <v>134</v>
      </c>
      <c r="J17" s="382" t="s">
        <v>530</v>
      </c>
      <c r="K17" s="163">
        <v>660</v>
      </c>
      <c r="L17" s="163">
        <v>482</v>
      </c>
      <c r="M17" s="163">
        <v>860</v>
      </c>
      <c r="N17" s="163">
        <v>839</v>
      </c>
      <c r="O17" s="163">
        <v>860</v>
      </c>
      <c r="P17" s="163">
        <v>594</v>
      </c>
      <c r="Q17" s="61">
        <f t="shared" si="1"/>
        <v>2380</v>
      </c>
      <c r="R17" s="61">
        <f t="shared" si="1"/>
        <v>1915</v>
      </c>
      <c r="S17" s="373">
        <v>532</v>
      </c>
      <c r="T17" s="373">
        <v>199</v>
      </c>
      <c r="U17" s="373">
        <v>672</v>
      </c>
      <c r="V17" s="373">
        <v>128</v>
      </c>
      <c r="W17" s="373">
        <v>672</v>
      </c>
      <c r="X17" s="373">
        <v>150</v>
      </c>
      <c r="Y17" s="61">
        <f t="shared" si="2"/>
        <v>1876</v>
      </c>
      <c r="Z17" s="61">
        <f t="shared" si="2"/>
        <v>477</v>
      </c>
      <c r="AA17" s="373">
        <v>0</v>
      </c>
      <c r="AB17" s="373">
        <v>308</v>
      </c>
      <c r="AC17" s="373">
        <v>0</v>
      </c>
      <c r="AD17" s="373">
        <v>271</v>
      </c>
      <c r="AE17" s="373">
        <v>0</v>
      </c>
      <c r="AF17" s="373">
        <v>376</v>
      </c>
      <c r="AG17" s="61">
        <f t="shared" si="3"/>
        <v>0</v>
      </c>
      <c r="AH17" s="61">
        <f t="shared" si="3"/>
        <v>955</v>
      </c>
      <c r="AI17" s="373">
        <v>0</v>
      </c>
      <c r="AJ17" s="373">
        <v>257</v>
      </c>
      <c r="AK17" s="373">
        <v>0</v>
      </c>
      <c r="AL17" s="373">
        <v>241</v>
      </c>
      <c r="AM17" s="373">
        <v>0</v>
      </c>
      <c r="AN17" s="373">
        <v>189</v>
      </c>
      <c r="AO17" s="61">
        <f t="shared" si="4"/>
        <v>0</v>
      </c>
      <c r="AP17" s="61">
        <f t="shared" si="4"/>
        <v>687</v>
      </c>
      <c r="AQ17" s="15">
        <f t="shared" si="5"/>
        <v>4256</v>
      </c>
      <c r="AR17" s="66">
        <f t="shared" si="5"/>
        <v>4034</v>
      </c>
      <c r="AS17" s="249">
        <f t="shared" si="0"/>
        <v>0.94783834586466165</v>
      </c>
    </row>
    <row r="18" spans="2:46" ht="120">
      <c r="B18" s="762"/>
      <c r="C18" s="773"/>
      <c r="D18" s="374">
        <v>84525</v>
      </c>
      <c r="E18" s="375" t="s">
        <v>154</v>
      </c>
      <c r="F18" s="375" t="s">
        <v>135</v>
      </c>
      <c r="G18" s="381">
        <v>123426</v>
      </c>
      <c r="H18" s="375" t="s">
        <v>785</v>
      </c>
      <c r="I18" s="152" t="s">
        <v>136</v>
      </c>
      <c r="J18" s="377" t="s">
        <v>772</v>
      </c>
      <c r="K18" s="163">
        <v>7054</v>
      </c>
      <c r="L18" s="163">
        <v>7534</v>
      </c>
      <c r="M18" s="163">
        <v>9905</v>
      </c>
      <c r="N18" s="163">
        <v>10151</v>
      </c>
      <c r="O18" s="163">
        <v>10370</v>
      </c>
      <c r="P18" s="163">
        <v>7607</v>
      </c>
      <c r="Q18" s="61">
        <f t="shared" si="1"/>
        <v>27329</v>
      </c>
      <c r="R18" s="61">
        <f t="shared" si="1"/>
        <v>25292</v>
      </c>
      <c r="S18" s="373">
        <v>7190</v>
      </c>
      <c r="T18" s="373">
        <v>4960</v>
      </c>
      <c r="U18" s="373">
        <v>8115</v>
      </c>
      <c r="V18" s="373">
        <v>6670</v>
      </c>
      <c r="W18" s="373">
        <v>8185</v>
      </c>
      <c r="X18" s="373">
        <v>6988</v>
      </c>
      <c r="Y18" s="61">
        <f t="shared" si="2"/>
        <v>23490</v>
      </c>
      <c r="Z18" s="61">
        <f t="shared" si="2"/>
        <v>18618</v>
      </c>
      <c r="AA18" s="373">
        <v>6229</v>
      </c>
      <c r="AB18" s="373">
        <v>7866</v>
      </c>
      <c r="AC18" s="373">
        <v>6264</v>
      </c>
      <c r="AD18" s="373">
        <v>6400</v>
      </c>
      <c r="AE18" s="373">
        <v>5922</v>
      </c>
      <c r="AF18" s="373">
        <v>7729</v>
      </c>
      <c r="AG18" s="61">
        <f t="shared" si="3"/>
        <v>18415</v>
      </c>
      <c r="AH18" s="61">
        <f t="shared" si="3"/>
        <v>21995</v>
      </c>
      <c r="AI18" s="373">
        <v>5332</v>
      </c>
      <c r="AJ18" s="373">
        <v>7160</v>
      </c>
      <c r="AK18" s="373">
        <v>5332</v>
      </c>
      <c r="AL18" s="373">
        <v>7220</v>
      </c>
      <c r="AM18" s="373">
        <v>4627</v>
      </c>
      <c r="AN18" s="373">
        <v>7548</v>
      </c>
      <c r="AO18" s="61">
        <f t="shared" si="4"/>
        <v>15291</v>
      </c>
      <c r="AP18" s="61">
        <f t="shared" si="4"/>
        <v>21928</v>
      </c>
      <c r="AQ18" s="15">
        <f t="shared" si="5"/>
        <v>84525</v>
      </c>
      <c r="AR18" s="66">
        <f t="shared" si="5"/>
        <v>87833</v>
      </c>
      <c r="AS18" s="249">
        <f t="shared" si="0"/>
        <v>1.0391363501922508</v>
      </c>
      <c r="AT18" s="62"/>
    </row>
    <row r="19" spans="2:46" ht="120">
      <c r="B19" s="762"/>
      <c r="C19" s="773"/>
      <c r="D19" s="374">
        <v>21500</v>
      </c>
      <c r="E19" s="152" t="s">
        <v>154</v>
      </c>
      <c r="F19" s="152" t="s">
        <v>135</v>
      </c>
      <c r="G19" s="384">
        <v>34000</v>
      </c>
      <c r="H19" s="385" t="s">
        <v>775</v>
      </c>
      <c r="I19" s="152" t="s">
        <v>136</v>
      </c>
      <c r="J19" s="386" t="s">
        <v>527</v>
      </c>
      <c r="K19" s="105">
        <v>2500</v>
      </c>
      <c r="L19" s="105">
        <v>2055</v>
      </c>
      <c r="M19" s="105">
        <v>3000</v>
      </c>
      <c r="N19" s="105">
        <v>2930</v>
      </c>
      <c r="O19" s="105">
        <v>3000</v>
      </c>
      <c r="P19" s="105">
        <v>2362</v>
      </c>
      <c r="Q19" s="61">
        <f>K19+M19+O19</f>
        <v>8500</v>
      </c>
      <c r="R19" s="61">
        <f>L19+N19+P19</f>
        <v>7347</v>
      </c>
      <c r="S19" s="128">
        <v>1400</v>
      </c>
      <c r="T19" s="223">
        <v>1384</v>
      </c>
      <c r="U19" s="223">
        <v>1500</v>
      </c>
      <c r="V19" s="223">
        <v>1534</v>
      </c>
      <c r="W19" s="223">
        <f>+U19</f>
        <v>1500</v>
      </c>
      <c r="X19" s="223">
        <v>1378</v>
      </c>
      <c r="Y19" s="61">
        <f>S19+U19+W19</f>
        <v>4400</v>
      </c>
      <c r="Z19" s="61">
        <f>T19+V19+X19</f>
        <v>4296</v>
      </c>
      <c r="AA19" s="128">
        <v>1500</v>
      </c>
      <c r="AB19" s="128">
        <v>2142</v>
      </c>
      <c r="AC19" s="128">
        <v>1500</v>
      </c>
      <c r="AD19" s="128">
        <v>1858</v>
      </c>
      <c r="AE19" s="128">
        <v>1500</v>
      </c>
      <c r="AF19" s="128">
        <v>1875</v>
      </c>
      <c r="AG19" s="61">
        <f>AA19+AC19+AE19</f>
        <v>4500</v>
      </c>
      <c r="AH19" s="61">
        <f>AB19+AD19+AF19</f>
        <v>5875</v>
      </c>
      <c r="AI19" s="128">
        <v>1500</v>
      </c>
      <c r="AJ19" s="128">
        <v>1897</v>
      </c>
      <c r="AK19" s="128">
        <v>1500</v>
      </c>
      <c r="AL19" s="128">
        <v>1723</v>
      </c>
      <c r="AM19" s="128">
        <v>1100</v>
      </c>
      <c r="AN19" s="128">
        <v>1952</v>
      </c>
      <c r="AO19" s="61">
        <f>AI19+AK19+AM19</f>
        <v>4100</v>
      </c>
      <c r="AP19" s="61">
        <f>AJ19+AL19+AN19</f>
        <v>5572</v>
      </c>
      <c r="AQ19" s="15">
        <f>Q19+Y19+AG19+AO19</f>
        <v>21500</v>
      </c>
      <c r="AR19" s="66">
        <f>R19+Z19+AH19+AP19</f>
        <v>23090</v>
      </c>
      <c r="AS19" s="249">
        <f t="shared" si="0"/>
        <v>1.0739534883720929</v>
      </c>
      <c r="AT19" s="62"/>
    </row>
    <row r="20" spans="2:46" ht="120">
      <c r="B20" s="761"/>
      <c r="C20" s="773"/>
      <c r="D20" s="374">
        <v>16000</v>
      </c>
      <c r="E20" s="375" t="s">
        <v>154</v>
      </c>
      <c r="F20" s="375" t="s">
        <v>135</v>
      </c>
      <c r="G20" s="376">
        <v>20500</v>
      </c>
      <c r="H20" s="375" t="s">
        <v>786</v>
      </c>
      <c r="I20" s="152" t="s">
        <v>136</v>
      </c>
      <c r="J20" s="386" t="s">
        <v>526</v>
      </c>
      <c r="K20" s="105">
        <v>1500</v>
      </c>
      <c r="L20" s="105">
        <v>828</v>
      </c>
      <c r="M20" s="105">
        <v>1500</v>
      </c>
      <c r="N20" s="105">
        <v>1566</v>
      </c>
      <c r="O20" s="105">
        <v>1700</v>
      </c>
      <c r="P20" s="105">
        <v>1273</v>
      </c>
      <c r="Q20" s="61">
        <f>K20+M20+O20</f>
        <v>4700</v>
      </c>
      <c r="R20" s="61">
        <f>L20+N20+P20</f>
        <v>3667</v>
      </c>
      <c r="S20" s="128">
        <v>700</v>
      </c>
      <c r="T20" s="128">
        <v>1529</v>
      </c>
      <c r="U20" s="128">
        <v>770</v>
      </c>
      <c r="V20" s="128">
        <v>1548</v>
      </c>
      <c r="W20" s="128">
        <v>780</v>
      </c>
      <c r="X20" s="128">
        <v>1456</v>
      </c>
      <c r="Y20" s="61">
        <f>S20+U20+W20</f>
        <v>2250</v>
      </c>
      <c r="Z20" s="61">
        <f>T20+V20+X20</f>
        <v>4533</v>
      </c>
      <c r="AA20" s="128">
        <v>1800</v>
      </c>
      <c r="AB20" s="128">
        <v>1813</v>
      </c>
      <c r="AC20" s="128">
        <v>2000</v>
      </c>
      <c r="AD20" s="128">
        <v>2127</v>
      </c>
      <c r="AE20" s="128">
        <v>1500</v>
      </c>
      <c r="AF20" s="128">
        <v>1967</v>
      </c>
      <c r="AG20" s="61">
        <f>AA20+AC20+AE20</f>
        <v>5300</v>
      </c>
      <c r="AH20" s="61">
        <f>AB20+AD20+AF20</f>
        <v>5907</v>
      </c>
      <c r="AI20" s="128">
        <v>1500</v>
      </c>
      <c r="AJ20" s="128">
        <v>1731</v>
      </c>
      <c r="AK20" s="128">
        <v>1500</v>
      </c>
      <c r="AL20" s="128">
        <v>2049</v>
      </c>
      <c r="AM20" s="128">
        <v>750</v>
      </c>
      <c r="AN20" s="128">
        <v>2126</v>
      </c>
      <c r="AO20" s="61">
        <f>AI20+AK20+AM20</f>
        <v>3750</v>
      </c>
      <c r="AP20" s="61">
        <f>AJ20+AL20+AN20</f>
        <v>5906</v>
      </c>
      <c r="AQ20" s="15">
        <f>Q20+Y20+AG20+AO20</f>
        <v>16000</v>
      </c>
      <c r="AR20" s="66">
        <f>R20+Z20+AH20+AP20</f>
        <v>20013</v>
      </c>
      <c r="AS20" s="249">
        <f t="shared" si="0"/>
        <v>1.2508125000000001</v>
      </c>
      <c r="AT20" s="62"/>
    </row>
    <row r="21" spans="2:46" ht="195">
      <c r="B21" s="761"/>
      <c r="C21" s="773"/>
      <c r="D21" s="387" t="s">
        <v>146</v>
      </c>
      <c r="E21" s="156" t="s">
        <v>190</v>
      </c>
      <c r="F21" s="157" t="s">
        <v>147</v>
      </c>
      <c r="G21" s="158" t="s">
        <v>148</v>
      </c>
      <c r="H21" s="388" t="s">
        <v>149</v>
      </c>
      <c r="I21" s="152" t="s">
        <v>150</v>
      </c>
      <c r="J21" s="383" t="s">
        <v>531</v>
      </c>
      <c r="K21" s="319">
        <v>0.80000000000000016</v>
      </c>
      <c r="L21" s="315">
        <v>0.86399999999999999</v>
      </c>
      <c r="M21" s="319">
        <v>0.80000000000000016</v>
      </c>
      <c r="N21" s="315">
        <v>0.80500000000000005</v>
      </c>
      <c r="O21" s="319">
        <v>0.80000000000000016</v>
      </c>
      <c r="P21" s="315">
        <v>0.88200000000000001</v>
      </c>
      <c r="Q21" s="249">
        <f>AVERAGE(K21,M21,O21)</f>
        <v>0.80000000000000016</v>
      </c>
      <c r="R21" s="247">
        <f>IFERROR(IF(OR(AQ21="",AQ21=0),0,ROUNDDOWN(AVERAGE(L21,N21,P21),3)),0)</f>
        <v>0.85</v>
      </c>
      <c r="S21" s="335">
        <v>0.80000000000000016</v>
      </c>
      <c r="T21" s="308">
        <v>0.84699999999999998</v>
      </c>
      <c r="U21" s="335">
        <v>0.80000000000000016</v>
      </c>
      <c r="V21" s="308">
        <v>0.8</v>
      </c>
      <c r="W21" s="335">
        <v>0.80000000000000016</v>
      </c>
      <c r="X21" s="308">
        <v>0.85699999999999998</v>
      </c>
      <c r="Y21" s="249">
        <f>AVERAGE(S21,U21,W21)</f>
        <v>0.80000000000000016</v>
      </c>
      <c r="Z21" s="249">
        <f>IFERROR(AVERAGE(T21,V21,X21),0)</f>
        <v>0.83466666666666667</v>
      </c>
      <c r="AA21" s="335">
        <v>0.80000000000000016</v>
      </c>
      <c r="AB21" s="308">
        <f>108/129</f>
        <v>0.83720930232558144</v>
      </c>
      <c r="AC21" s="335">
        <v>0.80000000000000016</v>
      </c>
      <c r="AD21" s="308">
        <f>88/101</f>
        <v>0.87128712871287128</v>
      </c>
      <c r="AE21" s="335">
        <v>0.80000000000000016</v>
      </c>
      <c r="AF21" s="308">
        <f>70/85</f>
        <v>0.82352941176470584</v>
      </c>
      <c r="AG21" s="249">
        <f>AVERAGE(AA21,AC21,AE21)</f>
        <v>0.80000000000000016</v>
      </c>
      <c r="AH21" s="249">
        <f>IFERROR(AVERAGE(AB21,AD21,AF21),0)</f>
        <v>0.84400861426771956</v>
      </c>
      <c r="AI21" s="335">
        <v>0.80000000000000016</v>
      </c>
      <c r="AJ21" s="308">
        <v>0.88700000000000001</v>
      </c>
      <c r="AK21" s="335">
        <v>0.80000000000000016</v>
      </c>
      <c r="AL21" s="308">
        <v>0.85899999999999999</v>
      </c>
      <c r="AM21" s="335">
        <v>0.80000000000000016</v>
      </c>
      <c r="AN21" s="308">
        <v>0.88700000000000001</v>
      </c>
      <c r="AO21" s="249">
        <f>AVERAGE(AI21,AK21,AM21)</f>
        <v>0.80000000000000016</v>
      </c>
      <c r="AP21" s="249">
        <f>IFERROR(AVERAGE(AJ21,AL21,AN21),0)</f>
        <v>0.87766666666666671</v>
      </c>
      <c r="AQ21" s="249">
        <f>AVERAGE(Q21,Y21,AG21,AO21)</f>
        <v>0.80000000000000016</v>
      </c>
      <c r="AR21" s="249">
        <f>IFERROR(IF(OR(AQ21="",AQ21=0),0,ROUNDDOWN(AVERAGE(L21,N21,P21,T21,V21,X21,AB21,AD21,AF21,AJ21,AL21,AN21),3)),0)</f>
        <v>0.85099999999999998</v>
      </c>
      <c r="AS21" s="249">
        <f t="shared" ref="AS21:AS33" si="6">IF(AND(AR21&gt;0,AQ21&gt;0),AR21/AQ21,0)</f>
        <v>1.0637499999999998</v>
      </c>
      <c r="AT21" s="62"/>
    </row>
    <row r="22" spans="2:46" ht="90">
      <c r="B22" s="762"/>
      <c r="C22" s="431" t="s">
        <v>413</v>
      </c>
      <c r="D22" s="374">
        <v>7460</v>
      </c>
      <c r="E22" s="375" t="s">
        <v>188</v>
      </c>
      <c r="F22" s="375" t="s">
        <v>137</v>
      </c>
      <c r="G22" s="376">
        <v>17000</v>
      </c>
      <c r="H22" s="375" t="s">
        <v>787</v>
      </c>
      <c r="I22" s="152" t="s">
        <v>138</v>
      </c>
      <c r="J22" s="383" t="s">
        <v>139</v>
      </c>
      <c r="K22" s="163">
        <v>1300</v>
      </c>
      <c r="L22" s="163">
        <v>1357</v>
      </c>
      <c r="M22" s="163">
        <v>1500</v>
      </c>
      <c r="N22" s="163">
        <v>1282</v>
      </c>
      <c r="O22" s="163">
        <v>1300</v>
      </c>
      <c r="P22" s="163">
        <v>225</v>
      </c>
      <c r="Q22" s="63">
        <f t="shared" si="1"/>
        <v>4100</v>
      </c>
      <c r="R22" s="63">
        <f t="shared" si="1"/>
        <v>2864</v>
      </c>
      <c r="S22" s="373">
        <v>1120</v>
      </c>
      <c r="T22" s="373">
        <v>8</v>
      </c>
      <c r="U22" s="373">
        <v>1120</v>
      </c>
      <c r="V22" s="373">
        <v>14</v>
      </c>
      <c r="W22" s="373">
        <v>1120</v>
      </c>
      <c r="X22" s="373">
        <v>111</v>
      </c>
      <c r="Y22" s="63">
        <f t="shared" si="2"/>
        <v>3360</v>
      </c>
      <c r="Z22" s="63">
        <f t="shared" si="2"/>
        <v>133</v>
      </c>
      <c r="AA22" s="373">
        <v>0</v>
      </c>
      <c r="AB22" s="373">
        <v>99</v>
      </c>
      <c r="AC22" s="373">
        <v>0</v>
      </c>
      <c r="AD22" s="373">
        <v>131</v>
      </c>
      <c r="AE22" s="373">
        <v>0</v>
      </c>
      <c r="AF22" s="373">
        <v>412</v>
      </c>
      <c r="AG22" s="63">
        <f t="shared" si="3"/>
        <v>0</v>
      </c>
      <c r="AH22" s="63">
        <f t="shared" si="3"/>
        <v>642</v>
      </c>
      <c r="AI22" s="373">
        <v>0</v>
      </c>
      <c r="AJ22" s="373">
        <v>1272</v>
      </c>
      <c r="AK22" s="373">
        <v>0</v>
      </c>
      <c r="AL22" s="373">
        <v>1229</v>
      </c>
      <c r="AM22" s="373">
        <v>0</v>
      </c>
      <c r="AN22" s="373">
        <v>1325</v>
      </c>
      <c r="AO22" s="63">
        <f t="shared" si="4"/>
        <v>0</v>
      </c>
      <c r="AP22" s="63">
        <f t="shared" si="4"/>
        <v>3826</v>
      </c>
      <c r="AQ22" s="15">
        <f t="shared" si="5"/>
        <v>7460</v>
      </c>
      <c r="AR22" s="66">
        <f t="shared" si="5"/>
        <v>7465</v>
      </c>
      <c r="AS22" s="249">
        <f t="shared" si="6"/>
        <v>1.0006702412868633</v>
      </c>
    </row>
    <row r="23" spans="2:46" ht="105">
      <c r="B23" s="762"/>
      <c r="C23" s="155" t="s">
        <v>467</v>
      </c>
      <c r="D23" s="374">
        <v>1</v>
      </c>
      <c r="E23" s="152" t="s">
        <v>468</v>
      </c>
      <c r="F23" s="152" t="s">
        <v>469</v>
      </c>
      <c r="G23" s="151">
        <v>1</v>
      </c>
      <c r="H23" s="375" t="s">
        <v>470</v>
      </c>
      <c r="I23" s="152" t="s">
        <v>140</v>
      </c>
      <c r="J23" s="382" t="s">
        <v>530</v>
      </c>
      <c r="K23" s="163">
        <v>0</v>
      </c>
      <c r="L23" s="163">
        <v>0</v>
      </c>
      <c r="M23" s="163">
        <v>0</v>
      </c>
      <c r="N23" s="163">
        <v>0</v>
      </c>
      <c r="O23" s="163">
        <v>0</v>
      </c>
      <c r="P23" s="163">
        <v>0</v>
      </c>
      <c r="Q23" s="63">
        <f t="shared" si="1"/>
        <v>0</v>
      </c>
      <c r="R23" s="63">
        <f t="shared" si="1"/>
        <v>0</v>
      </c>
      <c r="S23" s="373">
        <v>0</v>
      </c>
      <c r="T23" s="373">
        <v>0</v>
      </c>
      <c r="U23" s="373">
        <v>0</v>
      </c>
      <c r="V23" s="373">
        <v>0</v>
      </c>
      <c r="W23" s="373">
        <v>0</v>
      </c>
      <c r="X23" s="373">
        <v>0</v>
      </c>
      <c r="Y23" s="63">
        <f t="shared" si="2"/>
        <v>0</v>
      </c>
      <c r="Z23" s="63">
        <f t="shared" si="2"/>
        <v>0</v>
      </c>
      <c r="AA23" s="373">
        <v>0</v>
      </c>
      <c r="AB23" s="373">
        <v>0</v>
      </c>
      <c r="AC23" s="373">
        <v>0</v>
      </c>
      <c r="AD23" s="373">
        <v>0</v>
      </c>
      <c r="AE23" s="373">
        <v>0</v>
      </c>
      <c r="AF23" s="373">
        <v>0</v>
      </c>
      <c r="AG23" s="63">
        <f t="shared" si="3"/>
        <v>0</v>
      </c>
      <c r="AH23" s="63">
        <f t="shared" si="3"/>
        <v>0</v>
      </c>
      <c r="AI23" s="373">
        <v>1</v>
      </c>
      <c r="AJ23" s="373">
        <v>0</v>
      </c>
      <c r="AK23" s="373">
        <v>0</v>
      </c>
      <c r="AL23" s="373">
        <v>0</v>
      </c>
      <c r="AM23" s="373">
        <v>0</v>
      </c>
      <c r="AN23" s="373">
        <v>1</v>
      </c>
      <c r="AO23" s="63">
        <f t="shared" si="4"/>
        <v>1</v>
      </c>
      <c r="AP23" s="63">
        <f t="shared" si="4"/>
        <v>1</v>
      </c>
      <c r="AQ23" s="15">
        <f t="shared" si="5"/>
        <v>1</v>
      </c>
      <c r="AR23" s="66">
        <f t="shared" si="5"/>
        <v>1</v>
      </c>
      <c r="AS23" s="249">
        <f t="shared" si="6"/>
        <v>1</v>
      </c>
    </row>
    <row r="24" spans="2:46" ht="113.25" customHeight="1">
      <c r="B24" s="762"/>
      <c r="C24" s="155" t="s">
        <v>414</v>
      </c>
      <c r="D24" s="378">
        <v>1</v>
      </c>
      <c r="E24" s="156" t="s">
        <v>189</v>
      </c>
      <c r="F24" s="156" t="s">
        <v>141</v>
      </c>
      <c r="G24" s="157">
        <v>1</v>
      </c>
      <c r="H24" s="388" t="s">
        <v>142</v>
      </c>
      <c r="I24" s="152" t="s">
        <v>143</v>
      </c>
      <c r="J24" s="389" t="s">
        <v>773</v>
      </c>
      <c r="K24" s="163">
        <v>0</v>
      </c>
      <c r="L24" s="163">
        <v>0</v>
      </c>
      <c r="M24" s="163">
        <v>0</v>
      </c>
      <c r="N24" s="163">
        <v>0</v>
      </c>
      <c r="O24" s="163">
        <v>0</v>
      </c>
      <c r="P24" s="163">
        <v>0</v>
      </c>
      <c r="Q24" s="63">
        <f t="shared" si="1"/>
        <v>0</v>
      </c>
      <c r="R24" s="63">
        <f t="shared" si="1"/>
        <v>0</v>
      </c>
      <c r="S24" s="373">
        <v>0</v>
      </c>
      <c r="T24" s="373">
        <v>0</v>
      </c>
      <c r="U24" s="373">
        <v>0</v>
      </c>
      <c r="V24" s="373">
        <v>0</v>
      </c>
      <c r="W24" s="373">
        <v>0</v>
      </c>
      <c r="X24" s="373">
        <v>0</v>
      </c>
      <c r="Y24" s="63">
        <f t="shared" si="2"/>
        <v>0</v>
      </c>
      <c r="Z24" s="63">
        <f t="shared" si="2"/>
        <v>0</v>
      </c>
      <c r="AA24" s="373">
        <v>0</v>
      </c>
      <c r="AB24" s="373">
        <v>0</v>
      </c>
      <c r="AC24" s="373">
        <v>0</v>
      </c>
      <c r="AD24" s="373">
        <v>0</v>
      </c>
      <c r="AE24" s="373">
        <v>0</v>
      </c>
      <c r="AF24" s="373">
        <v>0</v>
      </c>
      <c r="AG24" s="63">
        <f t="shared" si="3"/>
        <v>0</v>
      </c>
      <c r="AH24" s="63">
        <f t="shared" si="3"/>
        <v>0</v>
      </c>
      <c r="AI24" s="373">
        <v>0</v>
      </c>
      <c r="AJ24" s="373">
        <v>0</v>
      </c>
      <c r="AK24" s="373">
        <v>1</v>
      </c>
      <c r="AL24" s="373">
        <v>0</v>
      </c>
      <c r="AM24" s="373">
        <v>0</v>
      </c>
      <c r="AN24" s="373">
        <v>1</v>
      </c>
      <c r="AO24" s="63">
        <f t="shared" si="4"/>
        <v>1</v>
      </c>
      <c r="AP24" s="63">
        <f t="shared" si="4"/>
        <v>1</v>
      </c>
      <c r="AQ24" s="15">
        <f t="shared" si="5"/>
        <v>1</v>
      </c>
      <c r="AR24" s="66">
        <f t="shared" si="5"/>
        <v>1</v>
      </c>
      <c r="AS24" s="249">
        <f t="shared" si="6"/>
        <v>1</v>
      </c>
    </row>
    <row r="25" spans="2:46" ht="120">
      <c r="B25" s="762"/>
      <c r="C25" s="155" t="s">
        <v>471</v>
      </c>
      <c r="D25" s="374">
        <v>5</v>
      </c>
      <c r="E25" s="152" t="s">
        <v>472</v>
      </c>
      <c r="F25" s="152" t="s">
        <v>144</v>
      </c>
      <c r="G25" s="151">
        <v>5</v>
      </c>
      <c r="H25" s="375" t="s">
        <v>776</v>
      </c>
      <c r="I25" s="152" t="s">
        <v>473</v>
      </c>
      <c r="J25" s="383" t="s">
        <v>145</v>
      </c>
      <c r="K25" s="163">
        <v>0</v>
      </c>
      <c r="L25" s="163">
        <v>0</v>
      </c>
      <c r="M25" s="163">
        <v>0</v>
      </c>
      <c r="N25" s="163">
        <v>0</v>
      </c>
      <c r="O25" s="163">
        <v>1</v>
      </c>
      <c r="P25" s="163">
        <v>0</v>
      </c>
      <c r="Q25" s="63">
        <f t="shared" si="1"/>
        <v>1</v>
      </c>
      <c r="R25" s="63">
        <f t="shared" si="1"/>
        <v>0</v>
      </c>
      <c r="S25" s="373">
        <v>0</v>
      </c>
      <c r="T25" s="373">
        <v>0</v>
      </c>
      <c r="U25" s="373">
        <v>0</v>
      </c>
      <c r="V25" s="373">
        <v>0</v>
      </c>
      <c r="W25" s="373">
        <v>0</v>
      </c>
      <c r="X25" s="373">
        <v>0</v>
      </c>
      <c r="Y25" s="63">
        <f t="shared" si="2"/>
        <v>0</v>
      </c>
      <c r="Z25" s="63">
        <f t="shared" si="2"/>
        <v>0</v>
      </c>
      <c r="AA25" s="373">
        <v>0</v>
      </c>
      <c r="AB25" s="373">
        <v>0</v>
      </c>
      <c r="AC25" s="373">
        <v>2</v>
      </c>
      <c r="AD25" s="373">
        <v>0</v>
      </c>
      <c r="AE25" s="373">
        <v>1</v>
      </c>
      <c r="AF25" s="373">
        <v>0</v>
      </c>
      <c r="AG25" s="63">
        <f t="shared" si="3"/>
        <v>3</v>
      </c>
      <c r="AH25" s="63">
        <f t="shared" si="3"/>
        <v>0</v>
      </c>
      <c r="AI25" s="373">
        <v>1</v>
      </c>
      <c r="AJ25" s="373">
        <v>5</v>
      </c>
      <c r="AK25" s="373">
        <v>0</v>
      </c>
      <c r="AL25" s="373">
        <v>0</v>
      </c>
      <c r="AM25" s="373">
        <v>0</v>
      </c>
      <c r="AN25" s="373">
        <v>0</v>
      </c>
      <c r="AO25" s="63">
        <f t="shared" si="4"/>
        <v>1</v>
      </c>
      <c r="AP25" s="63">
        <f t="shared" si="4"/>
        <v>5</v>
      </c>
      <c r="AQ25" s="15">
        <f t="shared" si="5"/>
        <v>5</v>
      </c>
      <c r="AR25" s="66">
        <f t="shared" si="5"/>
        <v>5</v>
      </c>
      <c r="AS25" s="249">
        <f t="shared" si="6"/>
        <v>1</v>
      </c>
    </row>
    <row r="26" spans="2:46" ht="225">
      <c r="B26" s="762"/>
      <c r="C26" s="155" t="s">
        <v>459</v>
      </c>
      <c r="D26" s="374">
        <v>20</v>
      </c>
      <c r="E26" s="152" t="s">
        <v>192</v>
      </c>
      <c r="F26" s="150" t="s">
        <v>153</v>
      </c>
      <c r="G26" s="151">
        <v>34</v>
      </c>
      <c r="H26" s="351" t="s">
        <v>524</v>
      </c>
      <c r="I26" s="150" t="s">
        <v>474</v>
      </c>
      <c r="J26" s="320" t="s">
        <v>525</v>
      </c>
      <c r="K26" s="163">
        <v>0</v>
      </c>
      <c r="L26" s="163">
        <v>0</v>
      </c>
      <c r="M26" s="163">
        <v>0</v>
      </c>
      <c r="N26" s="163">
        <v>0</v>
      </c>
      <c r="O26" s="163">
        <v>0</v>
      </c>
      <c r="P26" s="163">
        <v>0</v>
      </c>
      <c r="Q26" s="63">
        <f t="shared" si="1"/>
        <v>0</v>
      </c>
      <c r="R26" s="63">
        <f t="shared" si="1"/>
        <v>0</v>
      </c>
      <c r="S26" s="373">
        <v>6</v>
      </c>
      <c r="T26" s="373">
        <v>3</v>
      </c>
      <c r="U26" s="373">
        <v>5</v>
      </c>
      <c r="V26" s="373">
        <v>0</v>
      </c>
      <c r="W26" s="373">
        <v>4</v>
      </c>
      <c r="X26" s="373">
        <v>7</v>
      </c>
      <c r="Y26" s="63">
        <f t="shared" si="2"/>
        <v>15</v>
      </c>
      <c r="Z26" s="63">
        <f t="shared" si="2"/>
        <v>10</v>
      </c>
      <c r="AA26" s="373">
        <v>2</v>
      </c>
      <c r="AB26" s="373">
        <v>3</v>
      </c>
      <c r="AC26" s="373">
        <v>2</v>
      </c>
      <c r="AD26" s="373">
        <v>3</v>
      </c>
      <c r="AE26" s="373">
        <v>0</v>
      </c>
      <c r="AF26" s="373">
        <v>1</v>
      </c>
      <c r="AG26" s="63">
        <f t="shared" si="3"/>
        <v>4</v>
      </c>
      <c r="AH26" s="63">
        <f t="shared" si="3"/>
        <v>7</v>
      </c>
      <c r="AI26" s="373">
        <v>1</v>
      </c>
      <c r="AJ26" s="373">
        <v>1</v>
      </c>
      <c r="AK26" s="373">
        <v>0</v>
      </c>
      <c r="AL26" s="373">
        <v>1</v>
      </c>
      <c r="AM26" s="373">
        <v>0</v>
      </c>
      <c r="AN26" s="373">
        <v>1</v>
      </c>
      <c r="AO26" s="63">
        <f t="shared" si="4"/>
        <v>1</v>
      </c>
      <c r="AP26" s="63">
        <f t="shared" si="4"/>
        <v>3</v>
      </c>
      <c r="AQ26" s="15">
        <f t="shared" ref="AQ26:AQ33" si="7">+Q26+Y26+AG26+AO26</f>
        <v>20</v>
      </c>
      <c r="AR26" s="66">
        <f t="shared" si="5"/>
        <v>20</v>
      </c>
      <c r="AS26" s="249">
        <f t="shared" si="6"/>
        <v>1</v>
      </c>
    </row>
    <row r="27" spans="2:46" ht="112.5" customHeight="1">
      <c r="B27" s="762"/>
      <c r="C27" s="155" t="s">
        <v>460</v>
      </c>
      <c r="D27" s="390">
        <v>20000</v>
      </c>
      <c r="E27" s="391" t="s">
        <v>155</v>
      </c>
      <c r="F27" s="392" t="s">
        <v>156</v>
      </c>
      <c r="G27" s="384">
        <v>18000</v>
      </c>
      <c r="H27" s="386" t="s">
        <v>157</v>
      </c>
      <c r="I27" s="393" t="s">
        <v>158</v>
      </c>
      <c r="J27" s="383" t="s">
        <v>527</v>
      </c>
      <c r="K27" s="105">
        <v>0</v>
      </c>
      <c r="L27" s="105">
        <v>825</v>
      </c>
      <c r="M27" s="105">
        <v>2000</v>
      </c>
      <c r="N27" s="105">
        <v>2089</v>
      </c>
      <c r="O27" s="105">
        <v>2000</v>
      </c>
      <c r="P27" s="105">
        <v>1335</v>
      </c>
      <c r="Q27" s="61">
        <f t="shared" si="1"/>
        <v>4000</v>
      </c>
      <c r="R27" s="61">
        <f t="shared" si="1"/>
        <v>4249</v>
      </c>
      <c r="S27" s="128">
        <v>2000</v>
      </c>
      <c r="T27" s="128">
        <v>507</v>
      </c>
      <c r="U27" s="128">
        <v>2000</v>
      </c>
      <c r="V27" s="128">
        <v>792</v>
      </c>
      <c r="W27" s="128">
        <v>2000</v>
      </c>
      <c r="X27" s="128">
        <v>1310</v>
      </c>
      <c r="Y27" s="61">
        <f t="shared" si="2"/>
        <v>6000</v>
      </c>
      <c r="Z27" s="61">
        <f t="shared" si="2"/>
        <v>2609</v>
      </c>
      <c r="AA27" s="128">
        <v>2000</v>
      </c>
      <c r="AB27" s="128">
        <v>1351</v>
      </c>
      <c r="AC27" s="128">
        <v>2000</v>
      </c>
      <c r="AD27" s="128">
        <v>2409</v>
      </c>
      <c r="AE27" s="128">
        <v>2000</v>
      </c>
      <c r="AF27" s="128">
        <v>1636</v>
      </c>
      <c r="AG27" s="61">
        <f t="shared" si="3"/>
        <v>6000</v>
      </c>
      <c r="AH27" s="61">
        <f t="shared" si="3"/>
        <v>5396</v>
      </c>
      <c r="AI27" s="128">
        <v>2000</v>
      </c>
      <c r="AJ27" s="128">
        <v>1538</v>
      </c>
      <c r="AK27" s="128">
        <v>2000</v>
      </c>
      <c r="AL27" s="128">
        <v>2228</v>
      </c>
      <c r="AM27" s="128">
        <v>0</v>
      </c>
      <c r="AN27" s="128">
        <v>1299</v>
      </c>
      <c r="AO27" s="63">
        <f t="shared" ref="AO27:AP33" si="8">AI27+AK27+AM27</f>
        <v>4000</v>
      </c>
      <c r="AP27" s="63">
        <f t="shared" si="8"/>
        <v>5065</v>
      </c>
      <c r="AQ27" s="15">
        <f t="shared" si="7"/>
        <v>20000</v>
      </c>
      <c r="AR27" s="66">
        <f t="shared" ref="AR27:AR33" si="9">R27+Z27+AH27+AP27</f>
        <v>17319</v>
      </c>
      <c r="AS27" s="249">
        <f t="shared" si="6"/>
        <v>0.86595</v>
      </c>
    </row>
    <row r="28" spans="2:46" ht="105" customHeight="1">
      <c r="B28" s="762"/>
      <c r="C28" s="155" t="s">
        <v>461</v>
      </c>
      <c r="D28" s="390">
        <v>5500</v>
      </c>
      <c r="E28" s="391" t="s">
        <v>159</v>
      </c>
      <c r="F28" s="392" t="s">
        <v>160</v>
      </c>
      <c r="G28" s="384">
        <v>5000</v>
      </c>
      <c r="H28" s="386" t="s">
        <v>161</v>
      </c>
      <c r="I28" s="393" t="s">
        <v>162</v>
      </c>
      <c r="J28" s="383" t="s">
        <v>527</v>
      </c>
      <c r="K28" s="105">
        <v>0</v>
      </c>
      <c r="L28" s="105">
        <v>202</v>
      </c>
      <c r="M28" s="105">
        <v>550</v>
      </c>
      <c r="N28" s="105">
        <v>636</v>
      </c>
      <c r="O28" s="105">
        <v>550</v>
      </c>
      <c r="P28" s="105">
        <v>367</v>
      </c>
      <c r="Q28" s="61">
        <f t="shared" si="1"/>
        <v>1100</v>
      </c>
      <c r="R28" s="61">
        <f t="shared" si="1"/>
        <v>1205</v>
      </c>
      <c r="S28" s="128">
        <v>550</v>
      </c>
      <c r="T28" s="128">
        <v>1</v>
      </c>
      <c r="U28" s="128">
        <v>550</v>
      </c>
      <c r="V28" s="128">
        <v>252</v>
      </c>
      <c r="W28" s="128">
        <v>550</v>
      </c>
      <c r="X28" s="128">
        <v>413</v>
      </c>
      <c r="Y28" s="61">
        <f t="shared" si="2"/>
        <v>1650</v>
      </c>
      <c r="Z28" s="61">
        <f t="shared" si="2"/>
        <v>666</v>
      </c>
      <c r="AA28" s="128">
        <v>550</v>
      </c>
      <c r="AB28" s="128">
        <v>555</v>
      </c>
      <c r="AC28" s="128">
        <v>550</v>
      </c>
      <c r="AD28" s="128">
        <v>734</v>
      </c>
      <c r="AE28" s="128">
        <v>550</v>
      </c>
      <c r="AF28" s="128">
        <v>838</v>
      </c>
      <c r="AG28" s="61">
        <f t="shared" si="3"/>
        <v>1650</v>
      </c>
      <c r="AH28" s="61">
        <f t="shared" si="3"/>
        <v>2127</v>
      </c>
      <c r="AI28" s="128">
        <v>550</v>
      </c>
      <c r="AJ28" s="128">
        <v>607</v>
      </c>
      <c r="AK28" s="128">
        <v>550</v>
      </c>
      <c r="AL28" s="128">
        <v>992</v>
      </c>
      <c r="AM28" s="128">
        <v>0</v>
      </c>
      <c r="AN28" s="128">
        <v>511</v>
      </c>
      <c r="AO28" s="63">
        <f t="shared" si="8"/>
        <v>1100</v>
      </c>
      <c r="AP28" s="63">
        <f t="shared" si="8"/>
        <v>2110</v>
      </c>
      <c r="AQ28" s="15">
        <f t="shared" si="7"/>
        <v>5500</v>
      </c>
      <c r="AR28" s="66">
        <f t="shared" si="9"/>
        <v>6108</v>
      </c>
      <c r="AS28" s="249">
        <f t="shared" si="6"/>
        <v>1.1105454545454545</v>
      </c>
    </row>
    <row r="29" spans="2:46" ht="69.75" customHeight="1">
      <c r="B29" s="762"/>
      <c r="C29" s="155" t="s">
        <v>462</v>
      </c>
      <c r="D29" s="394">
        <v>8000</v>
      </c>
      <c r="E29" s="395" t="s">
        <v>758</v>
      </c>
      <c r="F29" s="395" t="s">
        <v>163</v>
      </c>
      <c r="G29" s="396">
        <v>6000</v>
      </c>
      <c r="H29" s="385" t="s">
        <v>788</v>
      </c>
      <c r="I29" s="393" t="s">
        <v>164</v>
      </c>
      <c r="J29" s="383" t="s">
        <v>527</v>
      </c>
      <c r="K29" s="105">
        <v>0</v>
      </c>
      <c r="L29" s="105">
        <v>0</v>
      </c>
      <c r="M29" s="105">
        <v>800</v>
      </c>
      <c r="N29" s="105">
        <v>1196</v>
      </c>
      <c r="O29" s="105">
        <v>800</v>
      </c>
      <c r="P29" s="105">
        <v>311</v>
      </c>
      <c r="Q29" s="63">
        <f t="shared" si="1"/>
        <v>1600</v>
      </c>
      <c r="R29" s="63">
        <f t="shared" si="1"/>
        <v>1507</v>
      </c>
      <c r="S29" s="128">
        <v>250</v>
      </c>
      <c r="T29" s="128">
        <v>124</v>
      </c>
      <c r="U29" s="128">
        <v>450</v>
      </c>
      <c r="V29" s="128">
        <v>1728</v>
      </c>
      <c r="W29" s="128">
        <f>+U29</f>
        <v>450</v>
      </c>
      <c r="X29" s="128">
        <v>981</v>
      </c>
      <c r="Y29" s="63">
        <f t="shared" si="2"/>
        <v>1150</v>
      </c>
      <c r="Z29" s="63">
        <f t="shared" si="2"/>
        <v>2833</v>
      </c>
      <c r="AA29" s="128">
        <v>50</v>
      </c>
      <c r="AB29" s="128">
        <v>69</v>
      </c>
      <c r="AC29" s="128">
        <v>3000</v>
      </c>
      <c r="AD29" s="128">
        <v>3282</v>
      </c>
      <c r="AE29" s="128">
        <v>800</v>
      </c>
      <c r="AF29" s="128">
        <v>1983</v>
      </c>
      <c r="AG29" s="63">
        <f t="shared" si="3"/>
        <v>3850</v>
      </c>
      <c r="AH29" s="63">
        <f t="shared" si="3"/>
        <v>5334</v>
      </c>
      <c r="AI29" s="128">
        <v>800</v>
      </c>
      <c r="AJ29" s="128">
        <v>2267</v>
      </c>
      <c r="AK29" s="128">
        <v>600</v>
      </c>
      <c r="AL29" s="128">
        <v>50306</v>
      </c>
      <c r="AM29" s="128">
        <v>0</v>
      </c>
      <c r="AN29" s="128">
        <v>0</v>
      </c>
      <c r="AO29" s="63">
        <f t="shared" si="8"/>
        <v>1400</v>
      </c>
      <c r="AP29" s="63">
        <f t="shared" si="8"/>
        <v>52573</v>
      </c>
      <c r="AQ29" s="15">
        <f t="shared" si="7"/>
        <v>8000</v>
      </c>
      <c r="AR29" s="66">
        <f t="shared" si="9"/>
        <v>62247</v>
      </c>
      <c r="AS29" s="249">
        <f t="shared" si="6"/>
        <v>7.780875</v>
      </c>
    </row>
    <row r="30" spans="2:46" ht="76.5" customHeight="1">
      <c r="B30" s="762"/>
      <c r="C30" s="155" t="s">
        <v>463</v>
      </c>
      <c r="D30" s="390">
        <v>40</v>
      </c>
      <c r="E30" s="391" t="s">
        <v>165</v>
      </c>
      <c r="F30" s="392" t="s">
        <v>166</v>
      </c>
      <c r="G30" s="384" t="s">
        <v>167</v>
      </c>
      <c r="H30" s="385" t="s">
        <v>475</v>
      </c>
      <c r="I30" s="393" t="s">
        <v>168</v>
      </c>
      <c r="J30" s="383" t="s">
        <v>527</v>
      </c>
      <c r="K30" s="105">
        <v>0</v>
      </c>
      <c r="L30" s="105">
        <v>0</v>
      </c>
      <c r="M30" s="105">
        <v>0</v>
      </c>
      <c r="N30" s="105">
        <v>4</v>
      </c>
      <c r="O30" s="105">
        <v>0</v>
      </c>
      <c r="P30" s="105">
        <v>0</v>
      </c>
      <c r="Q30" s="63">
        <f t="shared" si="1"/>
        <v>0</v>
      </c>
      <c r="R30" s="63">
        <f t="shared" si="1"/>
        <v>4</v>
      </c>
      <c r="S30" s="128">
        <v>20</v>
      </c>
      <c r="T30" s="128">
        <v>10</v>
      </c>
      <c r="U30" s="128">
        <v>0</v>
      </c>
      <c r="V30" s="128">
        <v>3</v>
      </c>
      <c r="W30" s="128">
        <v>0</v>
      </c>
      <c r="X30" s="128">
        <v>11</v>
      </c>
      <c r="Y30" s="63">
        <f t="shared" si="2"/>
        <v>20</v>
      </c>
      <c r="Z30" s="63">
        <f t="shared" si="2"/>
        <v>24</v>
      </c>
      <c r="AA30" s="128">
        <v>0</v>
      </c>
      <c r="AB30" s="128">
        <v>7</v>
      </c>
      <c r="AC30" s="128">
        <v>20</v>
      </c>
      <c r="AD30" s="128">
        <v>1</v>
      </c>
      <c r="AE30" s="128">
        <v>0</v>
      </c>
      <c r="AF30" s="128">
        <v>8</v>
      </c>
      <c r="AG30" s="63">
        <f t="shared" si="3"/>
        <v>20</v>
      </c>
      <c r="AH30" s="63">
        <f t="shared" si="3"/>
        <v>16</v>
      </c>
      <c r="AI30" s="128">
        <v>0</v>
      </c>
      <c r="AJ30" s="128">
        <v>10</v>
      </c>
      <c r="AK30" s="128">
        <v>0</v>
      </c>
      <c r="AL30" s="128">
        <v>5</v>
      </c>
      <c r="AM30" s="128">
        <v>0</v>
      </c>
      <c r="AN30" s="128">
        <v>0</v>
      </c>
      <c r="AO30" s="63">
        <f t="shared" si="8"/>
        <v>0</v>
      </c>
      <c r="AP30" s="63">
        <f t="shared" si="8"/>
        <v>15</v>
      </c>
      <c r="AQ30" s="15">
        <f t="shared" si="7"/>
        <v>40</v>
      </c>
      <c r="AR30" s="66">
        <f t="shared" si="9"/>
        <v>59</v>
      </c>
      <c r="AS30" s="249">
        <f t="shared" si="6"/>
        <v>1.4750000000000001</v>
      </c>
    </row>
    <row r="31" spans="2:46" ht="111.75" customHeight="1">
      <c r="B31" s="762"/>
      <c r="C31" s="155" t="s">
        <v>464</v>
      </c>
      <c r="D31" s="394">
        <v>2000</v>
      </c>
      <c r="E31" s="364" t="s">
        <v>169</v>
      </c>
      <c r="F31" s="395" t="s">
        <v>163</v>
      </c>
      <c r="G31" s="396" t="s">
        <v>167</v>
      </c>
      <c r="H31" s="385" t="s">
        <v>789</v>
      </c>
      <c r="I31" s="393" t="s">
        <v>170</v>
      </c>
      <c r="J31" s="383" t="s">
        <v>527</v>
      </c>
      <c r="K31" s="105">
        <v>0</v>
      </c>
      <c r="L31" s="105">
        <v>0</v>
      </c>
      <c r="M31" s="105">
        <v>200</v>
      </c>
      <c r="N31" s="105">
        <v>57</v>
      </c>
      <c r="O31" s="105">
        <v>200</v>
      </c>
      <c r="P31" s="105">
        <v>95</v>
      </c>
      <c r="Q31" s="63">
        <f t="shared" ref="Q31:R33" si="10">K31+M31+O31</f>
        <v>400</v>
      </c>
      <c r="R31" s="63">
        <f t="shared" si="10"/>
        <v>152</v>
      </c>
      <c r="S31" s="128">
        <v>0</v>
      </c>
      <c r="T31" s="128">
        <v>97</v>
      </c>
      <c r="U31" s="128">
        <v>100</v>
      </c>
      <c r="V31" s="128">
        <v>108</v>
      </c>
      <c r="W31" s="128">
        <v>100</v>
      </c>
      <c r="X31" s="128">
        <v>417</v>
      </c>
      <c r="Y31" s="63">
        <f t="shared" ref="Y31:Z33" si="11">S31+U31+W31</f>
        <v>200</v>
      </c>
      <c r="Z31" s="63">
        <f t="shared" si="11"/>
        <v>622</v>
      </c>
      <c r="AA31" s="128">
        <v>150</v>
      </c>
      <c r="AB31" s="128">
        <v>153</v>
      </c>
      <c r="AC31" s="128">
        <v>600</v>
      </c>
      <c r="AD31" s="128">
        <v>722</v>
      </c>
      <c r="AE31" s="128">
        <v>200</v>
      </c>
      <c r="AF31" s="128">
        <v>244</v>
      </c>
      <c r="AG31" s="63">
        <f t="shared" ref="AG31:AH33" si="12">AA31+AC31+AE31</f>
        <v>950</v>
      </c>
      <c r="AH31" s="63">
        <f t="shared" si="12"/>
        <v>1119</v>
      </c>
      <c r="AI31" s="128">
        <v>200</v>
      </c>
      <c r="AJ31" s="128">
        <v>129</v>
      </c>
      <c r="AK31" s="128">
        <v>250</v>
      </c>
      <c r="AL31" s="128">
        <v>137</v>
      </c>
      <c r="AM31" s="128">
        <v>0</v>
      </c>
      <c r="AN31" s="128">
        <v>117</v>
      </c>
      <c r="AO31" s="63">
        <f t="shared" si="8"/>
        <v>450</v>
      </c>
      <c r="AP31" s="63">
        <f t="shared" si="8"/>
        <v>383</v>
      </c>
      <c r="AQ31" s="15">
        <f t="shared" si="7"/>
        <v>2000</v>
      </c>
      <c r="AR31" s="66">
        <f t="shared" si="9"/>
        <v>2276</v>
      </c>
      <c r="AS31" s="249">
        <f t="shared" si="6"/>
        <v>1.1379999999999999</v>
      </c>
    </row>
    <row r="32" spans="2:46" ht="81.75" customHeight="1">
      <c r="B32" s="762"/>
      <c r="C32" s="155" t="s">
        <v>465</v>
      </c>
      <c r="D32" s="397">
        <v>1000</v>
      </c>
      <c r="E32" s="398" t="s">
        <v>171</v>
      </c>
      <c r="F32" s="391" t="s">
        <v>172</v>
      </c>
      <c r="G32" s="384">
        <v>622</v>
      </c>
      <c r="H32" s="385" t="s">
        <v>545</v>
      </c>
      <c r="I32" s="393" t="s">
        <v>476</v>
      </c>
      <c r="J32" s="383" t="s">
        <v>527</v>
      </c>
      <c r="K32" s="105">
        <v>0</v>
      </c>
      <c r="L32" s="105">
        <v>61</v>
      </c>
      <c r="M32" s="105">
        <v>100</v>
      </c>
      <c r="N32" s="105">
        <v>91</v>
      </c>
      <c r="O32" s="105">
        <v>100</v>
      </c>
      <c r="P32" s="105">
        <v>94</v>
      </c>
      <c r="Q32" s="63">
        <f t="shared" si="10"/>
        <v>200</v>
      </c>
      <c r="R32" s="63">
        <f t="shared" si="10"/>
        <v>246</v>
      </c>
      <c r="S32" s="128">
        <v>100</v>
      </c>
      <c r="T32" s="128">
        <v>23</v>
      </c>
      <c r="U32" s="128">
        <v>100</v>
      </c>
      <c r="V32" s="128">
        <v>35</v>
      </c>
      <c r="W32" s="128">
        <v>100</v>
      </c>
      <c r="X32" s="128">
        <v>36</v>
      </c>
      <c r="Y32" s="63">
        <f t="shared" si="11"/>
        <v>300</v>
      </c>
      <c r="Z32" s="63">
        <f t="shared" si="11"/>
        <v>94</v>
      </c>
      <c r="AA32" s="128">
        <v>100</v>
      </c>
      <c r="AB32" s="128">
        <v>34</v>
      </c>
      <c r="AC32" s="128">
        <v>100</v>
      </c>
      <c r="AD32" s="128">
        <v>39</v>
      </c>
      <c r="AE32" s="128">
        <v>100</v>
      </c>
      <c r="AF32" s="128">
        <v>59</v>
      </c>
      <c r="AG32" s="63">
        <f t="shared" si="12"/>
        <v>300</v>
      </c>
      <c r="AH32" s="63">
        <f t="shared" si="12"/>
        <v>132</v>
      </c>
      <c r="AI32" s="128">
        <v>100</v>
      </c>
      <c r="AJ32" s="128">
        <v>94</v>
      </c>
      <c r="AK32" s="128">
        <v>100</v>
      </c>
      <c r="AL32" s="128">
        <v>85</v>
      </c>
      <c r="AM32" s="128">
        <v>0</v>
      </c>
      <c r="AN32" s="128">
        <v>76</v>
      </c>
      <c r="AO32" s="63">
        <f t="shared" si="8"/>
        <v>200</v>
      </c>
      <c r="AP32" s="63">
        <f t="shared" si="8"/>
        <v>255</v>
      </c>
      <c r="AQ32" s="15">
        <f t="shared" si="7"/>
        <v>1000</v>
      </c>
      <c r="AR32" s="66">
        <f t="shared" si="9"/>
        <v>727</v>
      </c>
      <c r="AS32" s="249">
        <f t="shared" si="6"/>
        <v>0.72699999999999998</v>
      </c>
    </row>
    <row r="33" spans="2:45" ht="126.75" customHeight="1">
      <c r="B33" s="762"/>
      <c r="C33" s="155" t="s">
        <v>466</v>
      </c>
      <c r="D33" s="397">
        <v>5000</v>
      </c>
      <c r="E33" s="398" t="s">
        <v>766</v>
      </c>
      <c r="F33" s="391" t="s">
        <v>173</v>
      </c>
      <c r="G33" s="384">
        <v>8800</v>
      </c>
      <c r="H33" s="385" t="s">
        <v>546</v>
      </c>
      <c r="I33" s="393" t="s">
        <v>477</v>
      </c>
      <c r="J33" s="383" t="s">
        <v>527</v>
      </c>
      <c r="K33" s="105">
        <v>0</v>
      </c>
      <c r="L33" s="105">
        <v>108</v>
      </c>
      <c r="M33" s="105">
        <v>900</v>
      </c>
      <c r="N33" s="105">
        <v>351</v>
      </c>
      <c r="O33" s="105">
        <v>900</v>
      </c>
      <c r="P33" s="105">
        <v>231</v>
      </c>
      <c r="Q33" s="63">
        <f t="shared" si="10"/>
        <v>1800</v>
      </c>
      <c r="R33" s="63">
        <f t="shared" si="10"/>
        <v>690</v>
      </c>
      <c r="S33" s="128">
        <v>500</v>
      </c>
      <c r="T33" s="128">
        <v>290</v>
      </c>
      <c r="U33" s="128">
        <v>400</v>
      </c>
      <c r="V33" s="128">
        <v>170</v>
      </c>
      <c r="W33" s="128">
        <v>400</v>
      </c>
      <c r="X33" s="128">
        <v>517</v>
      </c>
      <c r="Y33" s="63">
        <f t="shared" si="11"/>
        <v>1300</v>
      </c>
      <c r="Z33" s="63">
        <f t="shared" si="11"/>
        <v>977</v>
      </c>
      <c r="AA33" s="128">
        <v>400</v>
      </c>
      <c r="AB33" s="128">
        <v>523</v>
      </c>
      <c r="AC33" s="128">
        <v>400</v>
      </c>
      <c r="AD33" s="128">
        <v>454</v>
      </c>
      <c r="AE33" s="128">
        <v>400</v>
      </c>
      <c r="AF33" s="128">
        <v>730</v>
      </c>
      <c r="AG33" s="63">
        <f t="shared" si="12"/>
        <v>1200</v>
      </c>
      <c r="AH33" s="63">
        <f t="shared" si="12"/>
        <v>1707</v>
      </c>
      <c r="AI33" s="128">
        <v>400</v>
      </c>
      <c r="AJ33" s="128">
        <v>640</v>
      </c>
      <c r="AK33" s="128">
        <v>300</v>
      </c>
      <c r="AL33" s="128">
        <v>496</v>
      </c>
      <c r="AM33" s="128">
        <v>0</v>
      </c>
      <c r="AN33" s="128">
        <v>1061</v>
      </c>
      <c r="AO33" s="63">
        <f t="shared" si="8"/>
        <v>700</v>
      </c>
      <c r="AP33" s="63">
        <f t="shared" si="8"/>
        <v>2197</v>
      </c>
      <c r="AQ33" s="15">
        <f t="shared" si="7"/>
        <v>5000</v>
      </c>
      <c r="AR33" s="66">
        <f t="shared" si="9"/>
        <v>5571</v>
      </c>
      <c r="AS33" s="249">
        <f t="shared" si="6"/>
        <v>1.1142000000000001</v>
      </c>
    </row>
    <row r="34" spans="2:45" ht="23.25">
      <c r="B34" s="713" t="s">
        <v>23</v>
      </c>
      <c r="C34" s="714"/>
      <c r="D34" s="714"/>
      <c r="E34" s="714"/>
      <c r="F34" s="714"/>
      <c r="G34" s="714"/>
      <c r="H34" s="714"/>
      <c r="I34" s="714"/>
      <c r="J34" s="714"/>
      <c r="K34" s="714"/>
      <c r="L34" s="714"/>
      <c r="M34" s="714"/>
      <c r="N34" s="714"/>
      <c r="O34" s="714"/>
      <c r="P34" s="714"/>
      <c r="Q34" s="714"/>
      <c r="R34" s="714"/>
      <c r="S34" s="714"/>
      <c r="T34" s="714"/>
      <c r="U34" s="714"/>
      <c r="V34" s="714"/>
      <c r="W34" s="714"/>
      <c r="X34" s="714"/>
      <c r="Y34" s="714"/>
      <c r="Z34" s="714"/>
      <c r="AA34" s="714"/>
      <c r="AB34" s="714"/>
      <c r="AC34" s="714"/>
      <c r="AD34" s="714"/>
      <c r="AE34" s="714"/>
      <c r="AF34" s="714"/>
      <c r="AG34" s="714"/>
      <c r="AH34" s="714"/>
      <c r="AI34" s="714"/>
      <c r="AJ34" s="714"/>
      <c r="AK34" s="714"/>
      <c r="AL34" s="714"/>
      <c r="AM34" s="714"/>
      <c r="AN34" s="714"/>
      <c r="AO34" s="714"/>
      <c r="AP34" s="714"/>
      <c r="AQ34" s="714"/>
      <c r="AR34" s="715"/>
      <c r="AS34" s="317">
        <f>AVERAGE(AS13:AS33)</f>
        <v>1.3845041007222141</v>
      </c>
    </row>
    <row r="35" spans="2:45" ht="17.25">
      <c r="B35" s="3"/>
      <c r="C35" s="3"/>
      <c r="D35" s="9"/>
      <c r="E35" s="3"/>
      <c r="F35" s="3"/>
      <c r="G35" s="3"/>
      <c r="H35" s="3"/>
      <c r="I35" s="3"/>
      <c r="J35" s="4"/>
    </row>
    <row r="36" spans="2:45" ht="15.75">
      <c r="B36" s="54" t="s">
        <v>4</v>
      </c>
      <c r="C36" s="769"/>
      <c r="D36" s="770"/>
      <c r="E36" s="770"/>
      <c r="F36" s="770"/>
      <c r="G36" s="770"/>
      <c r="H36" s="770"/>
      <c r="I36" s="770"/>
      <c r="J36" s="771"/>
    </row>
    <row r="37" spans="2:45" ht="17.25">
      <c r="B37" s="3"/>
      <c r="C37" s="763"/>
      <c r="D37" s="763"/>
      <c r="E37" s="763"/>
      <c r="F37" s="763"/>
      <c r="G37" s="763"/>
      <c r="H37" s="763"/>
      <c r="I37" s="763"/>
      <c r="J37" s="763"/>
    </row>
    <row r="38" spans="2:45" ht="84.75" customHeight="1">
      <c r="B38" s="55" t="s">
        <v>111</v>
      </c>
      <c r="C38" s="764" t="s">
        <v>820</v>
      </c>
      <c r="D38" s="765"/>
      <c r="E38" s="3"/>
      <c r="F38" s="3"/>
      <c r="G38" s="53" t="s">
        <v>22</v>
      </c>
      <c r="H38" s="766" t="s">
        <v>899</v>
      </c>
      <c r="I38" s="767"/>
      <c r="J38" s="767"/>
    </row>
    <row r="39" spans="2:45" ht="17.25">
      <c r="B39" s="3"/>
      <c r="C39" s="3"/>
      <c r="D39" s="9"/>
      <c r="E39" s="3"/>
      <c r="F39" s="3"/>
      <c r="G39" s="3"/>
      <c r="H39" s="768"/>
      <c r="I39" s="768"/>
      <c r="J39" s="768"/>
      <c r="AS39" s="64"/>
    </row>
    <row r="40" spans="2:45" ht="17.25">
      <c r="B40" s="3"/>
      <c r="C40" s="3"/>
      <c r="D40" s="9"/>
      <c r="E40" s="3"/>
      <c r="F40" s="3"/>
      <c r="G40" s="3"/>
      <c r="H40" s="3"/>
      <c r="I40" s="3"/>
      <c r="J40" s="4"/>
    </row>
    <row r="41" spans="2:45" ht="17.25">
      <c r="B41" s="3"/>
      <c r="C41" s="3"/>
      <c r="D41" s="9"/>
      <c r="E41" s="3"/>
      <c r="F41" s="3"/>
      <c r="G41" s="3"/>
      <c r="H41" s="3"/>
      <c r="I41" s="3"/>
      <c r="J41" s="4"/>
    </row>
    <row r="42" spans="2:45" ht="17.25">
      <c r="B42" s="3"/>
      <c r="C42" s="3"/>
      <c r="D42" s="9"/>
      <c r="E42" s="3"/>
      <c r="F42" s="3"/>
      <c r="G42" s="3"/>
      <c r="H42" s="3"/>
      <c r="I42" s="3"/>
      <c r="J42" s="4"/>
    </row>
    <row r="43" spans="2:45" ht="17.25">
      <c r="B43" s="3"/>
      <c r="C43" s="3"/>
      <c r="D43" s="9"/>
      <c r="E43" s="759"/>
      <c r="F43" s="759"/>
      <c r="G43" s="759"/>
      <c r="H43" s="759"/>
      <c r="I43" s="56"/>
      <c r="J43" s="3"/>
    </row>
    <row r="44" spans="2:45" ht="17.25">
      <c r="B44" s="3"/>
      <c r="C44" s="3"/>
      <c r="D44" s="9"/>
      <c r="E44" s="3"/>
      <c r="F44" s="3"/>
      <c r="G44" s="3"/>
      <c r="H44" s="3"/>
      <c r="I44" s="3"/>
      <c r="J44" s="3"/>
    </row>
    <row r="45" spans="2:45" ht="17.25">
      <c r="B45" s="3"/>
      <c r="C45" s="3"/>
      <c r="D45" s="9"/>
      <c r="E45" s="759"/>
      <c r="F45" s="759"/>
      <c r="G45" s="759"/>
      <c r="H45" s="759"/>
      <c r="I45" s="56"/>
      <c r="J45" s="3"/>
    </row>
    <row r="46" spans="2:45" ht="17.25">
      <c r="B46" s="3"/>
      <c r="C46" s="3"/>
      <c r="D46" s="9"/>
      <c r="E46" s="3"/>
      <c r="F46" s="3"/>
      <c r="G46" s="3"/>
      <c r="H46" s="3"/>
      <c r="I46" s="3"/>
      <c r="J46" s="3"/>
    </row>
    <row r="47" spans="2:45" ht="17.25">
      <c r="B47" s="3"/>
      <c r="C47" s="3"/>
      <c r="D47" s="9"/>
      <c r="E47" s="759"/>
      <c r="F47" s="759"/>
      <c r="G47" s="759"/>
      <c r="H47" s="759"/>
      <c r="I47" s="56"/>
      <c r="J47" s="3"/>
    </row>
  </sheetData>
  <sheetProtection algorithmName="SHA-512" hashValue="XihYpiYl+LHEjTmtOb3NdYzMSTAZDBVH25bUngPX04DTTsLYlnOsNFVl08i8JAN+rfJ4p5/XSwtu+GxfC1gA3g==" saltValue="hVmQ/pB+BwHZ7aaq9W6mvw==" spinCount="100000" sheet="1" objects="1" scenarios="1"/>
  <mergeCells count="52">
    <mergeCell ref="AG11:AH11"/>
    <mergeCell ref="AI11:AJ11"/>
    <mergeCell ref="E47:H47"/>
    <mergeCell ref="B13:B33"/>
    <mergeCell ref="C37:J37"/>
    <mergeCell ref="C38:D38"/>
    <mergeCell ref="H38:J38"/>
    <mergeCell ref="H39:J39"/>
    <mergeCell ref="E43:H43"/>
    <mergeCell ref="E45:H45"/>
    <mergeCell ref="B34:AR34"/>
    <mergeCell ref="C36:J36"/>
    <mergeCell ref="C15:C21"/>
    <mergeCell ref="C13:C14"/>
    <mergeCell ref="AA10:AH10"/>
    <mergeCell ref="AI10:AP10"/>
    <mergeCell ref="K11:L11"/>
    <mergeCell ref="M11:N11"/>
    <mergeCell ref="AM11:AN11"/>
    <mergeCell ref="AO11:AP11"/>
    <mergeCell ref="AK11:AL11"/>
    <mergeCell ref="O11:P11"/>
    <mergeCell ref="Q11:R11"/>
    <mergeCell ref="S11:T11"/>
    <mergeCell ref="U11:V11"/>
    <mergeCell ref="W11:X11"/>
    <mergeCell ref="Y11:Z11"/>
    <mergeCell ref="AA11:AB11"/>
    <mergeCell ref="AC11:AD11"/>
    <mergeCell ref="AE11:AF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dataValidations count="1">
    <dataValidation type="list" allowBlank="1" showInputMessage="1" showErrorMessage="1" promptTitle="Objetivo Estratégico" sqref="B13:B14" xr:uid="{00000000-0002-0000-0800-000000000000}">
      <formula1>OBJE</formula1>
    </dataValidation>
  </dataValidations>
  <pageMargins left="0.7" right="0.7" top="0.75" bottom="0.75" header="0.3" footer="0.3"/>
  <pageSetup orientation="portrait" horizontalDpi="4294967295" verticalDpi="4294967295"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AS31"/>
  <sheetViews>
    <sheetView showGridLines="0" zoomScale="70" zoomScaleNormal="70" workbookViewId="0">
      <selection activeCell="H24" sqref="H24"/>
    </sheetView>
  </sheetViews>
  <sheetFormatPr baseColWidth="10" defaultColWidth="17.28515625" defaultRowHeight="15" customHeight="1"/>
  <cols>
    <col min="1" max="1" width="4.28515625" style="1" customWidth="1"/>
    <col min="2" max="3" width="28.42578125" style="5" customWidth="1"/>
    <col min="4" max="4" width="21.42578125" style="10" customWidth="1"/>
    <col min="5" max="5" width="24.5703125" style="5" customWidth="1"/>
    <col min="6" max="6" width="24.28515625" style="5" customWidth="1"/>
    <col min="7" max="7" width="21.42578125" style="5" customWidth="1"/>
    <col min="8" max="8" width="28.42578125" style="5" customWidth="1"/>
    <col min="9" max="9" width="50" style="5" customWidth="1"/>
    <col min="10" max="10" width="28.42578125" style="7" customWidth="1"/>
    <col min="11" max="42" width="14.28515625" style="1" customWidth="1"/>
    <col min="43" max="43" width="22.140625" style="1" customWidth="1"/>
    <col min="44" max="44" width="16.5703125" style="1" customWidth="1"/>
    <col min="45" max="45" width="20.7109375" style="1" customWidth="1"/>
    <col min="46" max="16384" width="17.28515625" style="1"/>
  </cols>
  <sheetData>
    <row r="1" spans="2:45" ht="15" customHeight="1" thickBot="1"/>
    <row r="2" spans="2:45" ht="16.5" customHeight="1">
      <c r="B2" s="734"/>
      <c r="C2" s="737" t="s">
        <v>59</v>
      </c>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8"/>
      <c r="AP2" s="738"/>
      <c r="AQ2" s="739"/>
      <c r="AR2" s="746" t="s">
        <v>39</v>
      </c>
      <c r="AS2" s="747"/>
    </row>
    <row r="3" spans="2:45" ht="16.5" customHeight="1">
      <c r="B3" s="735"/>
      <c r="C3" s="740"/>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2"/>
      <c r="AR3" s="18" t="s">
        <v>36</v>
      </c>
      <c r="AS3" s="19" t="s">
        <v>37</v>
      </c>
    </row>
    <row r="4" spans="2:45" ht="16.5" customHeight="1">
      <c r="B4" s="735"/>
      <c r="C4" s="740"/>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2"/>
      <c r="AR4" s="20">
        <v>3</v>
      </c>
      <c r="AS4" s="21" t="s">
        <v>102</v>
      </c>
    </row>
    <row r="5" spans="2:45" ht="16.5" customHeight="1">
      <c r="B5" s="735"/>
      <c r="C5" s="740"/>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2"/>
      <c r="AR5" s="748" t="s">
        <v>38</v>
      </c>
      <c r="AS5" s="749"/>
    </row>
    <row r="6" spans="2:45" ht="16.5" customHeight="1" thickBot="1">
      <c r="B6" s="736"/>
      <c r="C6" s="743"/>
      <c r="D6" s="744"/>
      <c r="E6" s="744"/>
      <c r="F6" s="744"/>
      <c r="G6" s="744"/>
      <c r="H6" s="744"/>
      <c r="I6" s="744"/>
      <c r="J6" s="744"/>
      <c r="K6" s="744"/>
      <c r="L6" s="744"/>
      <c r="M6" s="744"/>
      <c r="N6" s="744"/>
      <c r="O6" s="744"/>
      <c r="P6" s="744"/>
      <c r="Q6" s="744"/>
      <c r="R6" s="744"/>
      <c r="S6" s="744"/>
      <c r="T6" s="744"/>
      <c r="U6" s="744"/>
      <c r="V6" s="744"/>
      <c r="W6" s="744"/>
      <c r="X6" s="744"/>
      <c r="Y6" s="744"/>
      <c r="Z6" s="744"/>
      <c r="AA6" s="744"/>
      <c r="AB6" s="744"/>
      <c r="AC6" s="744"/>
      <c r="AD6" s="744"/>
      <c r="AE6" s="744"/>
      <c r="AF6" s="744"/>
      <c r="AG6" s="744"/>
      <c r="AH6" s="744"/>
      <c r="AI6" s="744"/>
      <c r="AJ6" s="744"/>
      <c r="AK6" s="744"/>
      <c r="AL6" s="744"/>
      <c r="AM6" s="744"/>
      <c r="AN6" s="744"/>
      <c r="AO6" s="744"/>
      <c r="AP6" s="744"/>
      <c r="AQ6" s="745"/>
      <c r="AR6" s="750" t="s">
        <v>100</v>
      </c>
      <c r="AS6" s="751"/>
    </row>
    <row r="7" spans="2:45" ht="14.25" customHeight="1">
      <c r="B7" s="2"/>
      <c r="C7" s="2"/>
      <c r="D7" s="8"/>
      <c r="E7" s="2"/>
      <c r="F7" s="2"/>
      <c r="G7" s="2"/>
      <c r="H7" s="2"/>
      <c r="I7" s="2"/>
      <c r="J7" s="6"/>
      <c r="AR7" s="730"/>
      <c r="AS7" s="731"/>
    </row>
    <row r="8" spans="2:45" ht="15" customHeight="1">
      <c r="B8" s="1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752"/>
      <c r="AR8" s="753"/>
      <c r="AS8" s="754"/>
    </row>
    <row r="9" spans="2:45" ht="13.5" customHeight="1">
      <c r="B9" s="718" t="s">
        <v>35</v>
      </c>
      <c r="C9" s="777" t="s">
        <v>34</v>
      </c>
      <c r="D9" s="777" t="s">
        <v>63</v>
      </c>
      <c r="E9" s="777" t="s">
        <v>66</v>
      </c>
      <c r="F9" s="777" t="s">
        <v>67</v>
      </c>
      <c r="G9" s="777" t="s">
        <v>31</v>
      </c>
      <c r="H9" s="777" t="s">
        <v>25</v>
      </c>
      <c r="I9" s="777" t="s">
        <v>95</v>
      </c>
      <c r="J9" s="777"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716" t="s">
        <v>6</v>
      </c>
      <c r="AR9" s="717" t="s">
        <v>7</v>
      </c>
      <c r="AS9" s="717" t="s">
        <v>24</v>
      </c>
    </row>
    <row r="10" spans="2:45" ht="13.5" customHeight="1">
      <c r="B10" s="718"/>
      <c r="C10" s="777"/>
      <c r="D10" s="777"/>
      <c r="E10" s="777"/>
      <c r="F10" s="777"/>
      <c r="G10" s="777"/>
      <c r="H10" s="777"/>
      <c r="I10" s="777"/>
      <c r="J10" s="777"/>
      <c r="K10" s="719" t="s">
        <v>26</v>
      </c>
      <c r="L10" s="719"/>
      <c r="M10" s="719"/>
      <c r="N10" s="719"/>
      <c r="O10" s="719"/>
      <c r="P10" s="719"/>
      <c r="Q10" s="719"/>
      <c r="R10" s="719"/>
      <c r="S10" s="719" t="s">
        <v>27</v>
      </c>
      <c r="T10" s="719"/>
      <c r="U10" s="719"/>
      <c r="V10" s="719"/>
      <c r="W10" s="719"/>
      <c r="X10" s="719"/>
      <c r="Y10" s="719"/>
      <c r="Z10" s="719"/>
      <c r="AA10" s="719" t="s">
        <v>28</v>
      </c>
      <c r="AB10" s="719"/>
      <c r="AC10" s="719"/>
      <c r="AD10" s="719"/>
      <c r="AE10" s="719"/>
      <c r="AF10" s="719"/>
      <c r="AG10" s="719"/>
      <c r="AH10" s="719"/>
      <c r="AI10" s="719" t="s">
        <v>29</v>
      </c>
      <c r="AJ10" s="719"/>
      <c r="AK10" s="719"/>
      <c r="AL10" s="719"/>
      <c r="AM10" s="719"/>
      <c r="AN10" s="719"/>
      <c r="AO10" s="719"/>
      <c r="AP10" s="719"/>
      <c r="AQ10" s="716"/>
      <c r="AR10" s="717"/>
      <c r="AS10" s="717"/>
    </row>
    <row r="11" spans="2:45" ht="17.25" customHeight="1">
      <c r="B11" s="718"/>
      <c r="C11" s="777"/>
      <c r="D11" s="777"/>
      <c r="E11" s="777"/>
      <c r="F11" s="777"/>
      <c r="G11" s="777"/>
      <c r="H11" s="777"/>
      <c r="I11" s="777"/>
      <c r="J11" s="777"/>
      <c r="K11" s="719" t="s">
        <v>8</v>
      </c>
      <c r="L11" s="719"/>
      <c r="M11" s="719" t="s">
        <v>9</v>
      </c>
      <c r="N11" s="719"/>
      <c r="O11" s="732" t="s">
        <v>10</v>
      </c>
      <c r="P11" s="733"/>
      <c r="Q11" s="720" t="s">
        <v>11</v>
      </c>
      <c r="R11" s="721"/>
      <c r="S11" s="719" t="s">
        <v>33</v>
      </c>
      <c r="T11" s="719"/>
      <c r="U11" s="719" t="s">
        <v>12</v>
      </c>
      <c r="V11" s="719"/>
      <c r="W11" s="719" t="s">
        <v>13</v>
      </c>
      <c r="X11" s="719"/>
      <c r="Y11" s="720" t="s">
        <v>11</v>
      </c>
      <c r="Z11" s="721"/>
      <c r="AA11" s="719" t="s">
        <v>14</v>
      </c>
      <c r="AB11" s="719"/>
      <c r="AC11" s="719" t="s">
        <v>15</v>
      </c>
      <c r="AD11" s="719"/>
      <c r="AE11" s="719" t="s">
        <v>16</v>
      </c>
      <c r="AF11" s="719"/>
      <c r="AG11" s="720" t="s">
        <v>11</v>
      </c>
      <c r="AH11" s="721"/>
      <c r="AI11" s="719" t="s">
        <v>17</v>
      </c>
      <c r="AJ11" s="719"/>
      <c r="AK11" s="719" t="s">
        <v>18</v>
      </c>
      <c r="AL11" s="719"/>
      <c r="AM11" s="719" t="s">
        <v>19</v>
      </c>
      <c r="AN11" s="719"/>
      <c r="AO11" s="720" t="s">
        <v>11</v>
      </c>
      <c r="AP11" s="721"/>
      <c r="AQ11" s="716"/>
      <c r="AR11" s="717"/>
      <c r="AS11" s="717"/>
    </row>
    <row r="12" spans="2:45" ht="15.75" customHeight="1">
      <c r="B12" s="652"/>
      <c r="C12" s="778"/>
      <c r="D12" s="778"/>
      <c r="E12" s="778"/>
      <c r="F12" s="778"/>
      <c r="G12" s="778"/>
      <c r="H12" s="778"/>
      <c r="I12" s="778"/>
      <c r="J12" s="778"/>
      <c r="K12" s="22" t="s">
        <v>20</v>
      </c>
      <c r="L12" s="23" t="s">
        <v>21</v>
      </c>
      <c r="M12" s="22" t="s">
        <v>20</v>
      </c>
      <c r="N12" s="23" t="s">
        <v>21</v>
      </c>
      <c r="O12" s="22" t="s">
        <v>20</v>
      </c>
      <c r="P12" s="23" t="s">
        <v>21</v>
      </c>
      <c r="Q12" s="24" t="s">
        <v>20</v>
      </c>
      <c r="R12" s="25" t="s">
        <v>21</v>
      </c>
      <c r="S12" s="22" t="s">
        <v>20</v>
      </c>
      <c r="T12" s="23" t="s">
        <v>21</v>
      </c>
      <c r="U12" s="22" t="s">
        <v>20</v>
      </c>
      <c r="V12" s="23" t="s">
        <v>21</v>
      </c>
      <c r="W12" s="22" t="s">
        <v>20</v>
      </c>
      <c r="X12" s="23" t="s">
        <v>21</v>
      </c>
      <c r="Y12" s="24" t="s">
        <v>20</v>
      </c>
      <c r="Z12" s="25" t="s">
        <v>21</v>
      </c>
      <c r="AA12" s="22" t="s">
        <v>20</v>
      </c>
      <c r="AB12" s="23" t="s">
        <v>21</v>
      </c>
      <c r="AC12" s="22" t="s">
        <v>20</v>
      </c>
      <c r="AD12" s="23" t="s">
        <v>21</v>
      </c>
      <c r="AE12" s="22" t="s">
        <v>20</v>
      </c>
      <c r="AF12" s="23" t="s">
        <v>21</v>
      </c>
      <c r="AG12" s="24" t="s">
        <v>20</v>
      </c>
      <c r="AH12" s="25" t="s">
        <v>21</v>
      </c>
      <c r="AI12" s="22" t="s">
        <v>20</v>
      </c>
      <c r="AJ12" s="23" t="s">
        <v>21</v>
      </c>
      <c r="AK12" s="22" t="s">
        <v>20</v>
      </c>
      <c r="AL12" s="23" t="s">
        <v>21</v>
      </c>
      <c r="AM12" s="22" t="s">
        <v>20</v>
      </c>
      <c r="AN12" s="23" t="s">
        <v>21</v>
      </c>
      <c r="AO12" s="24" t="s">
        <v>20</v>
      </c>
      <c r="AP12" s="25" t="s">
        <v>21</v>
      </c>
      <c r="AQ12" s="716"/>
      <c r="AR12" s="717"/>
      <c r="AS12" s="717"/>
    </row>
    <row r="13" spans="2:45" ht="150" customHeight="1">
      <c r="B13" s="710" t="s">
        <v>287</v>
      </c>
      <c r="C13" s="167" t="s">
        <v>415</v>
      </c>
      <c r="D13" s="354">
        <v>11</v>
      </c>
      <c r="E13" s="354" t="s">
        <v>193</v>
      </c>
      <c r="F13" s="354" t="s">
        <v>194</v>
      </c>
      <c r="G13" s="363">
        <v>25</v>
      </c>
      <c r="H13" s="352" t="s">
        <v>790</v>
      </c>
      <c r="I13" s="170" t="s">
        <v>479</v>
      </c>
      <c r="J13" s="104" t="s">
        <v>526</v>
      </c>
      <c r="K13" s="105">
        <v>0</v>
      </c>
      <c r="L13" s="105">
        <v>1</v>
      </c>
      <c r="M13" s="105">
        <v>0</v>
      </c>
      <c r="N13" s="105">
        <v>4</v>
      </c>
      <c r="O13" s="105">
        <v>2</v>
      </c>
      <c r="P13" s="105">
        <v>0</v>
      </c>
      <c r="Q13" s="61">
        <f t="shared" ref="Q13:R15" si="0">K13+M13+O13</f>
        <v>2</v>
      </c>
      <c r="R13" s="61">
        <f t="shared" si="0"/>
        <v>5</v>
      </c>
      <c r="S13" s="128">
        <v>3</v>
      </c>
      <c r="T13" s="128">
        <v>0</v>
      </c>
      <c r="U13" s="128">
        <v>0</v>
      </c>
      <c r="V13" s="128">
        <v>0</v>
      </c>
      <c r="W13" s="128">
        <v>0</v>
      </c>
      <c r="X13" s="128">
        <v>0</v>
      </c>
      <c r="Y13" s="61">
        <f t="shared" ref="Y13:Z15" si="1">S13+U13+W13</f>
        <v>3</v>
      </c>
      <c r="Z13" s="61">
        <f t="shared" si="1"/>
        <v>0</v>
      </c>
      <c r="AA13" s="128">
        <v>0</v>
      </c>
      <c r="AB13" s="128">
        <v>0</v>
      </c>
      <c r="AC13" s="128">
        <v>1</v>
      </c>
      <c r="AD13" s="128">
        <v>1</v>
      </c>
      <c r="AE13" s="128">
        <v>2</v>
      </c>
      <c r="AF13" s="128">
        <v>2</v>
      </c>
      <c r="AG13" s="61">
        <f t="shared" ref="AG13:AH15" si="2">AA13+AC13+AE13</f>
        <v>3</v>
      </c>
      <c r="AH13" s="61">
        <f t="shared" si="2"/>
        <v>3</v>
      </c>
      <c r="AI13" s="128">
        <v>2</v>
      </c>
      <c r="AJ13" s="128">
        <v>2</v>
      </c>
      <c r="AK13" s="128">
        <v>1</v>
      </c>
      <c r="AL13" s="128">
        <v>1</v>
      </c>
      <c r="AM13" s="128">
        <v>0</v>
      </c>
      <c r="AN13" s="128">
        <v>0</v>
      </c>
      <c r="AO13" s="61">
        <f t="shared" ref="AO13:AP15" si="3">AI13+AK13+AM13</f>
        <v>3</v>
      </c>
      <c r="AP13" s="61">
        <f t="shared" si="3"/>
        <v>3</v>
      </c>
      <c r="AQ13" s="17">
        <f t="shared" ref="AQ13:AR15" si="4">Q13+Y13+AG13+AO13</f>
        <v>11</v>
      </c>
      <c r="AR13" s="65">
        <f t="shared" si="4"/>
        <v>11</v>
      </c>
      <c r="AS13" s="249">
        <f t="shared" ref="AS13:AS18" si="5">IF(AND(AR13&gt;0,AQ13&gt;0),AR13/AQ13,0)</f>
        <v>1</v>
      </c>
    </row>
    <row r="14" spans="2:45" ht="150" customHeight="1">
      <c r="B14" s="711"/>
      <c r="C14" s="167" t="s">
        <v>416</v>
      </c>
      <c r="D14" s="354">
        <v>96</v>
      </c>
      <c r="E14" s="168" t="s">
        <v>547</v>
      </c>
      <c r="F14" s="168" t="s">
        <v>195</v>
      </c>
      <c r="G14" s="169">
        <v>115</v>
      </c>
      <c r="H14" s="352" t="s">
        <v>777</v>
      </c>
      <c r="I14" s="170" t="s">
        <v>196</v>
      </c>
      <c r="J14" s="104" t="s">
        <v>526</v>
      </c>
      <c r="K14" s="105">
        <v>0</v>
      </c>
      <c r="L14" s="105">
        <v>0</v>
      </c>
      <c r="M14" s="105">
        <v>1</v>
      </c>
      <c r="N14" s="105">
        <v>1</v>
      </c>
      <c r="O14" s="105">
        <v>4</v>
      </c>
      <c r="P14" s="105">
        <v>2</v>
      </c>
      <c r="Q14" s="61">
        <f t="shared" si="0"/>
        <v>5</v>
      </c>
      <c r="R14" s="61">
        <f t="shared" si="0"/>
        <v>3</v>
      </c>
      <c r="S14" s="128">
        <v>2</v>
      </c>
      <c r="T14" s="128">
        <v>4</v>
      </c>
      <c r="U14" s="128">
        <v>6</v>
      </c>
      <c r="V14" s="128">
        <v>4</v>
      </c>
      <c r="W14" s="128">
        <v>14</v>
      </c>
      <c r="X14" s="128">
        <v>11</v>
      </c>
      <c r="Y14" s="61">
        <f t="shared" si="1"/>
        <v>22</v>
      </c>
      <c r="Z14" s="61">
        <f t="shared" si="1"/>
        <v>19</v>
      </c>
      <c r="AA14" s="128">
        <v>16</v>
      </c>
      <c r="AB14" s="128">
        <v>14</v>
      </c>
      <c r="AC14" s="128">
        <v>14</v>
      </c>
      <c r="AD14" s="128">
        <v>21</v>
      </c>
      <c r="AE14" s="128">
        <v>15</v>
      </c>
      <c r="AF14" s="128">
        <v>10</v>
      </c>
      <c r="AG14" s="61">
        <f t="shared" si="2"/>
        <v>45</v>
      </c>
      <c r="AH14" s="61">
        <f t="shared" si="2"/>
        <v>45</v>
      </c>
      <c r="AI14" s="128">
        <v>14</v>
      </c>
      <c r="AJ14" s="128">
        <v>22</v>
      </c>
      <c r="AK14" s="128">
        <v>9</v>
      </c>
      <c r="AL14" s="128">
        <v>14</v>
      </c>
      <c r="AM14" s="128">
        <v>1</v>
      </c>
      <c r="AN14" s="128">
        <v>4</v>
      </c>
      <c r="AO14" s="61">
        <f t="shared" si="3"/>
        <v>24</v>
      </c>
      <c r="AP14" s="61">
        <f t="shared" si="3"/>
        <v>40</v>
      </c>
      <c r="AQ14" s="17">
        <f t="shared" si="4"/>
        <v>96</v>
      </c>
      <c r="AR14" s="65">
        <f t="shared" si="4"/>
        <v>107</v>
      </c>
      <c r="AS14" s="249">
        <f t="shared" si="5"/>
        <v>1.1145833333333333</v>
      </c>
    </row>
    <row r="15" spans="2:45" ht="150" customHeight="1">
      <c r="B15" s="711"/>
      <c r="C15" s="167" t="s">
        <v>417</v>
      </c>
      <c r="D15" s="353">
        <v>46</v>
      </c>
      <c r="E15" s="168" t="s">
        <v>197</v>
      </c>
      <c r="F15" s="168" t="s">
        <v>175</v>
      </c>
      <c r="G15" s="169">
        <v>45</v>
      </c>
      <c r="H15" s="352" t="s">
        <v>778</v>
      </c>
      <c r="I15" s="170" t="s">
        <v>196</v>
      </c>
      <c r="J15" s="104" t="s">
        <v>526</v>
      </c>
      <c r="K15" s="105">
        <v>0</v>
      </c>
      <c r="L15" s="105">
        <v>0</v>
      </c>
      <c r="M15" s="105">
        <v>0</v>
      </c>
      <c r="N15" s="105">
        <v>0</v>
      </c>
      <c r="O15" s="105">
        <v>3</v>
      </c>
      <c r="P15" s="105">
        <v>1</v>
      </c>
      <c r="Q15" s="61">
        <f t="shared" si="0"/>
        <v>3</v>
      </c>
      <c r="R15" s="61">
        <f t="shared" si="0"/>
        <v>1</v>
      </c>
      <c r="S15" s="128">
        <v>1</v>
      </c>
      <c r="T15" s="128">
        <v>1</v>
      </c>
      <c r="U15" s="128">
        <v>4</v>
      </c>
      <c r="V15" s="128">
        <v>4</v>
      </c>
      <c r="W15" s="128">
        <v>16</v>
      </c>
      <c r="X15" s="128">
        <v>11</v>
      </c>
      <c r="Y15" s="61">
        <f t="shared" si="1"/>
        <v>21</v>
      </c>
      <c r="Z15" s="61">
        <f t="shared" si="1"/>
        <v>16</v>
      </c>
      <c r="AA15" s="128">
        <v>5</v>
      </c>
      <c r="AB15" s="128">
        <v>9</v>
      </c>
      <c r="AC15" s="128">
        <v>3</v>
      </c>
      <c r="AD15" s="128">
        <v>4</v>
      </c>
      <c r="AE15" s="128">
        <v>1</v>
      </c>
      <c r="AF15" s="128">
        <v>2</v>
      </c>
      <c r="AG15" s="61">
        <f t="shared" si="2"/>
        <v>9</v>
      </c>
      <c r="AH15" s="61">
        <f t="shared" si="2"/>
        <v>15</v>
      </c>
      <c r="AI15" s="128">
        <v>4</v>
      </c>
      <c r="AJ15" s="128">
        <v>1</v>
      </c>
      <c r="AK15" s="128">
        <v>6</v>
      </c>
      <c r="AL15" s="128">
        <v>12</v>
      </c>
      <c r="AM15" s="128">
        <v>3</v>
      </c>
      <c r="AN15" s="128">
        <v>6</v>
      </c>
      <c r="AO15" s="61">
        <f t="shared" si="3"/>
        <v>13</v>
      </c>
      <c r="AP15" s="61">
        <f t="shared" si="3"/>
        <v>19</v>
      </c>
      <c r="AQ15" s="17">
        <f t="shared" si="4"/>
        <v>46</v>
      </c>
      <c r="AR15" s="65">
        <f t="shared" si="4"/>
        <v>51</v>
      </c>
      <c r="AS15" s="249">
        <f t="shared" si="5"/>
        <v>1.1086956521739131</v>
      </c>
    </row>
    <row r="16" spans="2:45" ht="150" customHeight="1">
      <c r="B16" s="711"/>
      <c r="C16" s="159" t="s">
        <v>513</v>
      </c>
      <c r="D16" s="355">
        <v>60</v>
      </c>
      <c r="E16" s="67" t="s">
        <v>174</v>
      </c>
      <c r="F16" s="67" t="s">
        <v>175</v>
      </c>
      <c r="G16" s="154">
        <v>40</v>
      </c>
      <c r="H16" s="352" t="s">
        <v>176</v>
      </c>
      <c r="I16" s="146" t="s">
        <v>478</v>
      </c>
      <c r="J16" s="148" t="s">
        <v>527</v>
      </c>
      <c r="K16" s="105">
        <v>0</v>
      </c>
      <c r="L16" s="105">
        <v>0</v>
      </c>
      <c r="M16" s="105">
        <v>0</v>
      </c>
      <c r="N16" s="105">
        <v>0</v>
      </c>
      <c r="O16" s="105">
        <v>0</v>
      </c>
      <c r="P16" s="105">
        <v>0</v>
      </c>
      <c r="Q16" s="63">
        <f>K16+M16+O16</f>
        <v>0</v>
      </c>
      <c r="R16" s="63">
        <f>L16+N16+P16</f>
        <v>0</v>
      </c>
      <c r="S16" s="128">
        <v>20</v>
      </c>
      <c r="T16" s="128">
        <v>7</v>
      </c>
      <c r="U16" s="128">
        <v>0</v>
      </c>
      <c r="V16" s="128">
        <v>5</v>
      </c>
      <c r="W16" s="128">
        <v>0</v>
      </c>
      <c r="X16" s="128">
        <v>1</v>
      </c>
      <c r="Y16" s="63">
        <f>S16+U16+W16</f>
        <v>20</v>
      </c>
      <c r="Z16" s="63">
        <f>T16+V16+X16</f>
        <v>13</v>
      </c>
      <c r="AA16" s="128">
        <v>20</v>
      </c>
      <c r="AB16" s="128">
        <v>18</v>
      </c>
      <c r="AC16" s="128">
        <v>0</v>
      </c>
      <c r="AD16" s="128">
        <v>4</v>
      </c>
      <c r="AE16" s="128">
        <v>0</v>
      </c>
      <c r="AF16" s="128">
        <v>1</v>
      </c>
      <c r="AG16" s="63">
        <f>AA16+AC16+AE16</f>
        <v>20</v>
      </c>
      <c r="AH16" s="63">
        <f>AB16+AD16+AF16</f>
        <v>23</v>
      </c>
      <c r="AI16" s="128">
        <v>20</v>
      </c>
      <c r="AJ16" s="128">
        <v>16</v>
      </c>
      <c r="AK16" s="128">
        <v>0</v>
      </c>
      <c r="AL16" s="128">
        <v>3</v>
      </c>
      <c r="AM16" s="128">
        <v>0</v>
      </c>
      <c r="AN16" s="128">
        <v>2</v>
      </c>
      <c r="AO16" s="63">
        <f t="shared" ref="AO16:AP18" si="6">AI16+AK16+AM16</f>
        <v>20</v>
      </c>
      <c r="AP16" s="63">
        <f t="shared" si="6"/>
        <v>21</v>
      </c>
      <c r="AQ16" s="15">
        <f>+Q16+Y16+AG16+AO16</f>
        <v>60</v>
      </c>
      <c r="AR16" s="66">
        <f>R16+Z16+AH16+AP16</f>
        <v>57</v>
      </c>
      <c r="AS16" s="249">
        <f t="shared" si="5"/>
        <v>0.95</v>
      </c>
    </row>
    <row r="17" spans="2:45" ht="150" customHeight="1">
      <c r="B17" s="711"/>
      <c r="C17" s="159" t="s">
        <v>514</v>
      </c>
      <c r="D17" s="356">
        <v>1</v>
      </c>
      <c r="E17" s="160" t="s">
        <v>177</v>
      </c>
      <c r="F17" s="153" t="s">
        <v>178</v>
      </c>
      <c r="G17" s="154">
        <v>115</v>
      </c>
      <c r="H17" s="358" t="s">
        <v>179</v>
      </c>
      <c r="I17" s="146" t="s">
        <v>180</v>
      </c>
      <c r="J17" s="148" t="s">
        <v>527</v>
      </c>
      <c r="K17" s="311">
        <v>1</v>
      </c>
      <c r="L17" s="315">
        <v>1</v>
      </c>
      <c r="M17" s="311">
        <v>1</v>
      </c>
      <c r="N17" s="315">
        <v>1</v>
      </c>
      <c r="O17" s="311">
        <v>1</v>
      </c>
      <c r="P17" s="315">
        <v>1</v>
      </c>
      <c r="Q17" s="312">
        <f>(K17+M17+O17)/3</f>
        <v>1</v>
      </c>
      <c r="R17" s="247">
        <f>IFERROR(IF(OR($AQ$17="",$AQ$17=0),0,ROUNDDOWN(AVERAGE(L17,N17,P17),3)),0)</f>
        <v>1</v>
      </c>
      <c r="S17" s="308">
        <v>1</v>
      </c>
      <c r="T17" s="308">
        <v>1</v>
      </c>
      <c r="U17" s="308">
        <v>1</v>
      </c>
      <c r="V17" s="308">
        <v>1</v>
      </c>
      <c r="W17" s="308">
        <v>1</v>
      </c>
      <c r="X17" s="308">
        <v>1</v>
      </c>
      <c r="Y17" s="249">
        <v>1</v>
      </c>
      <c r="Z17" s="247">
        <f>IFERROR(IF(OR($AQ$17="",$AQ$17=0),0,ROUNDDOWN(AVERAGE(T17,V17,X17),3)),0)</f>
        <v>1</v>
      </c>
      <c r="AA17" s="308">
        <v>1</v>
      </c>
      <c r="AB17" s="308">
        <v>1</v>
      </c>
      <c r="AC17" s="308">
        <v>1</v>
      </c>
      <c r="AD17" s="308">
        <v>1</v>
      </c>
      <c r="AE17" s="308">
        <v>1</v>
      </c>
      <c r="AF17" s="308">
        <v>1</v>
      </c>
      <c r="AG17" s="249">
        <v>1</v>
      </c>
      <c r="AH17" s="247">
        <f>IFERROR(IF(OR($AQ$17="",$AQ$17=0),0,ROUNDDOWN(AVERAGE(AB17,AD17,AF17),3)),0)</f>
        <v>1</v>
      </c>
      <c r="AI17" s="308">
        <v>1</v>
      </c>
      <c r="AJ17" s="308">
        <v>1</v>
      </c>
      <c r="AK17" s="308">
        <v>1</v>
      </c>
      <c r="AL17" s="308">
        <v>1</v>
      </c>
      <c r="AM17" s="308">
        <v>1</v>
      </c>
      <c r="AN17" s="308">
        <v>1</v>
      </c>
      <c r="AO17" s="312">
        <f>(AI17+AK17+AM17)/3</f>
        <v>1</v>
      </c>
      <c r="AP17" s="247">
        <f>IFERROR(IF(OR($AQ$17="",$AQ$17=0),0,ROUNDDOWN(AVERAGE(AJ17,AL17,AN17),3)),0)</f>
        <v>1</v>
      </c>
      <c r="AQ17" s="312">
        <f>(Q17+Y17+AG17+AO17)/4</f>
        <v>1</v>
      </c>
      <c r="AR17" s="140">
        <f>IFERROR(IF(OR(AQ17="",AQ17=0),0,ROUNDDOWN(AVERAGE(L17,N17,P17,T17,V17,X17,AB17,AD17,AF17,AJ17,AL17,AN17),3)),0)</f>
        <v>1</v>
      </c>
      <c r="AS17" s="249">
        <f t="shared" si="5"/>
        <v>1</v>
      </c>
    </row>
    <row r="18" spans="2:45" ht="150" customHeight="1">
      <c r="B18" s="711"/>
      <c r="C18" s="159" t="s">
        <v>515</v>
      </c>
      <c r="D18" s="357">
        <v>800</v>
      </c>
      <c r="E18" s="153" t="s">
        <v>181</v>
      </c>
      <c r="F18" s="153" t="s">
        <v>182</v>
      </c>
      <c r="G18" s="154">
        <v>800</v>
      </c>
      <c r="H18" s="352" t="s">
        <v>183</v>
      </c>
      <c r="I18" s="146" t="s">
        <v>184</v>
      </c>
      <c r="J18" s="148" t="s">
        <v>527</v>
      </c>
      <c r="K18" s="105">
        <v>20</v>
      </c>
      <c r="L18" s="105">
        <v>16</v>
      </c>
      <c r="M18" s="105">
        <v>75</v>
      </c>
      <c r="N18" s="105">
        <v>43</v>
      </c>
      <c r="O18" s="105">
        <v>75</v>
      </c>
      <c r="P18" s="105">
        <v>44</v>
      </c>
      <c r="Q18" s="63">
        <f>K18+M18+O18</f>
        <v>170</v>
      </c>
      <c r="R18" s="63">
        <f>L18+N18+P18</f>
        <v>103</v>
      </c>
      <c r="S18" s="128">
        <v>75</v>
      </c>
      <c r="T18" s="128">
        <v>75</v>
      </c>
      <c r="U18" s="128">
        <v>75</v>
      </c>
      <c r="V18" s="128">
        <v>66</v>
      </c>
      <c r="W18" s="128">
        <v>75</v>
      </c>
      <c r="X18" s="128">
        <v>91</v>
      </c>
      <c r="Y18" s="63">
        <f>S18+U18+W18</f>
        <v>225</v>
      </c>
      <c r="Z18" s="63">
        <f>T18+V18+X18</f>
        <v>232</v>
      </c>
      <c r="AA18" s="128">
        <v>75</v>
      </c>
      <c r="AB18" s="128">
        <v>70</v>
      </c>
      <c r="AC18" s="128">
        <v>75</v>
      </c>
      <c r="AD18" s="128">
        <v>64</v>
      </c>
      <c r="AE18" s="128">
        <v>75</v>
      </c>
      <c r="AF18" s="128">
        <v>63</v>
      </c>
      <c r="AG18" s="63">
        <f>AA18+AC18+AE18</f>
        <v>225</v>
      </c>
      <c r="AH18" s="63">
        <f>AB18+AD18+AF18</f>
        <v>197</v>
      </c>
      <c r="AI18" s="128">
        <v>75</v>
      </c>
      <c r="AJ18" s="128">
        <v>69</v>
      </c>
      <c r="AK18" s="128">
        <v>75</v>
      </c>
      <c r="AL18" s="128">
        <v>68</v>
      </c>
      <c r="AM18" s="128">
        <v>30</v>
      </c>
      <c r="AN18" s="128">
        <v>57</v>
      </c>
      <c r="AO18" s="63">
        <f t="shared" si="6"/>
        <v>180</v>
      </c>
      <c r="AP18" s="63">
        <f t="shared" si="6"/>
        <v>194</v>
      </c>
      <c r="AQ18" s="15">
        <f>+Q18+Y18+AG18+AO18</f>
        <v>800</v>
      </c>
      <c r="AR18" s="66">
        <f>R18+Z18+AH18+AP18</f>
        <v>726</v>
      </c>
      <c r="AS18" s="249">
        <f t="shared" si="5"/>
        <v>0.90749999999999997</v>
      </c>
    </row>
    <row r="19" spans="2:45" ht="23.25">
      <c r="B19" s="713" t="s">
        <v>23</v>
      </c>
      <c r="C19" s="714"/>
      <c r="D19" s="714"/>
      <c r="E19" s="714"/>
      <c r="F19" s="714"/>
      <c r="G19" s="714"/>
      <c r="H19" s="714"/>
      <c r="I19" s="714"/>
      <c r="J19" s="714"/>
      <c r="K19" s="714"/>
      <c r="L19" s="714"/>
      <c r="M19" s="714"/>
      <c r="N19" s="714"/>
      <c r="O19" s="714"/>
      <c r="P19" s="714"/>
      <c r="Q19" s="714"/>
      <c r="R19" s="714"/>
      <c r="S19" s="714"/>
      <c r="T19" s="714"/>
      <c r="U19" s="714"/>
      <c r="V19" s="714"/>
      <c r="W19" s="714"/>
      <c r="X19" s="714"/>
      <c r="Y19" s="714"/>
      <c r="Z19" s="714"/>
      <c r="AA19" s="714"/>
      <c r="AB19" s="714"/>
      <c r="AC19" s="714"/>
      <c r="AD19" s="714"/>
      <c r="AE19" s="714"/>
      <c r="AF19" s="714"/>
      <c r="AG19" s="714"/>
      <c r="AH19" s="714"/>
      <c r="AI19" s="714"/>
      <c r="AJ19" s="714"/>
      <c r="AK19" s="714"/>
      <c r="AL19" s="714"/>
      <c r="AM19" s="714"/>
      <c r="AN19" s="714"/>
      <c r="AO19" s="714"/>
      <c r="AP19" s="714"/>
      <c r="AQ19" s="714"/>
      <c r="AR19" s="715"/>
      <c r="AS19" s="317">
        <f>AVERAGE(AS13:AS18)</f>
        <v>1.0134631642512077</v>
      </c>
    </row>
    <row r="20" spans="2:45" ht="17.25">
      <c r="B20" s="3"/>
      <c r="C20" s="3"/>
      <c r="D20" s="9"/>
      <c r="E20" s="3"/>
      <c r="F20" s="3"/>
      <c r="G20" s="3"/>
      <c r="H20" s="3"/>
      <c r="I20" s="3"/>
      <c r="J20" s="4"/>
    </row>
    <row r="21" spans="2:45" ht="30.75" customHeight="1">
      <c r="B21" s="54" t="s">
        <v>4</v>
      </c>
      <c r="C21" s="769" t="s">
        <v>199</v>
      </c>
      <c r="D21" s="770"/>
      <c r="E21" s="770"/>
      <c r="F21" s="770"/>
      <c r="G21" s="770"/>
      <c r="H21" s="770"/>
      <c r="I21" s="770"/>
      <c r="J21" s="771"/>
    </row>
    <row r="22" spans="2:45" ht="17.25">
      <c r="B22" s="3"/>
      <c r="C22" s="763"/>
      <c r="D22" s="763"/>
      <c r="E22" s="763"/>
      <c r="F22" s="763"/>
      <c r="G22" s="763"/>
      <c r="H22" s="763"/>
      <c r="I22" s="763"/>
      <c r="J22" s="763"/>
    </row>
    <row r="23" spans="2:45" ht="75" customHeight="1">
      <c r="B23" s="55" t="s">
        <v>32</v>
      </c>
      <c r="C23" s="764" t="s">
        <v>820</v>
      </c>
      <c r="D23" s="765"/>
      <c r="E23" s="3"/>
      <c r="F23" s="3"/>
      <c r="G23" s="53" t="s">
        <v>22</v>
      </c>
      <c r="H23" s="766" t="s">
        <v>898</v>
      </c>
      <c r="I23" s="776"/>
      <c r="J23" s="776"/>
    </row>
    <row r="24" spans="2:45" ht="13.5" customHeight="1">
      <c r="B24" s="3"/>
      <c r="C24" s="3"/>
      <c r="D24" s="9"/>
      <c r="E24" s="3"/>
      <c r="F24" s="3"/>
      <c r="G24" s="3"/>
      <c r="H24" s="3"/>
      <c r="I24" s="3"/>
      <c r="J24" s="4"/>
    </row>
    <row r="25" spans="2:45" ht="15" customHeight="1">
      <c r="B25" s="3"/>
      <c r="C25" s="3"/>
      <c r="D25" s="9"/>
      <c r="E25" s="3"/>
      <c r="F25" s="3"/>
      <c r="G25" s="3"/>
      <c r="H25" s="3"/>
      <c r="I25" s="3"/>
      <c r="J25" s="4"/>
    </row>
    <row r="26" spans="2:45" ht="17.25">
      <c r="B26" s="3"/>
      <c r="C26" s="3"/>
      <c r="D26" s="9"/>
      <c r="E26" s="3"/>
      <c r="F26" s="3"/>
      <c r="G26" s="3"/>
      <c r="H26" s="3"/>
      <c r="I26" s="3"/>
      <c r="J26" s="4"/>
    </row>
    <row r="27" spans="2:45" ht="15" customHeight="1">
      <c r="B27" s="3"/>
      <c r="C27" s="3"/>
      <c r="D27" s="9"/>
      <c r="E27" s="759"/>
      <c r="F27" s="759"/>
      <c r="G27" s="759"/>
      <c r="H27" s="759"/>
      <c r="I27" s="57"/>
      <c r="J27" s="3"/>
    </row>
    <row r="28" spans="2:45" ht="15" customHeight="1">
      <c r="B28" s="3"/>
      <c r="C28" s="3"/>
      <c r="D28" s="9"/>
      <c r="E28" s="3"/>
      <c r="F28" s="3"/>
      <c r="G28" s="4"/>
      <c r="H28" s="3"/>
      <c r="I28" s="3"/>
      <c r="J28" s="3"/>
    </row>
    <row r="29" spans="2:45" ht="15" customHeight="1">
      <c r="B29" s="3"/>
      <c r="C29" s="3"/>
      <c r="D29" s="9"/>
      <c r="E29" s="759"/>
      <c r="F29" s="759"/>
      <c r="G29" s="759"/>
      <c r="H29" s="759"/>
      <c r="I29" s="57"/>
      <c r="J29" s="3"/>
    </row>
    <row r="30" spans="2:45" ht="15" customHeight="1">
      <c r="B30" s="3"/>
      <c r="C30" s="3"/>
      <c r="D30" s="9"/>
      <c r="E30" s="3"/>
      <c r="F30" s="3"/>
      <c r="G30" s="4"/>
      <c r="H30" s="3"/>
      <c r="I30" s="3"/>
      <c r="J30" s="3"/>
    </row>
    <row r="31" spans="2:45" ht="15" customHeight="1">
      <c r="B31" s="3"/>
      <c r="C31" s="3"/>
      <c r="D31" s="9"/>
      <c r="E31" s="759"/>
      <c r="F31" s="759"/>
      <c r="G31" s="759"/>
      <c r="H31" s="759"/>
      <c r="I31" s="57"/>
      <c r="J31" s="3"/>
    </row>
  </sheetData>
  <sheetProtection algorithmName="SHA-512" hashValue="uUYDY1picJpPKIaa2RAtRUDWOKz0peaYM5lcRwWSaMmWyIS8GHPX95ElRF2rj+hcTgJCk1uvNEgvGdRzSJ8pUw==" saltValue="yabQ8zlV9Exx5pqVj+jPlQ=="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AM11:AN11"/>
    <mergeCell ref="AO11:AP11"/>
    <mergeCell ref="B19:AR19"/>
    <mergeCell ref="C21:J21"/>
    <mergeCell ref="C22:J22"/>
    <mergeCell ref="AA11:AB11"/>
    <mergeCell ref="AC11:AD11"/>
    <mergeCell ref="AE11:AF11"/>
    <mergeCell ref="AG11:AH11"/>
    <mergeCell ref="AI11:AJ11"/>
    <mergeCell ref="AK11:AL11"/>
    <mergeCell ref="O11:P11"/>
    <mergeCell ref="Q11:R11"/>
    <mergeCell ref="S11:T11"/>
    <mergeCell ref="U11:V11"/>
    <mergeCell ref="W11:X11"/>
    <mergeCell ref="B13:B18"/>
    <mergeCell ref="C23:D23"/>
    <mergeCell ref="H23:J23"/>
    <mergeCell ref="E27:H27"/>
    <mergeCell ref="E29:H29"/>
    <mergeCell ref="E31:H3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B1:AS29"/>
  <sheetViews>
    <sheetView showGridLines="0" zoomScale="55" zoomScaleNormal="55" workbookViewId="0">
      <selection activeCell="I25" sqref="I25"/>
    </sheetView>
  </sheetViews>
  <sheetFormatPr baseColWidth="10" defaultColWidth="17.28515625" defaultRowHeight="15" customHeight="1"/>
  <cols>
    <col min="1" max="1" width="4.28515625" style="89" customWidth="1"/>
    <col min="2" max="2" width="28.42578125" style="86" customWidth="1"/>
    <col min="3" max="3" width="28.5703125" style="86" customWidth="1"/>
    <col min="4" max="4" width="21.42578125" style="87" customWidth="1"/>
    <col min="5" max="5" width="21.42578125" style="86" customWidth="1"/>
    <col min="6" max="6" width="23.28515625" style="86" customWidth="1"/>
    <col min="7" max="7" width="27.140625" style="86" customWidth="1"/>
    <col min="8" max="8" width="28.5703125" style="86" customWidth="1"/>
    <col min="9" max="9" width="50" style="86" customWidth="1"/>
    <col min="10" max="10" width="32.42578125" style="88" customWidth="1"/>
    <col min="11" max="42" width="14.28515625" style="89" customWidth="1"/>
    <col min="43" max="45" width="20" style="89" customWidth="1"/>
    <col min="46" max="16384" width="17.28515625" style="89"/>
  </cols>
  <sheetData>
    <row r="1" spans="2:45" ht="18" thickBot="1"/>
    <row r="2" spans="2:45" ht="15.75">
      <c r="B2" s="658"/>
      <c r="C2" s="661" t="s">
        <v>59</v>
      </c>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3"/>
      <c r="AR2" s="670" t="s">
        <v>39</v>
      </c>
      <c r="AS2" s="671"/>
    </row>
    <row r="3" spans="2:45" ht="15.75">
      <c r="B3" s="659"/>
      <c r="C3" s="726"/>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6"/>
      <c r="AR3" s="90" t="s">
        <v>36</v>
      </c>
      <c r="AS3" s="533" t="s">
        <v>37</v>
      </c>
    </row>
    <row r="4" spans="2:45">
      <c r="B4" s="659"/>
      <c r="C4" s="726"/>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6"/>
      <c r="AR4" s="92">
        <v>3</v>
      </c>
      <c r="AS4" s="93" t="s">
        <v>102</v>
      </c>
    </row>
    <row r="5" spans="2:45" ht="15.75">
      <c r="B5" s="659"/>
      <c r="C5" s="726"/>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c r="AR5" s="724" t="s">
        <v>38</v>
      </c>
      <c r="AS5" s="725"/>
    </row>
    <row r="6" spans="2:45" ht="15.75" thickBot="1">
      <c r="B6" s="660"/>
      <c r="C6" s="667"/>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c r="AR6" s="674" t="s">
        <v>100</v>
      </c>
      <c r="AS6" s="675"/>
    </row>
    <row r="7" spans="2:45" ht="17.25">
      <c r="B7" s="94"/>
      <c r="C7" s="94"/>
      <c r="D7" s="95"/>
      <c r="E7" s="94"/>
      <c r="F7" s="94"/>
      <c r="G7" s="94"/>
      <c r="H7" s="94"/>
      <c r="I7" s="94"/>
      <c r="J7" s="96"/>
      <c r="AR7" s="730"/>
      <c r="AS7" s="731"/>
    </row>
    <row r="8" spans="2:45" ht="13.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5.75">
      <c r="B9" s="718" t="s">
        <v>35</v>
      </c>
      <c r="C9" s="718" t="s">
        <v>34</v>
      </c>
      <c r="D9" s="718" t="s">
        <v>63</v>
      </c>
      <c r="E9" s="718" t="s">
        <v>66</v>
      </c>
      <c r="F9" s="718" t="s">
        <v>67</v>
      </c>
      <c r="G9" s="718" t="s">
        <v>31</v>
      </c>
      <c r="H9" s="718" t="s">
        <v>25</v>
      </c>
      <c r="I9" s="718" t="s">
        <v>95</v>
      </c>
      <c r="J9" s="718"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716" t="s">
        <v>6</v>
      </c>
      <c r="AR9" s="717" t="s">
        <v>7</v>
      </c>
      <c r="AS9" s="717" t="s">
        <v>24</v>
      </c>
    </row>
    <row r="10" spans="2:45" ht="15.75">
      <c r="B10" s="718"/>
      <c r="C10" s="718"/>
      <c r="D10" s="718"/>
      <c r="E10" s="718"/>
      <c r="F10" s="718"/>
      <c r="G10" s="718"/>
      <c r="H10" s="718"/>
      <c r="I10" s="718"/>
      <c r="J10" s="718"/>
      <c r="K10" s="719" t="s">
        <v>26</v>
      </c>
      <c r="L10" s="719"/>
      <c r="M10" s="719"/>
      <c r="N10" s="719"/>
      <c r="O10" s="719"/>
      <c r="P10" s="719"/>
      <c r="Q10" s="719"/>
      <c r="R10" s="719"/>
      <c r="S10" s="719" t="s">
        <v>27</v>
      </c>
      <c r="T10" s="719"/>
      <c r="U10" s="719"/>
      <c r="V10" s="719"/>
      <c r="W10" s="719"/>
      <c r="X10" s="719"/>
      <c r="Y10" s="719"/>
      <c r="Z10" s="719"/>
      <c r="AA10" s="719" t="s">
        <v>28</v>
      </c>
      <c r="AB10" s="719"/>
      <c r="AC10" s="719"/>
      <c r="AD10" s="719"/>
      <c r="AE10" s="719"/>
      <c r="AF10" s="719"/>
      <c r="AG10" s="719"/>
      <c r="AH10" s="719"/>
      <c r="AI10" s="719" t="s">
        <v>29</v>
      </c>
      <c r="AJ10" s="719"/>
      <c r="AK10" s="719"/>
      <c r="AL10" s="719"/>
      <c r="AM10" s="719"/>
      <c r="AN10" s="719"/>
      <c r="AO10" s="719"/>
      <c r="AP10" s="719"/>
      <c r="AQ10" s="716"/>
      <c r="AR10" s="717"/>
      <c r="AS10" s="717"/>
    </row>
    <row r="11" spans="2:45" ht="15.75" customHeight="1">
      <c r="B11" s="718"/>
      <c r="C11" s="718"/>
      <c r="D11" s="718"/>
      <c r="E11" s="718"/>
      <c r="F11" s="718"/>
      <c r="G11" s="718"/>
      <c r="H11" s="718"/>
      <c r="I11" s="718"/>
      <c r="J11" s="718"/>
      <c r="K11" s="719" t="s">
        <v>8</v>
      </c>
      <c r="L11" s="719"/>
      <c r="M11" s="719" t="s">
        <v>9</v>
      </c>
      <c r="N11" s="719"/>
      <c r="O11" s="732" t="s">
        <v>10</v>
      </c>
      <c r="P11" s="733"/>
      <c r="Q11" s="720" t="s">
        <v>11</v>
      </c>
      <c r="R11" s="721"/>
      <c r="S11" s="719" t="s">
        <v>33</v>
      </c>
      <c r="T11" s="719"/>
      <c r="U11" s="719" t="s">
        <v>12</v>
      </c>
      <c r="V11" s="719"/>
      <c r="W11" s="719" t="s">
        <v>13</v>
      </c>
      <c r="X11" s="719"/>
      <c r="Y11" s="720" t="s">
        <v>11</v>
      </c>
      <c r="Z11" s="721"/>
      <c r="AA11" s="719" t="s">
        <v>14</v>
      </c>
      <c r="AB11" s="719"/>
      <c r="AC11" s="719" t="s">
        <v>15</v>
      </c>
      <c r="AD11" s="719"/>
      <c r="AE11" s="719" t="s">
        <v>16</v>
      </c>
      <c r="AF11" s="719"/>
      <c r="AG11" s="720" t="s">
        <v>11</v>
      </c>
      <c r="AH11" s="721"/>
      <c r="AI11" s="719" t="s">
        <v>17</v>
      </c>
      <c r="AJ11" s="719"/>
      <c r="AK11" s="719" t="s">
        <v>18</v>
      </c>
      <c r="AL11" s="719"/>
      <c r="AM11" s="719" t="s">
        <v>19</v>
      </c>
      <c r="AN11" s="719"/>
      <c r="AO11" s="720" t="s">
        <v>11</v>
      </c>
      <c r="AP11" s="721"/>
      <c r="AQ11" s="716"/>
      <c r="AR11" s="717"/>
      <c r="AS11" s="717"/>
    </row>
    <row r="12" spans="2:45" ht="13.5">
      <c r="B12" s="652"/>
      <c r="C12" s="652"/>
      <c r="D12" s="652"/>
      <c r="E12" s="652"/>
      <c r="F12" s="652"/>
      <c r="G12" s="652"/>
      <c r="H12" s="652"/>
      <c r="I12" s="652"/>
      <c r="J12" s="652"/>
      <c r="K12" s="22" t="s">
        <v>20</v>
      </c>
      <c r="L12" s="23" t="s">
        <v>21</v>
      </c>
      <c r="M12" s="22" t="s">
        <v>20</v>
      </c>
      <c r="N12" s="23" t="s">
        <v>21</v>
      </c>
      <c r="O12" s="22" t="s">
        <v>20</v>
      </c>
      <c r="P12" s="23" t="s">
        <v>21</v>
      </c>
      <c r="Q12" s="24" t="s">
        <v>20</v>
      </c>
      <c r="R12" s="25" t="s">
        <v>21</v>
      </c>
      <c r="S12" s="22" t="s">
        <v>20</v>
      </c>
      <c r="T12" s="23" t="s">
        <v>21</v>
      </c>
      <c r="U12" s="22" t="s">
        <v>20</v>
      </c>
      <c r="V12" s="23" t="s">
        <v>21</v>
      </c>
      <c r="W12" s="22" t="s">
        <v>20</v>
      </c>
      <c r="X12" s="23" t="s">
        <v>21</v>
      </c>
      <c r="Y12" s="24" t="s">
        <v>20</v>
      </c>
      <c r="Z12" s="25" t="s">
        <v>21</v>
      </c>
      <c r="AA12" s="22" t="s">
        <v>20</v>
      </c>
      <c r="AB12" s="23" t="s">
        <v>21</v>
      </c>
      <c r="AC12" s="22" t="s">
        <v>20</v>
      </c>
      <c r="AD12" s="23" t="s">
        <v>21</v>
      </c>
      <c r="AE12" s="22" t="s">
        <v>20</v>
      </c>
      <c r="AF12" s="23" t="s">
        <v>21</v>
      </c>
      <c r="AG12" s="24" t="s">
        <v>20</v>
      </c>
      <c r="AH12" s="25" t="s">
        <v>21</v>
      </c>
      <c r="AI12" s="22" t="s">
        <v>20</v>
      </c>
      <c r="AJ12" s="23" t="s">
        <v>21</v>
      </c>
      <c r="AK12" s="22" t="s">
        <v>20</v>
      </c>
      <c r="AL12" s="23" t="s">
        <v>21</v>
      </c>
      <c r="AM12" s="22" t="s">
        <v>20</v>
      </c>
      <c r="AN12" s="23" t="s">
        <v>21</v>
      </c>
      <c r="AO12" s="24" t="s">
        <v>20</v>
      </c>
      <c r="AP12" s="25" t="s">
        <v>21</v>
      </c>
      <c r="AQ12" s="716"/>
      <c r="AR12" s="717"/>
      <c r="AS12" s="717"/>
    </row>
    <row r="13" spans="2:45" ht="135" customHeight="1">
      <c r="B13" s="781" t="s">
        <v>216</v>
      </c>
      <c r="C13" s="632" t="s">
        <v>418</v>
      </c>
      <c r="D13" s="535">
        <v>20</v>
      </c>
      <c r="E13" s="172" t="s">
        <v>200</v>
      </c>
      <c r="F13" s="173" t="s">
        <v>201</v>
      </c>
      <c r="G13" s="174">
        <v>48</v>
      </c>
      <c r="H13" s="173" t="s">
        <v>202</v>
      </c>
      <c r="I13" s="175" t="s">
        <v>203</v>
      </c>
      <c r="J13" s="176" t="s">
        <v>534</v>
      </c>
      <c r="K13" s="105">
        <v>0</v>
      </c>
      <c r="L13" s="105">
        <v>0</v>
      </c>
      <c r="M13" s="105">
        <v>0</v>
      </c>
      <c r="N13" s="105">
        <v>2</v>
      </c>
      <c r="O13" s="105">
        <v>0</v>
      </c>
      <c r="P13" s="105">
        <v>1</v>
      </c>
      <c r="Q13" s="61">
        <f>K13+M13+O13</f>
        <v>0</v>
      </c>
      <c r="R13" s="61">
        <f>L13+N13+P13</f>
        <v>3</v>
      </c>
      <c r="S13" s="128">
        <v>0</v>
      </c>
      <c r="T13" s="128">
        <v>0</v>
      </c>
      <c r="U13" s="128">
        <v>0</v>
      </c>
      <c r="V13" s="128">
        <v>0</v>
      </c>
      <c r="W13" s="128">
        <v>0</v>
      </c>
      <c r="X13" s="128">
        <v>0</v>
      </c>
      <c r="Y13" s="61">
        <f>S13+U13+W13</f>
        <v>0</v>
      </c>
      <c r="Z13" s="61">
        <f>T13+V13+X13</f>
        <v>0</v>
      </c>
      <c r="AA13" s="128">
        <v>0</v>
      </c>
      <c r="AB13" s="128">
        <v>0</v>
      </c>
      <c r="AC13" s="128">
        <v>0</v>
      </c>
      <c r="AD13" s="128">
        <v>0</v>
      </c>
      <c r="AE13" s="128">
        <v>0</v>
      </c>
      <c r="AF13" s="128">
        <v>1</v>
      </c>
      <c r="AG13" s="61">
        <f>AA13+AC13+AE13</f>
        <v>0</v>
      </c>
      <c r="AH13" s="61">
        <f>AB13+AD13+AF13</f>
        <v>1</v>
      </c>
      <c r="AI13" s="128">
        <v>5</v>
      </c>
      <c r="AJ13" s="128">
        <v>4</v>
      </c>
      <c r="AK13" s="128">
        <v>8</v>
      </c>
      <c r="AL13" s="128">
        <v>1</v>
      </c>
      <c r="AM13" s="128">
        <v>7</v>
      </c>
      <c r="AN13" s="128">
        <v>4</v>
      </c>
      <c r="AO13" s="61">
        <f>AI13+AK13+AM13</f>
        <v>20</v>
      </c>
      <c r="AP13" s="61">
        <f>AJ13+AL13+AN13</f>
        <v>9</v>
      </c>
      <c r="AQ13" s="17">
        <f>Q13+Y13+AG13+AO13</f>
        <v>20</v>
      </c>
      <c r="AR13" s="65">
        <f>R13+Z13+AH13+AP13</f>
        <v>13</v>
      </c>
      <c r="AS13" s="249">
        <f>IF(AND(AR13&gt;0,AQ13&gt;0),AR13/AQ13,0)</f>
        <v>0.65</v>
      </c>
    </row>
    <row r="14" spans="2:45" ht="105">
      <c r="B14" s="782"/>
      <c r="C14" s="779"/>
      <c r="D14" s="535">
        <v>10</v>
      </c>
      <c r="E14" s="227" t="s">
        <v>204</v>
      </c>
      <c r="F14" s="228" t="s">
        <v>205</v>
      </c>
      <c r="G14" s="174">
        <v>31</v>
      </c>
      <c r="H14" s="173" t="s">
        <v>206</v>
      </c>
      <c r="I14" s="175" t="s">
        <v>207</v>
      </c>
      <c r="J14" s="176" t="s">
        <v>534</v>
      </c>
      <c r="K14" s="105">
        <v>0</v>
      </c>
      <c r="L14" s="105">
        <v>0</v>
      </c>
      <c r="M14" s="105">
        <v>0</v>
      </c>
      <c r="N14" s="105">
        <v>0</v>
      </c>
      <c r="O14" s="105">
        <v>0</v>
      </c>
      <c r="P14" s="105">
        <v>0</v>
      </c>
      <c r="Q14" s="61">
        <f t="shared" ref="Q14:R16" si="0">K14+M14+O14</f>
        <v>0</v>
      </c>
      <c r="R14" s="61">
        <f t="shared" si="0"/>
        <v>0</v>
      </c>
      <c r="S14" s="128">
        <v>0</v>
      </c>
      <c r="T14" s="128">
        <v>0</v>
      </c>
      <c r="U14" s="128">
        <v>0</v>
      </c>
      <c r="V14" s="128">
        <v>0</v>
      </c>
      <c r="W14" s="128">
        <v>0</v>
      </c>
      <c r="X14" s="128">
        <v>0</v>
      </c>
      <c r="Y14" s="61">
        <f t="shared" ref="Y14:Z16" si="1">S14+U14+W14</f>
        <v>0</v>
      </c>
      <c r="Z14" s="61">
        <f t="shared" si="1"/>
        <v>0</v>
      </c>
      <c r="AA14" s="128">
        <v>0</v>
      </c>
      <c r="AB14" s="128">
        <v>0</v>
      </c>
      <c r="AC14" s="128">
        <v>0</v>
      </c>
      <c r="AD14" s="128">
        <v>0</v>
      </c>
      <c r="AE14" s="128">
        <v>0</v>
      </c>
      <c r="AF14" s="128">
        <v>0</v>
      </c>
      <c r="AG14" s="61">
        <f t="shared" ref="AG14:AH16" si="2">AA14+AC14+AE14</f>
        <v>0</v>
      </c>
      <c r="AH14" s="61">
        <f t="shared" si="2"/>
        <v>0</v>
      </c>
      <c r="AI14" s="128">
        <v>0</v>
      </c>
      <c r="AJ14" s="128">
        <v>0</v>
      </c>
      <c r="AK14" s="128">
        <v>0</v>
      </c>
      <c r="AL14" s="128">
        <v>3</v>
      </c>
      <c r="AM14" s="128">
        <v>10</v>
      </c>
      <c r="AN14" s="128">
        <v>1</v>
      </c>
      <c r="AO14" s="61">
        <f t="shared" ref="AO14:AP16" si="3">AI14+AK14+AM14</f>
        <v>10</v>
      </c>
      <c r="AP14" s="61">
        <f t="shared" si="3"/>
        <v>4</v>
      </c>
      <c r="AQ14" s="17">
        <f t="shared" ref="AQ14:AR16" si="4">Q14+Y14+AG14+AO14</f>
        <v>10</v>
      </c>
      <c r="AR14" s="65">
        <f t="shared" si="4"/>
        <v>4</v>
      </c>
      <c r="AS14" s="249">
        <f>IF(AND(AR14&gt;0,AQ14&gt;0),AR14/AQ14,0)</f>
        <v>0.4</v>
      </c>
    </row>
    <row r="15" spans="2:45" ht="105">
      <c r="B15" s="782"/>
      <c r="C15" s="161" t="s">
        <v>419</v>
      </c>
      <c r="D15" s="535">
        <v>50</v>
      </c>
      <c r="E15" s="172" t="s">
        <v>208</v>
      </c>
      <c r="F15" s="173" t="s">
        <v>553</v>
      </c>
      <c r="G15" s="174">
        <v>70</v>
      </c>
      <c r="H15" s="173" t="s">
        <v>210</v>
      </c>
      <c r="I15" s="175" t="s">
        <v>211</v>
      </c>
      <c r="J15" s="176" t="s">
        <v>534</v>
      </c>
      <c r="K15" s="105">
        <v>2</v>
      </c>
      <c r="L15" s="105">
        <v>12</v>
      </c>
      <c r="M15" s="105">
        <v>3</v>
      </c>
      <c r="N15" s="105">
        <v>9</v>
      </c>
      <c r="O15" s="105">
        <v>3</v>
      </c>
      <c r="P15" s="105">
        <v>6</v>
      </c>
      <c r="Q15" s="61">
        <f t="shared" si="0"/>
        <v>8</v>
      </c>
      <c r="R15" s="61">
        <f t="shared" si="0"/>
        <v>27</v>
      </c>
      <c r="S15" s="128">
        <v>0</v>
      </c>
      <c r="T15" s="128">
        <v>0</v>
      </c>
      <c r="U15" s="128">
        <v>0</v>
      </c>
      <c r="V15" s="128">
        <v>0</v>
      </c>
      <c r="W15" s="128">
        <v>0</v>
      </c>
      <c r="X15" s="128">
        <v>0</v>
      </c>
      <c r="Y15" s="61">
        <f t="shared" si="1"/>
        <v>0</v>
      </c>
      <c r="Z15" s="61">
        <f t="shared" si="1"/>
        <v>0</v>
      </c>
      <c r="AA15" s="128">
        <v>0</v>
      </c>
      <c r="AB15" s="128">
        <v>0</v>
      </c>
      <c r="AC15" s="128">
        <v>0</v>
      </c>
      <c r="AD15" s="128">
        <v>0</v>
      </c>
      <c r="AE15" s="128">
        <v>0</v>
      </c>
      <c r="AF15" s="128">
        <v>5</v>
      </c>
      <c r="AG15" s="61">
        <f t="shared" si="2"/>
        <v>0</v>
      </c>
      <c r="AH15" s="61">
        <f t="shared" si="2"/>
        <v>5</v>
      </c>
      <c r="AI15" s="128">
        <v>8</v>
      </c>
      <c r="AJ15" s="128">
        <v>8</v>
      </c>
      <c r="AK15" s="128">
        <v>15</v>
      </c>
      <c r="AL15" s="128">
        <v>6</v>
      </c>
      <c r="AM15" s="128">
        <v>19</v>
      </c>
      <c r="AN15" s="128">
        <v>9</v>
      </c>
      <c r="AO15" s="61">
        <f t="shared" si="3"/>
        <v>42</v>
      </c>
      <c r="AP15" s="61">
        <f t="shared" si="3"/>
        <v>23</v>
      </c>
      <c r="AQ15" s="17">
        <f t="shared" si="4"/>
        <v>50</v>
      </c>
      <c r="AR15" s="65">
        <f t="shared" si="4"/>
        <v>55</v>
      </c>
      <c r="AS15" s="249">
        <f>IF(AND(AR15&gt;0,AQ15&gt;0),AR15/AQ15,0)</f>
        <v>1.1000000000000001</v>
      </c>
    </row>
    <row r="16" spans="2:45" ht="128.25">
      <c r="B16" s="783"/>
      <c r="C16" s="161" t="s">
        <v>420</v>
      </c>
      <c r="D16" s="535">
        <v>900</v>
      </c>
      <c r="E16" s="172" t="s">
        <v>212</v>
      </c>
      <c r="F16" s="173" t="s">
        <v>213</v>
      </c>
      <c r="G16" s="174">
        <v>1800</v>
      </c>
      <c r="H16" s="173" t="s">
        <v>214</v>
      </c>
      <c r="I16" s="175" t="s">
        <v>215</v>
      </c>
      <c r="J16" s="176" t="s">
        <v>534</v>
      </c>
      <c r="K16" s="105">
        <v>62</v>
      </c>
      <c r="L16" s="105">
        <v>184</v>
      </c>
      <c r="M16" s="105">
        <v>87</v>
      </c>
      <c r="N16" s="105">
        <v>98</v>
      </c>
      <c r="O16" s="105">
        <v>95</v>
      </c>
      <c r="P16" s="105">
        <v>46</v>
      </c>
      <c r="Q16" s="63">
        <f t="shared" si="0"/>
        <v>244</v>
      </c>
      <c r="R16" s="63">
        <f t="shared" si="0"/>
        <v>328</v>
      </c>
      <c r="S16" s="128">
        <v>0</v>
      </c>
      <c r="T16" s="128">
        <v>0</v>
      </c>
      <c r="U16" s="128">
        <v>0</v>
      </c>
      <c r="V16" s="128">
        <v>0</v>
      </c>
      <c r="W16" s="128">
        <v>0</v>
      </c>
      <c r="X16" s="128">
        <v>0</v>
      </c>
      <c r="Y16" s="63">
        <f t="shared" si="1"/>
        <v>0</v>
      </c>
      <c r="Z16" s="63">
        <f t="shared" si="1"/>
        <v>0</v>
      </c>
      <c r="AA16" s="128">
        <v>0</v>
      </c>
      <c r="AB16" s="128">
        <v>0</v>
      </c>
      <c r="AC16" s="128">
        <v>0</v>
      </c>
      <c r="AD16" s="128">
        <v>0</v>
      </c>
      <c r="AE16" s="128">
        <v>0</v>
      </c>
      <c r="AF16" s="128">
        <v>230</v>
      </c>
      <c r="AG16" s="63">
        <f t="shared" si="2"/>
        <v>0</v>
      </c>
      <c r="AH16" s="63">
        <f t="shared" si="2"/>
        <v>230</v>
      </c>
      <c r="AI16" s="128">
        <v>189</v>
      </c>
      <c r="AJ16" s="128">
        <v>132</v>
      </c>
      <c r="AK16" s="128">
        <v>234</v>
      </c>
      <c r="AL16" s="128">
        <v>61</v>
      </c>
      <c r="AM16" s="128">
        <v>233</v>
      </c>
      <c r="AN16" s="128">
        <v>151</v>
      </c>
      <c r="AO16" s="63">
        <f t="shared" si="3"/>
        <v>656</v>
      </c>
      <c r="AP16" s="63">
        <f t="shared" si="3"/>
        <v>344</v>
      </c>
      <c r="AQ16" s="15">
        <f t="shared" si="4"/>
        <v>900</v>
      </c>
      <c r="AR16" s="66">
        <f t="shared" si="4"/>
        <v>902</v>
      </c>
      <c r="AS16" s="249">
        <f>IF(AND(AR16&gt;0,AQ16&gt;0),AR16/AQ16,0)</f>
        <v>1.0022222222222221</v>
      </c>
    </row>
    <row r="17" spans="2:45" ht="23.25">
      <c r="B17" s="713" t="s">
        <v>23</v>
      </c>
      <c r="C17" s="714"/>
      <c r="D17" s="714"/>
      <c r="E17" s="714"/>
      <c r="F17" s="714"/>
      <c r="G17" s="714"/>
      <c r="H17" s="714"/>
      <c r="I17" s="714"/>
      <c r="J17" s="714"/>
      <c r="K17" s="714"/>
      <c r="L17" s="714"/>
      <c r="M17" s="714"/>
      <c r="N17" s="714"/>
      <c r="O17" s="714"/>
      <c r="P17" s="714"/>
      <c r="Q17" s="714"/>
      <c r="R17" s="714"/>
      <c r="S17" s="714"/>
      <c r="T17" s="714"/>
      <c r="U17" s="714"/>
      <c r="V17" s="714"/>
      <c r="W17" s="714"/>
      <c r="X17" s="714"/>
      <c r="Y17" s="714"/>
      <c r="Z17" s="714"/>
      <c r="AA17" s="714"/>
      <c r="AB17" s="714"/>
      <c r="AC17" s="714"/>
      <c r="AD17" s="714"/>
      <c r="AE17" s="714"/>
      <c r="AF17" s="714"/>
      <c r="AG17" s="714"/>
      <c r="AH17" s="714"/>
      <c r="AI17" s="714"/>
      <c r="AJ17" s="714"/>
      <c r="AK17" s="714"/>
      <c r="AL17" s="714"/>
      <c r="AM17" s="714"/>
      <c r="AN17" s="714"/>
      <c r="AO17" s="714"/>
      <c r="AP17" s="714"/>
      <c r="AQ17" s="714"/>
      <c r="AR17" s="715"/>
      <c r="AS17" s="317">
        <f>AVERAGE(AS13:AS16)</f>
        <v>0.78805555555555562</v>
      </c>
    </row>
    <row r="18" spans="2:45" ht="17.25">
      <c r="B18" s="112"/>
      <c r="C18" s="112"/>
      <c r="D18" s="113"/>
      <c r="E18" s="112"/>
      <c r="F18" s="112"/>
      <c r="G18" s="112"/>
      <c r="H18" s="112"/>
      <c r="I18" s="112"/>
      <c r="J18" s="114"/>
    </row>
    <row r="19" spans="2:45" ht="15.75">
      <c r="B19" s="54" t="s">
        <v>4</v>
      </c>
      <c r="C19" s="780"/>
      <c r="D19" s="728"/>
      <c r="E19" s="728"/>
      <c r="F19" s="728"/>
      <c r="G19" s="728"/>
      <c r="H19" s="728"/>
      <c r="I19" s="728"/>
      <c r="J19" s="729"/>
    </row>
    <row r="20" spans="2:45" ht="17.25">
      <c r="B20" s="112"/>
      <c r="C20" s="645"/>
      <c r="D20" s="645"/>
      <c r="E20" s="645"/>
      <c r="F20" s="645"/>
      <c r="G20" s="645"/>
      <c r="H20" s="645"/>
      <c r="I20" s="645"/>
      <c r="J20" s="645"/>
    </row>
    <row r="21" spans="2:45" ht="72" customHeight="1">
      <c r="B21" s="55" t="s">
        <v>32</v>
      </c>
      <c r="C21" s="702" t="s">
        <v>821</v>
      </c>
      <c r="D21" s="703"/>
      <c r="E21" s="112"/>
      <c r="F21" s="112"/>
      <c r="G21" s="534" t="s">
        <v>22</v>
      </c>
      <c r="H21" s="722" t="s">
        <v>891</v>
      </c>
      <c r="I21" s="723"/>
      <c r="J21" s="723"/>
    </row>
    <row r="22" spans="2:45" ht="17.25">
      <c r="B22" s="112"/>
      <c r="C22" s="112"/>
      <c r="D22" s="113"/>
      <c r="E22" s="112"/>
      <c r="F22" s="112"/>
      <c r="G22" s="112"/>
      <c r="H22" s="112"/>
      <c r="I22" s="112"/>
      <c r="J22" s="114"/>
    </row>
    <row r="23" spans="2:45" ht="17.25">
      <c r="B23" s="112"/>
      <c r="C23" s="112"/>
      <c r="D23" s="113"/>
      <c r="E23" s="112"/>
      <c r="F23" s="112"/>
      <c r="G23" s="112"/>
      <c r="H23" s="112"/>
      <c r="I23" s="112"/>
      <c r="J23" s="114"/>
    </row>
    <row r="24" spans="2:45" ht="17.25">
      <c r="B24" s="112"/>
      <c r="C24" s="112"/>
      <c r="D24" s="113"/>
      <c r="E24" s="112"/>
      <c r="F24" s="112"/>
      <c r="G24" s="112"/>
      <c r="H24" s="112"/>
      <c r="I24" s="112"/>
      <c r="J24" s="114"/>
    </row>
    <row r="25" spans="2:45" ht="17.25">
      <c r="B25" s="112"/>
      <c r="C25" s="112"/>
      <c r="D25" s="113"/>
      <c r="E25" s="629"/>
      <c r="F25" s="629"/>
      <c r="G25" s="629"/>
      <c r="H25" s="629"/>
      <c r="I25" s="429"/>
      <c r="J25" s="112"/>
    </row>
    <row r="26" spans="2:45" ht="17.25">
      <c r="B26" s="112"/>
      <c r="C26" s="112"/>
      <c r="D26" s="113"/>
      <c r="E26" s="112"/>
      <c r="F26" s="112"/>
      <c r="G26" s="114"/>
      <c r="H26" s="112"/>
      <c r="I26" s="112"/>
      <c r="J26" s="112"/>
    </row>
    <row r="27" spans="2:45" ht="17.25">
      <c r="B27" s="112"/>
      <c r="C27" s="112"/>
      <c r="D27" s="113"/>
      <c r="E27" s="629"/>
      <c r="F27" s="629"/>
      <c r="G27" s="629"/>
      <c r="H27" s="629"/>
      <c r="I27" s="429"/>
      <c r="J27" s="112"/>
    </row>
    <row r="28" spans="2:45" ht="17.25">
      <c r="B28" s="112"/>
      <c r="C28" s="112"/>
      <c r="D28" s="113"/>
      <c r="E28" s="112"/>
      <c r="F28" s="112"/>
      <c r="G28" s="114"/>
      <c r="H28" s="112"/>
      <c r="I28" s="112"/>
      <c r="J28" s="112"/>
    </row>
    <row r="29" spans="2:45" ht="17.25">
      <c r="B29" s="112"/>
      <c r="C29" s="112"/>
      <c r="D29" s="113"/>
      <c r="E29" s="629"/>
      <c r="F29" s="629"/>
      <c r="G29" s="629"/>
      <c r="H29" s="629"/>
      <c r="I29" s="429"/>
      <c r="J29" s="112"/>
    </row>
  </sheetData>
  <sheetProtection algorithmName="SHA-512" hashValue="b37z7qUwoZvYJRgxfhj1crsaHgy9a7q4vh3FJwan/xf8u75frg9TQCIGceN/VSqSUsCdrO4rxB8dL4QirvxXRw==" saltValue="BqAI+1EzAwSca+qe+Z8ZGA==" spinCount="100000" sheet="1" objects="1" scenarios="1"/>
  <mergeCells count="50">
    <mergeCell ref="B17:AR17"/>
    <mergeCell ref="C19:J19"/>
    <mergeCell ref="B13:B16"/>
    <mergeCell ref="AA11:AB11"/>
    <mergeCell ref="AC11:AD11"/>
    <mergeCell ref="AE11:AF11"/>
    <mergeCell ref="AG11:AH11"/>
    <mergeCell ref="AI11:AJ11"/>
    <mergeCell ref="AK11:AL11"/>
    <mergeCell ref="O11:P11"/>
    <mergeCell ref="Q11:R11"/>
    <mergeCell ref="S11:T11"/>
    <mergeCell ref="K9:AP9"/>
    <mergeCell ref="AQ9:AQ12"/>
    <mergeCell ref="E29:H29"/>
    <mergeCell ref="AM11:AN11"/>
    <mergeCell ref="AO11:AP11"/>
    <mergeCell ref="C20:J20"/>
    <mergeCell ref="C21:D21"/>
    <mergeCell ref="H21:J21"/>
    <mergeCell ref="E25:H25"/>
    <mergeCell ref="E27:H27"/>
    <mergeCell ref="K11:L11"/>
    <mergeCell ref="M11:N11"/>
    <mergeCell ref="U11:V11"/>
    <mergeCell ref="W11:X11"/>
    <mergeCell ref="Y11:Z11"/>
    <mergeCell ref="C13:C14"/>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1:AS36"/>
  <sheetViews>
    <sheetView showGridLines="0" zoomScale="55" zoomScaleNormal="55" workbookViewId="0">
      <selection activeCell="G13" sqref="G13"/>
    </sheetView>
  </sheetViews>
  <sheetFormatPr baseColWidth="10" defaultColWidth="17.28515625" defaultRowHeight="15" customHeight="1"/>
  <cols>
    <col min="1" max="1" width="4.28515625" style="539" customWidth="1"/>
    <col min="2" max="2" width="41.7109375" style="536" bestFit="1" customWidth="1"/>
    <col min="3" max="3" width="28.5703125" style="536" customWidth="1"/>
    <col min="4" max="4" width="23.28515625" style="537" customWidth="1"/>
    <col min="5" max="5" width="25" style="536" customWidth="1"/>
    <col min="6" max="6" width="33.28515625" style="536" bestFit="1" customWidth="1"/>
    <col min="7" max="7" width="24" style="536" customWidth="1"/>
    <col min="8" max="8" width="42.85546875" style="536" customWidth="1"/>
    <col min="9" max="9" width="108.140625" style="536" customWidth="1"/>
    <col min="10" max="10" width="27.28515625" style="538" customWidth="1"/>
    <col min="11" max="11" width="14.28515625" style="539" customWidth="1"/>
    <col min="12" max="12" width="16.140625" style="539" customWidth="1"/>
    <col min="13" max="15" width="14.28515625" style="539" customWidth="1"/>
    <col min="16" max="16" width="15.5703125" style="539" customWidth="1"/>
    <col min="17" max="42" width="14.28515625" style="539" customWidth="1"/>
    <col min="43" max="43" width="19.42578125" style="539" customWidth="1"/>
    <col min="44" max="44" width="19.7109375" style="539" customWidth="1"/>
    <col min="45" max="45" width="20.42578125" style="539" customWidth="1"/>
    <col min="46" max="16384" width="17.28515625" style="539"/>
  </cols>
  <sheetData>
    <row r="1" spans="2:45" ht="15" customHeight="1" thickBot="1"/>
    <row r="2" spans="2:45" ht="16.5" customHeight="1">
      <c r="B2" s="658"/>
      <c r="C2" s="786" t="s">
        <v>59</v>
      </c>
      <c r="D2" s="787"/>
      <c r="E2" s="787"/>
      <c r="F2" s="787"/>
      <c r="G2" s="787"/>
      <c r="H2" s="787"/>
      <c r="I2" s="787"/>
      <c r="J2" s="787"/>
      <c r="K2" s="787"/>
      <c r="L2" s="787"/>
      <c r="M2" s="787"/>
      <c r="N2" s="787"/>
      <c r="O2" s="787"/>
      <c r="P2" s="787"/>
      <c r="Q2" s="787"/>
      <c r="R2" s="787"/>
      <c r="S2" s="787"/>
      <c r="T2" s="787"/>
      <c r="U2" s="787"/>
      <c r="V2" s="787"/>
      <c r="W2" s="787"/>
      <c r="X2" s="787"/>
      <c r="Y2" s="787"/>
      <c r="Z2" s="787"/>
      <c r="AA2" s="787"/>
      <c r="AB2" s="787"/>
      <c r="AC2" s="787"/>
      <c r="AD2" s="787"/>
      <c r="AE2" s="787"/>
      <c r="AF2" s="787"/>
      <c r="AG2" s="787"/>
      <c r="AH2" s="787"/>
      <c r="AI2" s="787"/>
      <c r="AJ2" s="787"/>
      <c r="AK2" s="787"/>
      <c r="AL2" s="787"/>
      <c r="AM2" s="787"/>
      <c r="AN2" s="787"/>
      <c r="AO2" s="787"/>
      <c r="AP2" s="787"/>
      <c r="AQ2" s="788"/>
      <c r="AR2" s="795" t="s">
        <v>218</v>
      </c>
      <c r="AS2" s="796"/>
    </row>
    <row r="3" spans="2:45" ht="16.5" customHeight="1">
      <c r="B3" s="659"/>
      <c r="C3" s="789"/>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c r="AM3" s="790"/>
      <c r="AN3" s="790"/>
      <c r="AO3" s="790"/>
      <c r="AP3" s="790"/>
      <c r="AQ3" s="791"/>
      <c r="AR3" s="540" t="s">
        <v>36</v>
      </c>
      <c r="AS3" s="541" t="s">
        <v>37</v>
      </c>
    </row>
    <row r="4" spans="2:45" ht="16.5" customHeight="1">
      <c r="B4" s="659"/>
      <c r="C4" s="789"/>
      <c r="D4" s="790"/>
      <c r="E4" s="790"/>
      <c r="F4" s="790"/>
      <c r="G4" s="790"/>
      <c r="H4" s="790"/>
      <c r="I4" s="790"/>
      <c r="J4" s="790"/>
      <c r="K4" s="790"/>
      <c r="L4" s="790"/>
      <c r="M4" s="790"/>
      <c r="N4" s="790"/>
      <c r="O4" s="790"/>
      <c r="P4" s="790"/>
      <c r="Q4" s="790"/>
      <c r="R4" s="790"/>
      <c r="S4" s="790"/>
      <c r="T4" s="790"/>
      <c r="U4" s="790"/>
      <c r="V4" s="790"/>
      <c r="W4" s="790"/>
      <c r="X4" s="790"/>
      <c r="Y4" s="790"/>
      <c r="Z4" s="790"/>
      <c r="AA4" s="790"/>
      <c r="AB4" s="790"/>
      <c r="AC4" s="790"/>
      <c r="AD4" s="790"/>
      <c r="AE4" s="790"/>
      <c r="AF4" s="790"/>
      <c r="AG4" s="790"/>
      <c r="AH4" s="790"/>
      <c r="AI4" s="790"/>
      <c r="AJ4" s="790"/>
      <c r="AK4" s="790"/>
      <c r="AL4" s="790"/>
      <c r="AM4" s="790"/>
      <c r="AN4" s="790"/>
      <c r="AO4" s="790"/>
      <c r="AP4" s="790"/>
      <c r="AQ4" s="791"/>
      <c r="AR4" s="542">
        <v>3</v>
      </c>
      <c r="AS4" s="543" t="s">
        <v>102</v>
      </c>
    </row>
    <row r="5" spans="2:45" ht="16.5" customHeight="1">
      <c r="B5" s="659"/>
      <c r="C5" s="789"/>
      <c r="D5" s="790"/>
      <c r="E5" s="790"/>
      <c r="F5" s="790"/>
      <c r="G5" s="790"/>
      <c r="H5" s="790"/>
      <c r="I5" s="790"/>
      <c r="J5" s="790"/>
      <c r="K5" s="790"/>
      <c r="L5" s="790"/>
      <c r="M5" s="790"/>
      <c r="N5" s="790"/>
      <c r="O5" s="790"/>
      <c r="P5" s="790"/>
      <c r="Q5" s="790"/>
      <c r="R5" s="790"/>
      <c r="S5" s="790"/>
      <c r="T5" s="790"/>
      <c r="U5" s="790"/>
      <c r="V5" s="790"/>
      <c r="W5" s="790"/>
      <c r="X5" s="790"/>
      <c r="Y5" s="790"/>
      <c r="Z5" s="790"/>
      <c r="AA5" s="790"/>
      <c r="AB5" s="790"/>
      <c r="AC5" s="790"/>
      <c r="AD5" s="790"/>
      <c r="AE5" s="790"/>
      <c r="AF5" s="790"/>
      <c r="AG5" s="790"/>
      <c r="AH5" s="790"/>
      <c r="AI5" s="790"/>
      <c r="AJ5" s="790"/>
      <c r="AK5" s="790"/>
      <c r="AL5" s="790"/>
      <c r="AM5" s="790"/>
      <c r="AN5" s="790"/>
      <c r="AO5" s="790"/>
      <c r="AP5" s="790"/>
      <c r="AQ5" s="791"/>
      <c r="AR5" s="797" t="s">
        <v>38</v>
      </c>
      <c r="AS5" s="798"/>
    </row>
    <row r="6" spans="2:45" ht="16.5" customHeight="1" thickBot="1">
      <c r="B6" s="660"/>
      <c r="C6" s="792"/>
      <c r="D6" s="793"/>
      <c r="E6" s="793"/>
      <c r="F6" s="793"/>
      <c r="G6" s="793"/>
      <c r="H6" s="793"/>
      <c r="I6" s="793"/>
      <c r="J6" s="793"/>
      <c r="K6" s="793"/>
      <c r="L6" s="793"/>
      <c r="M6" s="793"/>
      <c r="N6" s="793"/>
      <c r="O6" s="793"/>
      <c r="P6" s="793"/>
      <c r="Q6" s="793"/>
      <c r="R6" s="793"/>
      <c r="S6" s="793"/>
      <c r="T6" s="793"/>
      <c r="U6" s="793"/>
      <c r="V6" s="793"/>
      <c r="W6" s="793"/>
      <c r="X6" s="793"/>
      <c r="Y6" s="793"/>
      <c r="Z6" s="793"/>
      <c r="AA6" s="793"/>
      <c r="AB6" s="793"/>
      <c r="AC6" s="793"/>
      <c r="AD6" s="793"/>
      <c r="AE6" s="793"/>
      <c r="AF6" s="793"/>
      <c r="AG6" s="793"/>
      <c r="AH6" s="793"/>
      <c r="AI6" s="793"/>
      <c r="AJ6" s="793"/>
      <c r="AK6" s="793"/>
      <c r="AL6" s="793"/>
      <c r="AM6" s="793"/>
      <c r="AN6" s="793"/>
      <c r="AO6" s="793"/>
      <c r="AP6" s="793"/>
      <c r="AQ6" s="794"/>
      <c r="AR6" s="799" t="s">
        <v>100</v>
      </c>
      <c r="AS6" s="800"/>
    </row>
    <row r="7" spans="2:45" ht="14.25" customHeight="1">
      <c r="B7" s="544"/>
      <c r="C7" s="544"/>
      <c r="D7" s="545"/>
      <c r="E7" s="544"/>
      <c r="F7" s="544"/>
      <c r="G7" s="544"/>
      <c r="H7" s="544"/>
      <c r="I7" s="544"/>
      <c r="J7" s="546"/>
      <c r="AR7" s="784"/>
      <c r="AS7" s="785"/>
    </row>
    <row r="8" spans="2:45" ht="15" customHeight="1">
      <c r="B8" s="97"/>
      <c r="C8" s="98"/>
      <c r="D8" s="98"/>
      <c r="E8" s="426"/>
      <c r="F8" s="98"/>
      <c r="G8" s="98"/>
      <c r="H8" s="98"/>
      <c r="I8" s="98"/>
      <c r="J8" s="426"/>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3.5" customHeight="1">
      <c r="B9" s="718" t="s">
        <v>35</v>
      </c>
      <c r="C9" s="718" t="s">
        <v>34</v>
      </c>
      <c r="D9" s="718" t="s">
        <v>63</v>
      </c>
      <c r="E9" s="718" t="s">
        <v>66</v>
      </c>
      <c r="F9" s="718" t="s">
        <v>67</v>
      </c>
      <c r="G9" s="718" t="s">
        <v>31</v>
      </c>
      <c r="H9" s="718" t="s">
        <v>25</v>
      </c>
      <c r="I9" s="718" t="s">
        <v>95</v>
      </c>
      <c r="J9" s="718"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716" t="s">
        <v>6</v>
      </c>
      <c r="AR9" s="717" t="s">
        <v>7</v>
      </c>
      <c r="AS9" s="717" t="s">
        <v>24</v>
      </c>
    </row>
    <row r="10" spans="2:45" ht="13.5" customHeight="1">
      <c r="B10" s="718"/>
      <c r="C10" s="718"/>
      <c r="D10" s="718"/>
      <c r="E10" s="718"/>
      <c r="F10" s="718"/>
      <c r="G10" s="718"/>
      <c r="H10" s="718"/>
      <c r="I10" s="718"/>
      <c r="J10" s="718"/>
      <c r="K10" s="719" t="s">
        <v>26</v>
      </c>
      <c r="L10" s="719"/>
      <c r="M10" s="719"/>
      <c r="N10" s="719"/>
      <c r="O10" s="719"/>
      <c r="P10" s="719"/>
      <c r="Q10" s="719"/>
      <c r="R10" s="719"/>
      <c r="S10" s="719" t="s">
        <v>27</v>
      </c>
      <c r="T10" s="719"/>
      <c r="U10" s="719"/>
      <c r="V10" s="719"/>
      <c r="W10" s="719"/>
      <c r="X10" s="719"/>
      <c r="Y10" s="719"/>
      <c r="Z10" s="719"/>
      <c r="AA10" s="719" t="s">
        <v>28</v>
      </c>
      <c r="AB10" s="719"/>
      <c r="AC10" s="719"/>
      <c r="AD10" s="719"/>
      <c r="AE10" s="719"/>
      <c r="AF10" s="719"/>
      <c r="AG10" s="719"/>
      <c r="AH10" s="719"/>
      <c r="AI10" s="719" t="s">
        <v>29</v>
      </c>
      <c r="AJ10" s="719"/>
      <c r="AK10" s="719"/>
      <c r="AL10" s="719"/>
      <c r="AM10" s="719"/>
      <c r="AN10" s="719"/>
      <c r="AO10" s="719"/>
      <c r="AP10" s="719"/>
      <c r="AQ10" s="716"/>
      <c r="AR10" s="717"/>
      <c r="AS10" s="717"/>
    </row>
    <row r="11" spans="2:45" ht="17.25" customHeight="1">
      <c r="B11" s="718"/>
      <c r="C11" s="718"/>
      <c r="D11" s="718"/>
      <c r="E11" s="718"/>
      <c r="F11" s="718"/>
      <c r="G11" s="718"/>
      <c r="H11" s="718"/>
      <c r="I11" s="718"/>
      <c r="J11" s="718"/>
      <c r="K11" s="719" t="s">
        <v>8</v>
      </c>
      <c r="L11" s="719"/>
      <c r="M11" s="719" t="s">
        <v>9</v>
      </c>
      <c r="N11" s="719"/>
      <c r="O11" s="732" t="s">
        <v>10</v>
      </c>
      <c r="P11" s="733"/>
      <c r="Q11" s="720" t="s">
        <v>11</v>
      </c>
      <c r="R11" s="721"/>
      <c r="S11" s="719" t="s">
        <v>33</v>
      </c>
      <c r="T11" s="719"/>
      <c r="U11" s="719" t="s">
        <v>12</v>
      </c>
      <c r="V11" s="719"/>
      <c r="W11" s="719" t="s">
        <v>13</v>
      </c>
      <c r="X11" s="719"/>
      <c r="Y11" s="720" t="s">
        <v>11</v>
      </c>
      <c r="Z11" s="721"/>
      <c r="AA11" s="719" t="s">
        <v>14</v>
      </c>
      <c r="AB11" s="719"/>
      <c r="AC11" s="719" t="s">
        <v>15</v>
      </c>
      <c r="AD11" s="719"/>
      <c r="AE11" s="719" t="s">
        <v>16</v>
      </c>
      <c r="AF11" s="719"/>
      <c r="AG11" s="720" t="s">
        <v>11</v>
      </c>
      <c r="AH11" s="721"/>
      <c r="AI11" s="719" t="s">
        <v>17</v>
      </c>
      <c r="AJ11" s="719"/>
      <c r="AK11" s="719" t="s">
        <v>18</v>
      </c>
      <c r="AL11" s="719"/>
      <c r="AM11" s="719" t="s">
        <v>19</v>
      </c>
      <c r="AN11" s="719"/>
      <c r="AO11" s="720" t="s">
        <v>11</v>
      </c>
      <c r="AP11" s="721"/>
      <c r="AQ11" s="716"/>
      <c r="AR11" s="717"/>
      <c r="AS11" s="717"/>
    </row>
    <row r="12" spans="2:45" ht="15.75" customHeight="1" thickBot="1">
      <c r="B12" s="652"/>
      <c r="C12" s="652"/>
      <c r="D12" s="652"/>
      <c r="E12" s="652"/>
      <c r="F12" s="652"/>
      <c r="G12" s="652"/>
      <c r="H12" s="652"/>
      <c r="I12" s="652"/>
      <c r="J12" s="652"/>
      <c r="K12" s="22" t="s">
        <v>20</v>
      </c>
      <c r="L12" s="23" t="s">
        <v>21</v>
      </c>
      <c r="M12" s="22" t="s">
        <v>20</v>
      </c>
      <c r="N12" s="23" t="s">
        <v>21</v>
      </c>
      <c r="O12" s="22" t="s">
        <v>20</v>
      </c>
      <c r="P12" s="23" t="s">
        <v>21</v>
      </c>
      <c r="Q12" s="24" t="s">
        <v>20</v>
      </c>
      <c r="R12" s="25" t="s">
        <v>21</v>
      </c>
      <c r="S12" s="22" t="s">
        <v>20</v>
      </c>
      <c r="T12" s="23" t="s">
        <v>21</v>
      </c>
      <c r="U12" s="22" t="s">
        <v>20</v>
      </c>
      <c r="V12" s="23" t="s">
        <v>21</v>
      </c>
      <c r="W12" s="22" t="s">
        <v>20</v>
      </c>
      <c r="X12" s="23" t="s">
        <v>21</v>
      </c>
      <c r="Y12" s="24" t="s">
        <v>20</v>
      </c>
      <c r="Z12" s="25" t="s">
        <v>21</v>
      </c>
      <c r="AA12" s="22" t="s">
        <v>20</v>
      </c>
      <c r="AB12" s="23" t="s">
        <v>21</v>
      </c>
      <c r="AC12" s="22" t="s">
        <v>20</v>
      </c>
      <c r="AD12" s="23" t="s">
        <v>21</v>
      </c>
      <c r="AE12" s="22" t="s">
        <v>20</v>
      </c>
      <c r="AF12" s="23" t="s">
        <v>21</v>
      </c>
      <c r="AG12" s="24" t="s">
        <v>20</v>
      </c>
      <c r="AH12" s="25" t="s">
        <v>21</v>
      </c>
      <c r="AI12" s="22" t="s">
        <v>20</v>
      </c>
      <c r="AJ12" s="23" t="s">
        <v>21</v>
      </c>
      <c r="AK12" s="22" t="s">
        <v>20</v>
      </c>
      <c r="AL12" s="23" t="s">
        <v>21</v>
      </c>
      <c r="AM12" s="22" t="s">
        <v>20</v>
      </c>
      <c r="AN12" s="23" t="s">
        <v>21</v>
      </c>
      <c r="AO12" s="24" t="s">
        <v>20</v>
      </c>
      <c r="AP12" s="25" t="s">
        <v>21</v>
      </c>
      <c r="AQ12" s="716"/>
      <c r="AR12" s="717"/>
      <c r="AS12" s="717"/>
    </row>
    <row r="13" spans="2:45" ht="270.75">
      <c r="B13" s="806" t="s">
        <v>219</v>
      </c>
      <c r="C13" s="177" t="s">
        <v>448</v>
      </c>
      <c r="D13" s="178">
        <v>1</v>
      </c>
      <c r="E13" s="179" t="s">
        <v>220</v>
      </c>
      <c r="F13" s="179" t="s">
        <v>485</v>
      </c>
      <c r="G13" s="180">
        <v>1</v>
      </c>
      <c r="H13" s="181" t="s">
        <v>221</v>
      </c>
      <c r="I13" s="182" t="s">
        <v>486</v>
      </c>
      <c r="J13" s="181" t="s">
        <v>222</v>
      </c>
      <c r="K13" s="183">
        <v>1</v>
      </c>
      <c r="L13" s="183">
        <v>1</v>
      </c>
      <c r="M13" s="183">
        <v>1</v>
      </c>
      <c r="N13" s="183">
        <v>1</v>
      </c>
      <c r="O13" s="183">
        <v>1</v>
      </c>
      <c r="P13" s="183">
        <v>1</v>
      </c>
      <c r="Q13" s="190">
        <f>(K13+M13+O13)/3</f>
        <v>1</v>
      </c>
      <c r="R13" s="247">
        <f>IFERROR(IF(OR($AQ$13="",$AQ$13=0),0,ROUNDDOWN(AVERAGE(L13,N13,P13),3)),0)</f>
        <v>1</v>
      </c>
      <c r="S13" s="183">
        <v>1</v>
      </c>
      <c r="T13" s="183">
        <v>1</v>
      </c>
      <c r="U13" s="183">
        <v>1</v>
      </c>
      <c r="V13" s="183">
        <v>1</v>
      </c>
      <c r="W13" s="183">
        <v>1</v>
      </c>
      <c r="X13" s="183">
        <v>1</v>
      </c>
      <c r="Y13" s="190">
        <f t="shared" ref="Y13:Y18" si="0">(S13+U13+W13)/3</f>
        <v>1</v>
      </c>
      <c r="Z13" s="247">
        <f t="shared" ref="Z13:Z18" si="1">IFERROR(IF(OR($AQ13="",$AQ13=0),0,ROUNDDOWN(AVERAGE(T13,V13,X13),3)),0)</f>
        <v>1</v>
      </c>
      <c r="AA13" s="183">
        <v>1</v>
      </c>
      <c r="AB13" s="183">
        <v>1</v>
      </c>
      <c r="AC13" s="183">
        <v>1</v>
      </c>
      <c r="AD13" s="183">
        <v>1</v>
      </c>
      <c r="AE13" s="183">
        <v>1</v>
      </c>
      <c r="AF13" s="183">
        <v>1</v>
      </c>
      <c r="AG13" s="190">
        <f t="shared" ref="AG13:AG18" si="2">(AA13+AC13+AE13)/3</f>
        <v>1</v>
      </c>
      <c r="AH13" s="247">
        <f t="shared" ref="AH13:AH18" si="3">IFERROR(IF(OR($AQ13="",$AQ13=0),0,ROUNDDOWN(AVERAGE(AB13,AD13,AF13),3)),0)</f>
        <v>1</v>
      </c>
      <c r="AI13" s="183">
        <v>1</v>
      </c>
      <c r="AJ13" s="183">
        <v>1</v>
      </c>
      <c r="AK13" s="183">
        <v>1</v>
      </c>
      <c r="AL13" s="183">
        <v>1</v>
      </c>
      <c r="AM13" s="183">
        <v>1</v>
      </c>
      <c r="AN13" s="183">
        <v>1</v>
      </c>
      <c r="AO13" s="190">
        <f t="shared" ref="AO13:AO18" si="4">(AI13+AK13+AM13)/3</f>
        <v>1</v>
      </c>
      <c r="AP13" s="247">
        <f t="shared" ref="AP13:AP18" si="5">IFERROR(IF(OR($AQ13="",$AQ13=0),0,ROUNDDOWN(AVERAGE(AJ13,AL13,AN13),3)),0)</f>
        <v>1</v>
      </c>
      <c r="AQ13" s="190">
        <f t="shared" ref="AQ13:AQ18" si="6">(Q13+Y13+AG13+AO13)/4</f>
        <v>1</v>
      </c>
      <c r="AR13" s="140">
        <f t="shared" ref="AR13:AR18" si="7">IFERROR(IF(OR(AQ13="",AQ13=0),0,ROUNDDOWN(AVERAGE(L13,N13,P13,T13,V13,X13,AB13,AD13,AF13,AJ13,AL13,AN13),3)),0)</f>
        <v>1</v>
      </c>
      <c r="AS13" s="250">
        <f t="shared" ref="AS13:AS25" si="8">IF(AND(AR13&gt;0,AQ13&gt;0),AR13/AQ13,0)</f>
        <v>1</v>
      </c>
    </row>
    <row r="14" spans="2:45" ht="156.75">
      <c r="B14" s="807"/>
      <c r="C14" s="177" t="s">
        <v>517</v>
      </c>
      <c r="D14" s="178">
        <v>0.9</v>
      </c>
      <c r="E14" s="184" t="s">
        <v>223</v>
      </c>
      <c r="F14" s="185" t="s">
        <v>224</v>
      </c>
      <c r="G14" s="186">
        <v>0.9</v>
      </c>
      <c r="H14" s="166" t="s">
        <v>225</v>
      </c>
      <c r="I14" s="187" t="s">
        <v>226</v>
      </c>
      <c r="J14" s="166" t="s">
        <v>227</v>
      </c>
      <c r="K14" s="183">
        <v>0.9</v>
      </c>
      <c r="L14" s="183">
        <v>0.75</v>
      </c>
      <c r="M14" s="183">
        <v>0.9</v>
      </c>
      <c r="N14" s="183">
        <v>0.92</v>
      </c>
      <c r="O14" s="183">
        <v>0.9</v>
      </c>
      <c r="P14" s="326">
        <v>0.57099999999999995</v>
      </c>
      <c r="Q14" s="190">
        <f t="shared" ref="Q14:Q17" si="9">(K14+M14+O14)/3</f>
        <v>0.9</v>
      </c>
      <c r="R14" s="247">
        <f t="shared" ref="R14:R18" si="10">IFERROR(IF(OR(AQ14="",AQ14=0),0,ROUNDDOWN(AVERAGE(L14,N14,P14),3)),0)</f>
        <v>0.747</v>
      </c>
      <c r="S14" s="183">
        <v>0.9</v>
      </c>
      <c r="T14" s="400">
        <v>1</v>
      </c>
      <c r="U14" s="183">
        <v>0.9</v>
      </c>
      <c r="V14" s="400">
        <v>1</v>
      </c>
      <c r="W14" s="183">
        <v>0.9</v>
      </c>
      <c r="X14" s="316">
        <v>0.83299999999999996</v>
      </c>
      <c r="Y14" s="190">
        <f t="shared" si="0"/>
        <v>0.9</v>
      </c>
      <c r="Z14" s="247">
        <f t="shared" si="1"/>
        <v>0.94399999999999995</v>
      </c>
      <c r="AA14" s="183">
        <v>0.9</v>
      </c>
      <c r="AB14" s="183">
        <v>1</v>
      </c>
      <c r="AC14" s="183">
        <v>0.9</v>
      </c>
      <c r="AD14" s="183">
        <v>1</v>
      </c>
      <c r="AE14" s="183">
        <v>0.9</v>
      </c>
      <c r="AF14" s="183">
        <v>0.9</v>
      </c>
      <c r="AG14" s="190">
        <f t="shared" si="2"/>
        <v>0.9</v>
      </c>
      <c r="AH14" s="247">
        <f t="shared" si="3"/>
        <v>0.96599999999999997</v>
      </c>
      <c r="AI14" s="183">
        <v>0.9</v>
      </c>
      <c r="AJ14" s="183">
        <v>1</v>
      </c>
      <c r="AK14" s="183">
        <v>0.9</v>
      </c>
      <c r="AL14" s="183">
        <v>1</v>
      </c>
      <c r="AM14" s="183">
        <v>0.9</v>
      </c>
      <c r="AN14" s="326">
        <v>0.875</v>
      </c>
      <c r="AO14" s="190">
        <f t="shared" si="4"/>
        <v>0.9</v>
      </c>
      <c r="AP14" s="247">
        <f t="shared" si="5"/>
        <v>0.95799999999999996</v>
      </c>
      <c r="AQ14" s="190">
        <f t="shared" si="6"/>
        <v>0.9</v>
      </c>
      <c r="AR14" s="140">
        <f>IFERROR(IF(OR(AQ14="",AQ14=0),0,ROUNDDOWN(AVERAGE(L14,N14,P14,T14,V14,X14,AB14,AD14,AF14,AJ14,AL14,AN14),3)),0)</f>
        <v>0.90400000000000003</v>
      </c>
      <c r="AS14" s="250">
        <f t="shared" si="8"/>
        <v>1.0044444444444445</v>
      </c>
    </row>
    <row r="15" spans="2:45" ht="162" customHeight="1">
      <c r="B15" s="807"/>
      <c r="C15" s="803" t="s">
        <v>449</v>
      </c>
      <c r="D15" s="178">
        <v>0.82</v>
      </c>
      <c r="E15" s="184" t="s">
        <v>228</v>
      </c>
      <c r="F15" s="185" t="s">
        <v>229</v>
      </c>
      <c r="G15" s="186">
        <v>1</v>
      </c>
      <c r="H15" s="166" t="s">
        <v>230</v>
      </c>
      <c r="I15" s="187" t="s">
        <v>231</v>
      </c>
      <c r="J15" s="166" t="s">
        <v>227</v>
      </c>
      <c r="K15" s="183">
        <v>1</v>
      </c>
      <c r="L15" s="183">
        <v>1</v>
      </c>
      <c r="M15" s="183">
        <v>1</v>
      </c>
      <c r="N15" s="183">
        <v>1</v>
      </c>
      <c r="O15" s="183">
        <v>1</v>
      </c>
      <c r="P15" s="326">
        <v>0.40100000000000002</v>
      </c>
      <c r="Q15" s="190">
        <f t="shared" si="9"/>
        <v>1</v>
      </c>
      <c r="R15" s="247">
        <f t="shared" si="10"/>
        <v>0.8</v>
      </c>
      <c r="S15" s="183">
        <v>1</v>
      </c>
      <c r="T15" s="400">
        <v>1</v>
      </c>
      <c r="U15" s="183">
        <v>1</v>
      </c>
      <c r="V15" s="400">
        <v>1</v>
      </c>
      <c r="W15" s="183">
        <v>1</v>
      </c>
      <c r="X15" s="316">
        <v>0.79500000000000004</v>
      </c>
      <c r="Y15" s="190">
        <f t="shared" si="0"/>
        <v>1</v>
      </c>
      <c r="Z15" s="247">
        <f t="shared" si="1"/>
        <v>0.93100000000000005</v>
      </c>
      <c r="AA15" s="183">
        <v>0.8</v>
      </c>
      <c r="AB15" s="183">
        <v>0.9</v>
      </c>
      <c r="AC15" s="183">
        <v>0.26</v>
      </c>
      <c r="AD15" s="183">
        <v>0.3</v>
      </c>
      <c r="AE15" s="183">
        <v>0.7</v>
      </c>
      <c r="AF15" s="322">
        <v>0.61813186813186816</v>
      </c>
      <c r="AG15" s="190">
        <f t="shared" si="2"/>
        <v>0.58666666666666667</v>
      </c>
      <c r="AH15" s="247">
        <f t="shared" si="3"/>
        <v>0.60599999999999998</v>
      </c>
      <c r="AI15" s="183">
        <v>0.7</v>
      </c>
      <c r="AJ15" s="322">
        <v>0.72099999999999997</v>
      </c>
      <c r="AK15" s="183">
        <v>0.7</v>
      </c>
      <c r="AL15" s="322">
        <v>0.73199999999999998</v>
      </c>
      <c r="AM15" s="183">
        <v>0.7</v>
      </c>
      <c r="AN15" s="322">
        <v>0.70699999999999996</v>
      </c>
      <c r="AO15" s="190">
        <f t="shared" si="4"/>
        <v>0.69999999999999984</v>
      </c>
      <c r="AP15" s="247">
        <f t="shared" si="5"/>
        <v>0.72</v>
      </c>
      <c r="AQ15" s="190">
        <f t="shared" si="6"/>
        <v>0.82166666666666666</v>
      </c>
      <c r="AR15" s="140">
        <f>IFERROR(IF(OR(AQ15="",AQ15=0),0,ROUNDDOWN(AVERAGE(L15,N15,P15,T15,V15,X15,AB15,AD15,AF15,AJ15,AL15,AN15),3)),0)</f>
        <v>0.76400000000000001</v>
      </c>
      <c r="AS15" s="250">
        <f t="shared" si="8"/>
        <v>0.92981744421906698</v>
      </c>
    </row>
    <row r="16" spans="2:45" ht="150.75" thickBot="1">
      <c r="B16" s="807"/>
      <c r="C16" s="804"/>
      <c r="D16" s="178">
        <v>1</v>
      </c>
      <c r="E16" s="184" t="s">
        <v>232</v>
      </c>
      <c r="F16" s="185" t="s">
        <v>233</v>
      </c>
      <c r="G16" s="186">
        <v>1</v>
      </c>
      <c r="H16" s="166" t="s">
        <v>230</v>
      </c>
      <c r="I16" s="187" t="s">
        <v>231</v>
      </c>
      <c r="J16" s="166" t="s">
        <v>227</v>
      </c>
      <c r="K16" s="322">
        <v>1</v>
      </c>
      <c r="L16" s="322">
        <v>1</v>
      </c>
      <c r="M16" s="322">
        <v>1</v>
      </c>
      <c r="N16" s="322">
        <v>1</v>
      </c>
      <c r="O16" s="322">
        <v>1</v>
      </c>
      <c r="P16" s="322">
        <v>1</v>
      </c>
      <c r="Q16" s="323">
        <f t="shared" si="9"/>
        <v>1</v>
      </c>
      <c r="R16" s="247">
        <f t="shared" si="10"/>
        <v>1</v>
      </c>
      <c r="S16" s="322">
        <v>1</v>
      </c>
      <c r="T16" s="322">
        <v>1</v>
      </c>
      <c r="U16" s="322">
        <v>1</v>
      </c>
      <c r="V16" s="322">
        <v>1</v>
      </c>
      <c r="W16" s="322">
        <v>1</v>
      </c>
      <c r="X16" s="322">
        <v>1</v>
      </c>
      <c r="Y16" s="323">
        <f t="shared" si="0"/>
        <v>1</v>
      </c>
      <c r="Z16" s="247">
        <f t="shared" si="1"/>
        <v>1</v>
      </c>
      <c r="AA16" s="322">
        <v>1</v>
      </c>
      <c r="AB16" s="322">
        <v>1</v>
      </c>
      <c r="AC16" s="322">
        <v>1</v>
      </c>
      <c r="AD16" s="322">
        <v>1</v>
      </c>
      <c r="AE16" s="322">
        <v>1</v>
      </c>
      <c r="AF16" s="322">
        <v>1</v>
      </c>
      <c r="AG16" s="323">
        <f t="shared" si="2"/>
        <v>1</v>
      </c>
      <c r="AH16" s="247">
        <f t="shared" si="3"/>
        <v>1</v>
      </c>
      <c r="AI16" s="322">
        <v>1</v>
      </c>
      <c r="AJ16" s="322">
        <v>1</v>
      </c>
      <c r="AK16" s="322">
        <v>1</v>
      </c>
      <c r="AL16" s="322">
        <v>1</v>
      </c>
      <c r="AM16" s="322">
        <v>1</v>
      </c>
      <c r="AN16" s="322">
        <v>1</v>
      </c>
      <c r="AO16" s="323">
        <f t="shared" si="4"/>
        <v>1</v>
      </c>
      <c r="AP16" s="247">
        <f t="shared" si="5"/>
        <v>1</v>
      </c>
      <c r="AQ16" s="323">
        <f t="shared" si="6"/>
        <v>1</v>
      </c>
      <c r="AR16" s="140">
        <f t="shared" si="7"/>
        <v>1</v>
      </c>
      <c r="AS16" s="250">
        <f t="shared" si="8"/>
        <v>1</v>
      </c>
    </row>
    <row r="17" spans="2:45" ht="159" customHeight="1" thickTop="1">
      <c r="B17" s="807"/>
      <c r="C17" s="801" t="s">
        <v>516</v>
      </c>
      <c r="D17" s="178">
        <v>0.85</v>
      </c>
      <c r="E17" s="184" t="s">
        <v>450</v>
      </c>
      <c r="F17" s="185" t="s">
        <v>234</v>
      </c>
      <c r="G17" s="186">
        <v>1</v>
      </c>
      <c r="H17" s="166" t="s">
        <v>235</v>
      </c>
      <c r="I17" s="187" t="s">
        <v>236</v>
      </c>
      <c r="J17" s="166" t="s">
        <v>227</v>
      </c>
      <c r="K17" s="322">
        <v>1</v>
      </c>
      <c r="L17" s="322">
        <v>0.96899999999999997</v>
      </c>
      <c r="M17" s="322">
        <v>1</v>
      </c>
      <c r="N17" s="322">
        <v>0.98299999999999998</v>
      </c>
      <c r="O17" s="322">
        <v>1</v>
      </c>
      <c r="P17" s="322">
        <v>1</v>
      </c>
      <c r="Q17" s="323">
        <f t="shared" si="9"/>
        <v>1</v>
      </c>
      <c r="R17" s="247">
        <f t="shared" si="10"/>
        <v>0.98399999999999999</v>
      </c>
      <c r="S17" s="322">
        <v>1</v>
      </c>
      <c r="T17" s="322">
        <v>0.91</v>
      </c>
      <c r="U17" s="322">
        <v>1</v>
      </c>
      <c r="V17" s="322">
        <v>0.879</v>
      </c>
      <c r="W17" s="322">
        <v>1</v>
      </c>
      <c r="X17" s="322">
        <v>0.64900000000000002</v>
      </c>
      <c r="Y17" s="323">
        <f t="shared" si="0"/>
        <v>1</v>
      </c>
      <c r="Z17" s="247">
        <f t="shared" si="1"/>
        <v>0.81200000000000006</v>
      </c>
      <c r="AA17" s="322">
        <v>0.7</v>
      </c>
      <c r="AB17" s="322">
        <v>0.94407894736842102</v>
      </c>
      <c r="AC17" s="322">
        <v>0.7</v>
      </c>
      <c r="AD17" s="322">
        <v>0.9874476987447699</v>
      </c>
      <c r="AE17" s="322">
        <v>0.7</v>
      </c>
      <c r="AF17" s="322">
        <v>0.95154185022026427</v>
      </c>
      <c r="AG17" s="323">
        <f t="shared" si="2"/>
        <v>0.69999999999999984</v>
      </c>
      <c r="AH17" s="247">
        <f t="shared" si="3"/>
        <v>0.96099999999999997</v>
      </c>
      <c r="AI17" s="322">
        <v>0.7</v>
      </c>
      <c r="AJ17" s="322">
        <v>1</v>
      </c>
      <c r="AK17" s="322">
        <v>0.7</v>
      </c>
      <c r="AL17" s="322">
        <v>0.97099999999999997</v>
      </c>
      <c r="AM17" s="322">
        <v>0.7</v>
      </c>
      <c r="AN17" s="322">
        <v>0.98</v>
      </c>
      <c r="AO17" s="323">
        <f t="shared" si="4"/>
        <v>0.69999999999999984</v>
      </c>
      <c r="AP17" s="247">
        <f t="shared" si="5"/>
        <v>0.98299999999999998</v>
      </c>
      <c r="AQ17" s="323">
        <f t="shared" si="6"/>
        <v>0.84999999999999987</v>
      </c>
      <c r="AR17" s="140">
        <f t="shared" si="7"/>
        <v>0.93500000000000005</v>
      </c>
      <c r="AS17" s="250">
        <f t="shared" si="8"/>
        <v>1.1000000000000003</v>
      </c>
    </row>
    <row r="18" spans="2:45" ht="163.5" customHeight="1">
      <c r="B18" s="807"/>
      <c r="C18" s="802"/>
      <c r="D18" s="547">
        <v>0.77500000000000013</v>
      </c>
      <c r="E18" s="184" t="s">
        <v>451</v>
      </c>
      <c r="F18" s="185" t="s">
        <v>237</v>
      </c>
      <c r="G18" s="186">
        <v>0.7</v>
      </c>
      <c r="H18" s="166" t="s">
        <v>235</v>
      </c>
      <c r="I18" s="187" t="s">
        <v>236</v>
      </c>
      <c r="J18" s="166" t="s">
        <v>227</v>
      </c>
      <c r="K18" s="322">
        <v>0.7</v>
      </c>
      <c r="L18" s="322">
        <v>0.84199999999999997</v>
      </c>
      <c r="M18" s="322">
        <v>0.7</v>
      </c>
      <c r="N18" s="322">
        <v>0.94799999999999995</v>
      </c>
      <c r="O18" s="322">
        <v>0.7</v>
      </c>
      <c r="P18" s="322">
        <v>0.98299999999999998</v>
      </c>
      <c r="Q18" s="323">
        <f>(K18+M18+O18)/3</f>
        <v>0.69999999999999984</v>
      </c>
      <c r="R18" s="247">
        <f t="shared" si="10"/>
        <v>0.92400000000000004</v>
      </c>
      <c r="S18" s="322">
        <v>0.8</v>
      </c>
      <c r="T18" s="322">
        <v>0.91</v>
      </c>
      <c r="U18" s="322">
        <v>0.8</v>
      </c>
      <c r="V18" s="322">
        <v>0.84399999999999997</v>
      </c>
      <c r="W18" s="322">
        <v>0.8</v>
      </c>
      <c r="X18" s="322">
        <v>0.64900000000000002</v>
      </c>
      <c r="Y18" s="323">
        <f t="shared" si="0"/>
        <v>0.80000000000000016</v>
      </c>
      <c r="Z18" s="247">
        <f t="shared" si="1"/>
        <v>0.80100000000000005</v>
      </c>
      <c r="AA18" s="322">
        <v>0.8</v>
      </c>
      <c r="AB18" s="322">
        <v>0.94407894736842102</v>
      </c>
      <c r="AC18" s="322">
        <v>0.8</v>
      </c>
      <c r="AD18" s="322">
        <v>0.9874476987447699</v>
      </c>
      <c r="AE18" s="322">
        <v>0.8</v>
      </c>
      <c r="AF18" s="322">
        <v>0.95154185022026427</v>
      </c>
      <c r="AG18" s="323">
        <f t="shared" si="2"/>
        <v>0.80000000000000016</v>
      </c>
      <c r="AH18" s="247">
        <f t="shared" si="3"/>
        <v>0.96099999999999997</v>
      </c>
      <c r="AI18" s="322">
        <v>0.8</v>
      </c>
      <c r="AJ18" s="322">
        <v>0.96899999999999997</v>
      </c>
      <c r="AK18" s="322">
        <v>0.8</v>
      </c>
      <c r="AL18" s="322">
        <v>0.96699999999999997</v>
      </c>
      <c r="AM18" s="322">
        <v>0.8</v>
      </c>
      <c r="AN18" s="322">
        <v>1</v>
      </c>
      <c r="AO18" s="323">
        <f t="shared" si="4"/>
        <v>0.80000000000000016</v>
      </c>
      <c r="AP18" s="247">
        <f t="shared" si="5"/>
        <v>0.97799999999999998</v>
      </c>
      <c r="AQ18" s="323">
        <f t="shared" si="6"/>
        <v>0.77500000000000013</v>
      </c>
      <c r="AR18" s="140">
        <f t="shared" si="7"/>
        <v>0.91600000000000004</v>
      </c>
      <c r="AS18" s="250">
        <f t="shared" si="8"/>
        <v>1.1819354838709677</v>
      </c>
    </row>
    <row r="19" spans="2:45" ht="150" customHeight="1">
      <c r="B19" s="807"/>
      <c r="C19" s="177" t="s">
        <v>452</v>
      </c>
      <c r="D19" s="178">
        <v>1</v>
      </c>
      <c r="E19" s="184" t="s">
        <v>238</v>
      </c>
      <c r="F19" s="188" t="s">
        <v>239</v>
      </c>
      <c r="G19" s="186">
        <v>1</v>
      </c>
      <c r="H19" s="166" t="s">
        <v>240</v>
      </c>
      <c r="I19" s="187" t="s">
        <v>241</v>
      </c>
      <c r="J19" s="166" t="s">
        <v>242</v>
      </c>
      <c r="K19" s="316">
        <v>0</v>
      </c>
      <c r="L19" s="322">
        <v>0.3</v>
      </c>
      <c r="M19" s="316">
        <v>0</v>
      </c>
      <c r="N19" s="322">
        <v>0.05</v>
      </c>
      <c r="O19" s="316">
        <v>0</v>
      </c>
      <c r="P19" s="322">
        <v>7.0000000000000007E-2</v>
      </c>
      <c r="Q19" s="323">
        <f t="shared" ref="Q19:R22" si="11">(K19+M19+O19)</f>
        <v>0</v>
      </c>
      <c r="R19" s="323">
        <f t="shared" si="11"/>
        <v>0.42</v>
      </c>
      <c r="S19" s="322">
        <v>0.4</v>
      </c>
      <c r="T19" s="322">
        <v>0.11</v>
      </c>
      <c r="U19" s="316">
        <v>0</v>
      </c>
      <c r="V19" s="322">
        <v>0.03</v>
      </c>
      <c r="W19" s="316">
        <v>0</v>
      </c>
      <c r="X19" s="322">
        <v>0.06</v>
      </c>
      <c r="Y19" s="323">
        <f t="shared" ref="Y19:Z22" si="12">(S19+U19+W19)</f>
        <v>0.4</v>
      </c>
      <c r="Z19" s="323">
        <f t="shared" si="12"/>
        <v>0.2</v>
      </c>
      <c r="AA19" s="316">
        <v>0.22500000000000001</v>
      </c>
      <c r="AB19" s="322">
        <v>5.0000000000000001E-3</v>
      </c>
      <c r="AC19" s="316">
        <v>5.0000000000000001E-3</v>
      </c>
      <c r="AD19" s="322">
        <v>5.0000000000000001E-3</v>
      </c>
      <c r="AE19" s="322">
        <v>7.0000000000000007E-2</v>
      </c>
      <c r="AF19" s="322">
        <v>0.14000000000000001</v>
      </c>
      <c r="AG19" s="323">
        <f t="shared" ref="AG19:AH22" si="13">(AA19+AC19+AE19)</f>
        <v>0.30000000000000004</v>
      </c>
      <c r="AH19" s="323">
        <f t="shared" si="13"/>
        <v>0.15000000000000002</v>
      </c>
      <c r="AI19" s="316">
        <v>0.05</v>
      </c>
      <c r="AJ19" s="322">
        <v>0</v>
      </c>
      <c r="AK19" s="316">
        <v>0.05</v>
      </c>
      <c r="AL19" s="322">
        <v>1.4999999999999999E-2</v>
      </c>
      <c r="AM19" s="322">
        <v>0.2</v>
      </c>
      <c r="AN19" s="322">
        <v>0.215</v>
      </c>
      <c r="AO19" s="323">
        <f t="shared" ref="AO19:AP22" si="14">(AI19+AK19+AM19)</f>
        <v>0.30000000000000004</v>
      </c>
      <c r="AP19" s="323">
        <f t="shared" si="14"/>
        <v>0.22999999999999998</v>
      </c>
      <c r="AQ19" s="323">
        <f>(Q19+Y19+AG19+AO19)</f>
        <v>1</v>
      </c>
      <c r="AR19" s="190">
        <f>(R19+Z19+AH19+AP19)</f>
        <v>1</v>
      </c>
      <c r="AS19" s="250">
        <f t="shared" si="8"/>
        <v>1</v>
      </c>
    </row>
    <row r="20" spans="2:45" ht="180">
      <c r="B20" s="807"/>
      <c r="C20" s="177" t="s">
        <v>453</v>
      </c>
      <c r="D20" s="178">
        <v>1</v>
      </c>
      <c r="E20" s="184" t="s">
        <v>243</v>
      </c>
      <c r="F20" s="188" t="s">
        <v>244</v>
      </c>
      <c r="G20" s="186">
        <v>1</v>
      </c>
      <c r="H20" s="166" t="s">
        <v>245</v>
      </c>
      <c r="I20" s="187" t="s">
        <v>246</v>
      </c>
      <c r="J20" s="166" t="s">
        <v>242</v>
      </c>
      <c r="K20" s="316">
        <v>0</v>
      </c>
      <c r="L20" s="322">
        <v>0.33</v>
      </c>
      <c r="M20" s="316">
        <v>0</v>
      </c>
      <c r="N20" s="322">
        <v>0.03</v>
      </c>
      <c r="O20" s="316">
        <v>0</v>
      </c>
      <c r="P20" s="322">
        <v>0.12</v>
      </c>
      <c r="Q20" s="323">
        <f t="shared" si="11"/>
        <v>0</v>
      </c>
      <c r="R20" s="323">
        <f t="shared" si="11"/>
        <v>0.48</v>
      </c>
      <c r="S20" s="322">
        <v>0.4</v>
      </c>
      <c r="T20" s="322">
        <v>0.05</v>
      </c>
      <c r="U20" s="316">
        <v>0</v>
      </c>
      <c r="V20" s="322">
        <v>0.02</v>
      </c>
      <c r="W20" s="316">
        <v>0</v>
      </c>
      <c r="X20" s="322">
        <v>0.02</v>
      </c>
      <c r="Y20" s="323">
        <f t="shared" si="12"/>
        <v>0.4</v>
      </c>
      <c r="Z20" s="323">
        <f t="shared" si="12"/>
        <v>9.0000000000000011E-2</v>
      </c>
      <c r="AA20" s="365">
        <v>0.19500000000000001</v>
      </c>
      <c r="AB20" s="322">
        <v>0.1</v>
      </c>
      <c r="AC20" s="365">
        <v>2.5000000000000001E-2</v>
      </c>
      <c r="AD20" s="322">
        <v>0.02</v>
      </c>
      <c r="AE20" s="366">
        <v>0.05</v>
      </c>
      <c r="AF20" s="322">
        <v>0.04</v>
      </c>
      <c r="AG20" s="323">
        <f t="shared" si="13"/>
        <v>0.27</v>
      </c>
      <c r="AH20" s="323">
        <f t="shared" si="13"/>
        <v>0.16</v>
      </c>
      <c r="AI20" s="316">
        <v>0.05</v>
      </c>
      <c r="AJ20" s="322">
        <v>2.1000000000000001E-2</v>
      </c>
      <c r="AK20" s="316">
        <v>0.04</v>
      </c>
      <c r="AL20" s="322">
        <v>2.1000000000000001E-2</v>
      </c>
      <c r="AM20" s="322">
        <v>0.24</v>
      </c>
      <c r="AN20" s="322">
        <v>0.22800000000000001</v>
      </c>
      <c r="AO20" s="323">
        <f t="shared" si="14"/>
        <v>0.32999999999999996</v>
      </c>
      <c r="AP20" s="323">
        <f t="shared" si="14"/>
        <v>0.27</v>
      </c>
      <c r="AQ20" s="323">
        <f>(Q20+Y20+AG20+AO20)</f>
        <v>1</v>
      </c>
      <c r="AR20" s="190">
        <f>(R20+Z20+AH20+AP20)</f>
        <v>1</v>
      </c>
      <c r="AS20" s="250">
        <f t="shared" si="8"/>
        <v>1</v>
      </c>
    </row>
    <row r="21" spans="2:45" ht="180">
      <c r="B21" s="807"/>
      <c r="C21" s="177" t="s">
        <v>454</v>
      </c>
      <c r="D21" s="178">
        <v>1</v>
      </c>
      <c r="E21" s="184" t="s">
        <v>247</v>
      </c>
      <c r="F21" s="188" t="s">
        <v>248</v>
      </c>
      <c r="G21" s="186">
        <v>1</v>
      </c>
      <c r="H21" s="166" t="s">
        <v>245</v>
      </c>
      <c r="I21" s="187" t="s">
        <v>249</v>
      </c>
      <c r="J21" s="166" t="s">
        <v>242</v>
      </c>
      <c r="K21" s="316">
        <v>0</v>
      </c>
      <c r="L21" s="322">
        <v>0.32</v>
      </c>
      <c r="M21" s="316">
        <v>0</v>
      </c>
      <c r="N21" s="322">
        <v>0.09</v>
      </c>
      <c r="O21" s="316">
        <v>0</v>
      </c>
      <c r="P21" s="322">
        <v>7.0000000000000007E-2</v>
      </c>
      <c r="Q21" s="323">
        <f t="shared" si="11"/>
        <v>0</v>
      </c>
      <c r="R21" s="323">
        <f t="shared" si="11"/>
        <v>0.48000000000000004</v>
      </c>
      <c r="S21" s="322">
        <v>0.4</v>
      </c>
      <c r="T21" s="322">
        <v>0.01</v>
      </c>
      <c r="U21" s="316">
        <v>0</v>
      </c>
      <c r="V21" s="322">
        <v>0.06</v>
      </c>
      <c r="W21" s="316">
        <v>0</v>
      </c>
      <c r="X21" s="322">
        <v>7.0000000000000007E-2</v>
      </c>
      <c r="Y21" s="323">
        <f t="shared" si="12"/>
        <v>0.4</v>
      </c>
      <c r="Z21" s="323">
        <f t="shared" si="12"/>
        <v>0.14000000000000001</v>
      </c>
      <c r="AA21" s="365">
        <v>0.23</v>
      </c>
      <c r="AB21" s="322">
        <v>0.05</v>
      </c>
      <c r="AC21" s="365">
        <v>0.01</v>
      </c>
      <c r="AD21" s="322">
        <v>0.03</v>
      </c>
      <c r="AE21" s="366">
        <v>0</v>
      </c>
      <c r="AF21" s="322">
        <v>0</v>
      </c>
      <c r="AG21" s="323">
        <f t="shared" si="13"/>
        <v>0.24000000000000002</v>
      </c>
      <c r="AH21" s="323">
        <f t="shared" si="13"/>
        <v>0.08</v>
      </c>
      <c r="AI21" s="316">
        <v>0.04</v>
      </c>
      <c r="AJ21" s="322">
        <v>0.03</v>
      </c>
      <c r="AK21" s="316">
        <v>0.08</v>
      </c>
      <c r="AL21" s="322">
        <v>0.06</v>
      </c>
      <c r="AM21" s="322">
        <v>0.24</v>
      </c>
      <c r="AN21" s="322">
        <v>0.21</v>
      </c>
      <c r="AO21" s="323">
        <f t="shared" si="14"/>
        <v>0.36</v>
      </c>
      <c r="AP21" s="323">
        <f t="shared" si="14"/>
        <v>0.3</v>
      </c>
      <c r="AQ21" s="323">
        <f>Q21+Y21+AG21+AO21</f>
        <v>1</v>
      </c>
      <c r="AR21" s="190">
        <f>R21+Z21+AH21+AP21</f>
        <v>1</v>
      </c>
      <c r="AS21" s="250">
        <f t="shared" si="8"/>
        <v>1</v>
      </c>
    </row>
    <row r="22" spans="2:45" ht="198.75" customHeight="1">
      <c r="B22" s="807"/>
      <c r="C22" s="177" t="s">
        <v>455</v>
      </c>
      <c r="D22" s="178">
        <v>1</v>
      </c>
      <c r="E22" s="184" t="s">
        <v>250</v>
      </c>
      <c r="F22" s="188" t="s">
        <v>251</v>
      </c>
      <c r="G22" s="186">
        <v>1</v>
      </c>
      <c r="H22" s="166" t="s">
        <v>252</v>
      </c>
      <c r="I22" s="187" t="s">
        <v>253</v>
      </c>
      <c r="J22" s="166" t="s">
        <v>242</v>
      </c>
      <c r="K22" s="316">
        <v>0</v>
      </c>
      <c r="L22" s="322">
        <v>0.43</v>
      </c>
      <c r="M22" s="316">
        <v>0</v>
      </c>
      <c r="N22" s="322">
        <v>0.04</v>
      </c>
      <c r="O22" s="316">
        <v>0</v>
      </c>
      <c r="P22" s="322">
        <v>0.05</v>
      </c>
      <c r="Q22" s="323">
        <f t="shared" si="11"/>
        <v>0</v>
      </c>
      <c r="R22" s="323">
        <f t="shared" si="11"/>
        <v>0.52</v>
      </c>
      <c r="S22" s="322">
        <v>0.4</v>
      </c>
      <c r="T22" s="322">
        <v>0.01</v>
      </c>
      <c r="U22" s="316">
        <v>0</v>
      </c>
      <c r="V22" s="322">
        <v>0.01</v>
      </c>
      <c r="W22" s="316">
        <v>0</v>
      </c>
      <c r="X22" s="322">
        <v>0.05</v>
      </c>
      <c r="Y22" s="323">
        <f t="shared" si="12"/>
        <v>0.4</v>
      </c>
      <c r="Z22" s="323">
        <f t="shared" si="12"/>
        <v>7.0000000000000007E-2</v>
      </c>
      <c r="AA22" s="365">
        <v>0.215</v>
      </c>
      <c r="AB22" s="322">
        <v>0.02</v>
      </c>
      <c r="AC22" s="365">
        <v>1.4999999999999999E-2</v>
      </c>
      <c r="AD22" s="322">
        <v>0.01</v>
      </c>
      <c r="AE22" s="366">
        <v>0.05</v>
      </c>
      <c r="AF22" s="322">
        <v>0.05</v>
      </c>
      <c r="AG22" s="323">
        <f t="shared" si="13"/>
        <v>0.27999999999999997</v>
      </c>
      <c r="AH22" s="323">
        <f t="shared" si="13"/>
        <v>0.08</v>
      </c>
      <c r="AI22" s="316">
        <v>2.5000000000000001E-2</v>
      </c>
      <c r="AJ22" s="322">
        <v>0.02</v>
      </c>
      <c r="AK22" s="316">
        <v>2.5000000000000001E-2</v>
      </c>
      <c r="AL22" s="322">
        <v>1.4E-2</v>
      </c>
      <c r="AM22" s="322">
        <v>0.27</v>
      </c>
      <c r="AN22" s="322">
        <v>0.28599999999999998</v>
      </c>
      <c r="AO22" s="323">
        <f t="shared" si="14"/>
        <v>0.32</v>
      </c>
      <c r="AP22" s="323">
        <f t="shared" si="14"/>
        <v>0.31999999999999995</v>
      </c>
      <c r="AQ22" s="323">
        <f>(Q22+Y22+AG22+AO22)</f>
        <v>1</v>
      </c>
      <c r="AR22" s="190">
        <f>(R22+Z22+AH22+AP22)</f>
        <v>0.99</v>
      </c>
      <c r="AS22" s="250">
        <f t="shared" si="8"/>
        <v>0.99</v>
      </c>
    </row>
    <row r="23" spans="2:45" ht="316.5" customHeight="1">
      <c r="B23" s="807"/>
      <c r="C23" s="177" t="s">
        <v>456</v>
      </c>
      <c r="D23" s="188">
        <v>32</v>
      </c>
      <c r="E23" s="184" t="s">
        <v>254</v>
      </c>
      <c r="F23" s="185" t="s">
        <v>255</v>
      </c>
      <c r="G23" s="188">
        <v>62</v>
      </c>
      <c r="H23" s="166" t="s">
        <v>542</v>
      </c>
      <c r="I23" s="187" t="s">
        <v>256</v>
      </c>
      <c r="J23" s="166" t="s">
        <v>222</v>
      </c>
      <c r="K23" s="106">
        <v>0</v>
      </c>
      <c r="L23" s="106">
        <v>0</v>
      </c>
      <c r="M23" s="106">
        <v>0</v>
      </c>
      <c r="N23" s="106">
        <v>12</v>
      </c>
      <c r="O23" s="106">
        <v>19</v>
      </c>
      <c r="P23" s="106">
        <v>0</v>
      </c>
      <c r="Q23" s="191">
        <f>K23+M23+O23</f>
        <v>19</v>
      </c>
      <c r="R23" s="192">
        <f>L23+N23+P23</f>
        <v>12</v>
      </c>
      <c r="S23" s="106">
        <v>0</v>
      </c>
      <c r="T23" s="106">
        <v>0</v>
      </c>
      <c r="U23" s="106">
        <v>0</v>
      </c>
      <c r="V23" s="106">
        <v>0</v>
      </c>
      <c r="W23" s="106">
        <v>0</v>
      </c>
      <c r="X23" s="106">
        <v>0</v>
      </c>
      <c r="Y23" s="191">
        <f>S23+U23+W23</f>
        <v>0</v>
      </c>
      <c r="Z23" s="192">
        <f>T23+V23+X23</f>
        <v>0</v>
      </c>
      <c r="AA23" s="106">
        <v>0</v>
      </c>
      <c r="AB23" s="106">
        <v>16</v>
      </c>
      <c r="AC23" s="106">
        <v>0</v>
      </c>
      <c r="AD23" s="106">
        <v>0</v>
      </c>
      <c r="AE23" s="106">
        <v>10</v>
      </c>
      <c r="AF23" s="106">
        <v>1</v>
      </c>
      <c r="AG23" s="191">
        <f>AA23+AC23+AE23</f>
        <v>10</v>
      </c>
      <c r="AH23" s="192">
        <f>AB23+AD23+AF23</f>
        <v>17</v>
      </c>
      <c r="AI23" s="106">
        <v>0</v>
      </c>
      <c r="AJ23" s="106">
        <v>0</v>
      </c>
      <c r="AK23" s="106">
        <v>0</v>
      </c>
      <c r="AL23" s="106">
        <v>10</v>
      </c>
      <c r="AM23" s="106">
        <v>3</v>
      </c>
      <c r="AN23" s="106">
        <v>0</v>
      </c>
      <c r="AO23" s="191">
        <f>AI23+AK23+AM23</f>
        <v>3</v>
      </c>
      <c r="AP23" s="192">
        <f>AJ23+AL23+AN23</f>
        <v>10</v>
      </c>
      <c r="AQ23" s="193">
        <f>Q23+Y23+AG23+AO23</f>
        <v>32</v>
      </c>
      <c r="AR23" s="194">
        <f>R23+Z23+AH23+AP23</f>
        <v>39</v>
      </c>
      <c r="AS23" s="250">
        <f t="shared" si="8"/>
        <v>1.21875</v>
      </c>
    </row>
    <row r="24" spans="2:45" ht="354.75" customHeight="1">
      <c r="B24" s="807"/>
      <c r="C24" s="177" t="s">
        <v>457</v>
      </c>
      <c r="D24" s="178">
        <v>0.9</v>
      </c>
      <c r="E24" s="184" t="s">
        <v>257</v>
      </c>
      <c r="F24" s="189" t="s">
        <v>258</v>
      </c>
      <c r="G24" s="178">
        <v>0.9</v>
      </c>
      <c r="H24" s="166" t="s">
        <v>259</v>
      </c>
      <c r="I24" s="187" t="s">
        <v>260</v>
      </c>
      <c r="J24" s="166" t="s">
        <v>227</v>
      </c>
      <c r="K24" s="322">
        <v>0.9</v>
      </c>
      <c r="L24" s="322">
        <v>1.0589999999999999</v>
      </c>
      <c r="M24" s="322">
        <v>0.9</v>
      </c>
      <c r="N24" s="322">
        <v>0.95499999999999996</v>
      </c>
      <c r="O24" s="322">
        <v>0.9</v>
      </c>
      <c r="P24" s="322">
        <v>1.0349999999999999</v>
      </c>
      <c r="Q24" s="323">
        <f>(K24+M24+O24)/3</f>
        <v>0.9</v>
      </c>
      <c r="R24" s="247">
        <f>IFERROR(IF(OR(AQ24="",AQ24=0),0,ROUNDDOWN(AVERAGE(L24,N24,P24),3)),0)</f>
        <v>1.016</v>
      </c>
      <c r="S24" s="322">
        <v>0.9</v>
      </c>
      <c r="T24" s="322">
        <v>0.99299999999999999</v>
      </c>
      <c r="U24" s="322">
        <v>0.9</v>
      </c>
      <c r="V24" s="322">
        <v>1</v>
      </c>
      <c r="W24" s="322">
        <v>0.9</v>
      </c>
      <c r="X24" s="322">
        <v>0.98899999999999999</v>
      </c>
      <c r="Y24" s="323">
        <f>(S24+U24+W24)/3</f>
        <v>0.9</v>
      </c>
      <c r="Z24" s="247">
        <f>IFERROR(IF(OR($AQ24="",$AQ24=0),0,ROUNDDOWN(AVERAGE(T24,V24,X24),3)),0)</f>
        <v>0.99399999999999999</v>
      </c>
      <c r="AA24" s="322">
        <v>0.9</v>
      </c>
      <c r="AB24" s="322">
        <v>0.90204081632653066</v>
      </c>
      <c r="AC24" s="322">
        <v>0.9</v>
      </c>
      <c r="AD24" s="322">
        <v>0.94599999999999995</v>
      </c>
      <c r="AE24" s="322">
        <v>0.9</v>
      </c>
      <c r="AF24" s="322">
        <v>0.92028985507246375</v>
      </c>
      <c r="AG24" s="323">
        <f>(AA24+AC24+AE24)/3</f>
        <v>0.9</v>
      </c>
      <c r="AH24" s="247">
        <f>IFERROR(IF(OR($AQ24="",$AQ24=0),0,ROUNDDOWN(AVERAGE(AB24,AD24,AF24),3)),0)</f>
        <v>0.92200000000000004</v>
      </c>
      <c r="AI24" s="322">
        <v>0.9</v>
      </c>
      <c r="AJ24" s="322">
        <v>0.99399999999999999</v>
      </c>
      <c r="AK24" s="322">
        <v>0.9</v>
      </c>
      <c r="AL24" s="322">
        <v>0.98299999999999998</v>
      </c>
      <c r="AM24" s="322">
        <v>0.9</v>
      </c>
      <c r="AN24" s="322">
        <v>0.97799999999999998</v>
      </c>
      <c r="AO24" s="323">
        <f>(AI24+AK24+AM24)/3</f>
        <v>0.9</v>
      </c>
      <c r="AP24" s="247">
        <f>IFERROR(IF(OR($AQ24="",$AQ24=0),0,ROUNDDOWN(AVERAGE(AJ24,AL24,AN24),3)),0)</f>
        <v>0.98499999999999999</v>
      </c>
      <c r="AQ24" s="323">
        <f>(Q24+Y24+AG24+AO24)/4</f>
        <v>0.9</v>
      </c>
      <c r="AR24" s="140">
        <f>IFERROR(IF(OR(AQ24="",AQ24=0),0,ROUNDDOWN(AVERAGE(L24,N24,P24,T24,V24,X24,AB24,AD24,AF24,AJ24,AL24,AN24),3)),0)</f>
        <v>0.97899999999999998</v>
      </c>
      <c r="AS24" s="250">
        <f t="shared" si="8"/>
        <v>1.0877777777777777</v>
      </c>
    </row>
    <row r="25" spans="2:45" ht="198">
      <c r="B25" s="808"/>
      <c r="C25" s="177" t="s">
        <v>458</v>
      </c>
      <c r="D25" s="178">
        <v>1</v>
      </c>
      <c r="E25" s="184" t="s">
        <v>261</v>
      </c>
      <c r="F25" s="185" t="s">
        <v>262</v>
      </c>
      <c r="G25" s="186">
        <v>1</v>
      </c>
      <c r="H25" s="166" t="s">
        <v>263</v>
      </c>
      <c r="I25" s="187" t="s">
        <v>264</v>
      </c>
      <c r="J25" s="166" t="s">
        <v>227</v>
      </c>
      <c r="K25" s="324">
        <v>1</v>
      </c>
      <c r="L25" s="324">
        <v>0.79800000000000004</v>
      </c>
      <c r="M25" s="324">
        <v>1</v>
      </c>
      <c r="N25" s="324">
        <v>0.79800000000000004</v>
      </c>
      <c r="O25" s="324">
        <v>1</v>
      </c>
      <c r="P25" s="324">
        <v>0.79800000000000004</v>
      </c>
      <c r="Q25" s="325">
        <f>(K25+M25+O25)/3</f>
        <v>1</v>
      </c>
      <c r="R25" s="251">
        <f>IFERROR(IF(OR(AQ25="",AQ25=0),0,ROUNDDOWN(AVERAGE(L25,N25,P25),3)),0)</f>
        <v>0.79800000000000004</v>
      </c>
      <c r="S25" s="324">
        <v>1</v>
      </c>
      <c r="T25" s="324">
        <v>0.79800000000000004</v>
      </c>
      <c r="U25" s="324">
        <v>1</v>
      </c>
      <c r="V25" s="324">
        <v>0.79800000000000004</v>
      </c>
      <c r="W25" s="324">
        <v>1</v>
      </c>
      <c r="X25" s="324">
        <v>0.79800000000000004</v>
      </c>
      <c r="Y25" s="325">
        <f>(S25+U25+W25)/3</f>
        <v>1</v>
      </c>
      <c r="Z25" s="247">
        <f>IFERROR(IF(OR($AQ25="",$AQ25=0),0,ROUNDDOWN(AVERAGE(T25,V25,X25),3)),0)</f>
        <v>0.79800000000000004</v>
      </c>
      <c r="AA25" s="324">
        <v>1</v>
      </c>
      <c r="AB25" s="324">
        <v>0.95348837209302328</v>
      </c>
      <c r="AC25" s="324">
        <v>1</v>
      </c>
      <c r="AD25" s="324">
        <v>0.95348837209302328</v>
      </c>
      <c r="AE25" s="324">
        <v>1</v>
      </c>
      <c r="AF25" s="324">
        <v>0.95348837209302328</v>
      </c>
      <c r="AG25" s="325">
        <f>(AA25+AC25+AE25)/3</f>
        <v>1</v>
      </c>
      <c r="AH25" s="247">
        <f>IFERROR(IF(OR($AQ25="",$AQ25=0),0,ROUNDDOWN(AVERAGE(AB25,AD25,AF25),3)),0)</f>
        <v>0.95299999999999996</v>
      </c>
      <c r="AI25" s="324">
        <v>1</v>
      </c>
      <c r="AJ25" s="324">
        <v>0.95299999999999996</v>
      </c>
      <c r="AK25" s="324">
        <v>1</v>
      </c>
      <c r="AL25" s="324">
        <v>0.95299999999999996</v>
      </c>
      <c r="AM25" s="324">
        <v>1</v>
      </c>
      <c r="AN25" s="324">
        <v>0.95299999999999996</v>
      </c>
      <c r="AO25" s="325">
        <f>(AI25+AK25+AM25)/3</f>
        <v>1</v>
      </c>
      <c r="AP25" s="247">
        <f>IFERROR(IF(OR($AQ25="",$AQ25=0),0,ROUNDDOWN(AVERAGE(AJ25,AL25,AN25),3)),0)</f>
        <v>0.95299999999999996</v>
      </c>
      <c r="AQ25" s="325">
        <f>(Q25+Y25+AG25+AO25)/4</f>
        <v>1</v>
      </c>
      <c r="AR25" s="252">
        <f>IFERROR(IF(OR(AQ25="",AQ25=0),0,ROUNDDOWN(AVERAGE(L25,N25,P25,T25,V25,X25,AB25,AD25,AF25,AJ25,AL25,AN25),3)),0)</f>
        <v>0.875</v>
      </c>
      <c r="AS25" s="253">
        <f t="shared" si="8"/>
        <v>0.875</v>
      </c>
    </row>
    <row r="26" spans="2:45" s="89" customFormat="1" ht="23.25">
      <c r="B26" s="713" t="s">
        <v>23</v>
      </c>
      <c r="C26" s="714"/>
      <c r="D26" s="714"/>
      <c r="E26" s="714"/>
      <c r="F26" s="714"/>
      <c r="G26" s="714"/>
      <c r="H26" s="714"/>
      <c r="I26" s="714"/>
      <c r="J26" s="714"/>
      <c r="K26" s="714"/>
      <c r="L26" s="714"/>
      <c r="M26" s="714"/>
      <c r="N26" s="714"/>
      <c r="O26" s="714"/>
      <c r="P26" s="714"/>
      <c r="Q26" s="714"/>
      <c r="R26" s="714"/>
      <c r="S26" s="714"/>
      <c r="T26" s="714"/>
      <c r="U26" s="714"/>
      <c r="V26" s="714"/>
      <c r="W26" s="714"/>
      <c r="X26" s="714"/>
      <c r="Y26" s="714"/>
      <c r="Z26" s="714"/>
      <c r="AA26" s="714"/>
      <c r="AB26" s="714"/>
      <c r="AC26" s="714"/>
      <c r="AD26" s="714"/>
      <c r="AE26" s="714"/>
      <c r="AF26" s="714"/>
      <c r="AG26" s="714"/>
      <c r="AH26" s="714"/>
      <c r="AI26" s="714"/>
      <c r="AJ26" s="714"/>
      <c r="AK26" s="714"/>
      <c r="AL26" s="714"/>
      <c r="AM26" s="714"/>
      <c r="AN26" s="714"/>
      <c r="AO26" s="714"/>
      <c r="AP26" s="714"/>
      <c r="AQ26" s="714"/>
      <c r="AR26" s="715"/>
      <c r="AS26" s="317">
        <f>AVERAGE(AS13:AS25)</f>
        <v>1.0298250115624812</v>
      </c>
    </row>
    <row r="27" spans="2:45" ht="17.25">
      <c r="B27" s="548"/>
      <c r="C27" s="809"/>
      <c r="D27" s="809"/>
      <c r="E27" s="809"/>
      <c r="F27" s="809"/>
      <c r="G27" s="809"/>
      <c r="H27" s="809"/>
      <c r="I27" s="809"/>
      <c r="J27" s="809"/>
    </row>
    <row r="28" spans="2:45" ht="45" customHeight="1">
      <c r="B28" s="70" t="s">
        <v>32</v>
      </c>
      <c r="C28" s="810" t="s">
        <v>821</v>
      </c>
      <c r="D28" s="811"/>
      <c r="E28" s="548"/>
      <c r="F28" s="548"/>
      <c r="G28" s="549" t="s">
        <v>22</v>
      </c>
      <c r="H28" s="812" t="s">
        <v>265</v>
      </c>
      <c r="I28" s="813"/>
      <c r="J28" s="813"/>
    </row>
    <row r="29" spans="2:45" ht="13.5" customHeight="1">
      <c r="B29" s="548"/>
      <c r="C29" s="548"/>
      <c r="D29" s="550"/>
      <c r="E29" s="548"/>
      <c r="F29" s="548"/>
      <c r="G29" s="548"/>
      <c r="H29" s="548"/>
      <c r="I29" s="548"/>
      <c r="J29" s="551"/>
    </row>
    <row r="30" spans="2:45" ht="15" customHeight="1">
      <c r="B30" s="548"/>
      <c r="C30" s="548"/>
      <c r="D30" s="550"/>
      <c r="E30" s="548"/>
      <c r="F30" s="548"/>
      <c r="G30" s="548"/>
      <c r="H30" s="548"/>
      <c r="I30" s="548"/>
      <c r="J30" s="551"/>
    </row>
    <row r="31" spans="2:45" ht="17.25">
      <c r="B31" s="548"/>
      <c r="C31" s="548"/>
      <c r="D31" s="550"/>
      <c r="E31" s="548"/>
      <c r="F31" s="548"/>
      <c r="G31" s="548"/>
      <c r="H31" s="548"/>
      <c r="I31" s="548"/>
      <c r="J31" s="551"/>
    </row>
    <row r="32" spans="2:45" ht="15" customHeight="1">
      <c r="B32" s="548"/>
      <c r="C32" s="548"/>
      <c r="D32" s="550"/>
      <c r="E32" s="805"/>
      <c r="F32" s="805"/>
      <c r="G32" s="805"/>
      <c r="H32" s="805"/>
      <c r="I32" s="552"/>
      <c r="J32" s="548"/>
    </row>
    <row r="33" spans="2:10" ht="15" customHeight="1">
      <c r="B33" s="548"/>
      <c r="C33" s="548"/>
      <c r="D33" s="550"/>
      <c r="E33" s="548"/>
      <c r="F33" s="548"/>
      <c r="G33" s="551"/>
      <c r="H33" s="548"/>
      <c r="I33" s="548"/>
      <c r="J33" s="548"/>
    </row>
    <row r="34" spans="2:10" ht="15" customHeight="1">
      <c r="B34" s="548"/>
      <c r="C34" s="548"/>
      <c r="D34" s="550"/>
      <c r="E34" s="805"/>
      <c r="F34" s="805"/>
      <c r="G34" s="805"/>
      <c r="H34" s="805"/>
      <c r="I34" s="552"/>
      <c r="J34" s="548"/>
    </row>
    <row r="35" spans="2:10" ht="15" customHeight="1">
      <c r="B35" s="548"/>
      <c r="C35" s="548"/>
      <c r="D35" s="550"/>
      <c r="E35" s="548"/>
      <c r="F35" s="548"/>
      <c r="G35" s="551"/>
      <c r="H35" s="548"/>
      <c r="I35" s="548"/>
      <c r="J35" s="548"/>
    </row>
    <row r="36" spans="2:10" ht="15" customHeight="1">
      <c r="B36" s="548"/>
      <c r="C36" s="548"/>
      <c r="D36" s="550"/>
      <c r="E36" s="805"/>
      <c r="F36" s="805"/>
      <c r="G36" s="805"/>
      <c r="H36" s="805"/>
      <c r="I36" s="552"/>
      <c r="J36" s="548"/>
    </row>
  </sheetData>
  <sheetProtection algorithmName="SHA-512" hashValue="c+p66ANiee4sOFxdx//vRp7Epa823lTeU0H4BjYDof3AxDZnkFqubkJHiDOM+D/HQQW7XopI13lS69dXm36YbA==" saltValue="rrLcSHdzUVN727R0q2vurA==" spinCount="100000" sheet="1" objects="1" scenarios="1"/>
  <mergeCells count="50">
    <mergeCell ref="E32:H32"/>
    <mergeCell ref="E34:H34"/>
    <mergeCell ref="E36:H36"/>
    <mergeCell ref="B13:B25"/>
    <mergeCell ref="C27:J27"/>
    <mergeCell ref="C28:D28"/>
    <mergeCell ref="H28:J28"/>
    <mergeCell ref="O11:P11"/>
    <mergeCell ref="Q11:R11"/>
    <mergeCell ref="S11:T11"/>
    <mergeCell ref="U11:V11"/>
    <mergeCell ref="W11:X11"/>
    <mergeCell ref="I9:I12"/>
    <mergeCell ref="J9:J12"/>
    <mergeCell ref="C17:C18"/>
    <mergeCell ref="C15:C16"/>
    <mergeCell ref="B26:AR26"/>
    <mergeCell ref="K9:AP9"/>
    <mergeCell ref="AQ9:AQ12"/>
    <mergeCell ref="AR9:AR12"/>
    <mergeCell ref="AM11:AN11"/>
    <mergeCell ref="Y11:Z11"/>
    <mergeCell ref="AC11:AD11"/>
    <mergeCell ref="AE11:AF11"/>
    <mergeCell ref="AG11:AH11"/>
    <mergeCell ref="AI11:AJ11"/>
    <mergeCell ref="AK11:AL11"/>
    <mergeCell ref="AA11:AB11"/>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AS9:AS12"/>
    <mergeCell ref="K10:R10"/>
    <mergeCell ref="S10:Z10"/>
    <mergeCell ref="AA10:AH10"/>
    <mergeCell ref="AI10:AP10"/>
    <mergeCell ref="K11:L11"/>
    <mergeCell ref="M11:N11"/>
    <mergeCell ref="AO11:AP11"/>
  </mergeCell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S31"/>
  <sheetViews>
    <sheetView showGridLines="0" zoomScale="55" zoomScaleNormal="55" workbookViewId="0">
      <selection activeCell="AN18" sqref="AN18"/>
    </sheetView>
  </sheetViews>
  <sheetFormatPr baseColWidth="10" defaultColWidth="17.28515625" defaultRowHeight="15" customHeight="1"/>
  <cols>
    <col min="1" max="1" width="3" style="1" customWidth="1"/>
    <col min="2" max="2" width="28.42578125" style="5" customWidth="1"/>
    <col min="3" max="3" width="28.5703125" style="5" customWidth="1"/>
    <col min="4" max="5" width="21.42578125" style="10" customWidth="1"/>
    <col min="6" max="6" width="24.28515625" style="5" customWidth="1"/>
    <col min="7" max="7" width="21.42578125" style="5" customWidth="1"/>
    <col min="8" max="8" width="28.5703125" style="5" customWidth="1"/>
    <col min="9" max="9" width="52.28515625" style="5" customWidth="1"/>
    <col min="10" max="10" width="33.28515625" style="71" customWidth="1"/>
    <col min="11" max="42" width="14.28515625" style="1" customWidth="1"/>
    <col min="43" max="45" width="19.7109375" style="1" customWidth="1"/>
    <col min="46" max="16384" width="17.28515625" style="1"/>
  </cols>
  <sheetData>
    <row r="1" spans="1:45" ht="18" thickBot="1"/>
    <row r="2" spans="1:45" ht="15.75">
      <c r="B2" s="734"/>
      <c r="C2" s="737" t="s">
        <v>59</v>
      </c>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8"/>
      <c r="AP2" s="738"/>
      <c r="AQ2" s="739"/>
      <c r="AR2" s="746" t="s">
        <v>39</v>
      </c>
      <c r="AS2" s="747"/>
    </row>
    <row r="3" spans="1:45" ht="15.75">
      <c r="B3" s="735"/>
      <c r="C3" s="740"/>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2"/>
      <c r="AR3" s="18" t="s">
        <v>36</v>
      </c>
      <c r="AS3" s="19" t="s">
        <v>37</v>
      </c>
    </row>
    <row r="4" spans="1:45">
      <c r="B4" s="735"/>
      <c r="C4" s="740"/>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2"/>
      <c r="AR4" s="20">
        <v>3</v>
      </c>
      <c r="AS4" s="21" t="s">
        <v>102</v>
      </c>
    </row>
    <row r="5" spans="1:45" ht="15.75">
      <c r="B5" s="735"/>
      <c r="C5" s="740"/>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2"/>
      <c r="AR5" s="748" t="s">
        <v>38</v>
      </c>
      <c r="AS5" s="749"/>
    </row>
    <row r="6" spans="1:45" ht="15.75" thickBot="1">
      <c r="B6" s="736"/>
      <c r="C6" s="743"/>
      <c r="D6" s="744"/>
      <c r="E6" s="744"/>
      <c r="F6" s="744"/>
      <c r="G6" s="744"/>
      <c r="H6" s="744"/>
      <c r="I6" s="744"/>
      <c r="J6" s="744"/>
      <c r="K6" s="744"/>
      <c r="L6" s="744"/>
      <c r="M6" s="744"/>
      <c r="N6" s="744"/>
      <c r="O6" s="744"/>
      <c r="P6" s="744"/>
      <c r="Q6" s="744"/>
      <c r="R6" s="744"/>
      <c r="S6" s="744"/>
      <c r="T6" s="744"/>
      <c r="U6" s="744"/>
      <c r="V6" s="744"/>
      <c r="W6" s="744"/>
      <c r="X6" s="744"/>
      <c r="Y6" s="744"/>
      <c r="Z6" s="744"/>
      <c r="AA6" s="744"/>
      <c r="AB6" s="744"/>
      <c r="AC6" s="744"/>
      <c r="AD6" s="744"/>
      <c r="AE6" s="744"/>
      <c r="AF6" s="744"/>
      <c r="AG6" s="744"/>
      <c r="AH6" s="744"/>
      <c r="AI6" s="744"/>
      <c r="AJ6" s="744"/>
      <c r="AK6" s="744"/>
      <c r="AL6" s="744"/>
      <c r="AM6" s="744"/>
      <c r="AN6" s="744"/>
      <c r="AO6" s="744"/>
      <c r="AP6" s="744"/>
      <c r="AQ6" s="745"/>
      <c r="AR6" s="750" t="s">
        <v>100</v>
      </c>
      <c r="AS6" s="751"/>
    </row>
    <row r="7" spans="1:45" ht="17.25">
      <c r="B7" s="2"/>
      <c r="C7" s="2"/>
      <c r="D7" s="8"/>
      <c r="E7" s="8"/>
      <c r="F7" s="2"/>
      <c r="G7" s="2"/>
      <c r="H7" s="2"/>
      <c r="I7" s="2"/>
      <c r="J7" s="72"/>
      <c r="AR7" s="730"/>
      <c r="AS7" s="731"/>
    </row>
    <row r="8" spans="1:45" ht="13.5">
      <c r="B8" s="13"/>
      <c r="C8" s="14"/>
      <c r="D8" s="14"/>
      <c r="E8" s="69"/>
      <c r="F8" s="14"/>
      <c r="G8" s="14"/>
      <c r="H8" s="14"/>
      <c r="I8" s="14"/>
      <c r="J8" s="69"/>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752"/>
      <c r="AR8" s="753"/>
      <c r="AS8" s="754"/>
    </row>
    <row r="9" spans="1:45" ht="15.75">
      <c r="B9" s="718" t="s">
        <v>35</v>
      </c>
      <c r="C9" s="777" t="s">
        <v>34</v>
      </c>
      <c r="D9" s="777" t="s">
        <v>63</v>
      </c>
      <c r="E9" s="777" t="s">
        <v>66</v>
      </c>
      <c r="F9" s="777" t="s">
        <v>67</v>
      </c>
      <c r="G9" s="777" t="s">
        <v>31</v>
      </c>
      <c r="H9" s="777" t="s">
        <v>25</v>
      </c>
      <c r="I9" s="777" t="s">
        <v>95</v>
      </c>
      <c r="J9" s="777"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716" t="s">
        <v>6</v>
      </c>
      <c r="AR9" s="717" t="s">
        <v>7</v>
      </c>
      <c r="AS9" s="717" t="s">
        <v>24</v>
      </c>
    </row>
    <row r="10" spans="1:45" ht="15.75">
      <c r="B10" s="718"/>
      <c r="C10" s="777"/>
      <c r="D10" s="777"/>
      <c r="E10" s="777"/>
      <c r="F10" s="777"/>
      <c r="G10" s="777"/>
      <c r="H10" s="777"/>
      <c r="I10" s="777"/>
      <c r="J10" s="777"/>
      <c r="K10" s="719" t="s">
        <v>26</v>
      </c>
      <c r="L10" s="719"/>
      <c r="M10" s="719"/>
      <c r="N10" s="719"/>
      <c r="O10" s="719"/>
      <c r="P10" s="719"/>
      <c r="Q10" s="719"/>
      <c r="R10" s="719"/>
      <c r="S10" s="719" t="s">
        <v>27</v>
      </c>
      <c r="T10" s="719"/>
      <c r="U10" s="719"/>
      <c r="V10" s="719"/>
      <c r="W10" s="719"/>
      <c r="X10" s="719"/>
      <c r="Y10" s="719"/>
      <c r="Z10" s="719"/>
      <c r="AA10" s="719" t="s">
        <v>28</v>
      </c>
      <c r="AB10" s="719"/>
      <c r="AC10" s="719"/>
      <c r="AD10" s="719"/>
      <c r="AE10" s="719"/>
      <c r="AF10" s="719"/>
      <c r="AG10" s="719"/>
      <c r="AH10" s="719"/>
      <c r="AI10" s="719" t="s">
        <v>29</v>
      </c>
      <c r="AJ10" s="719"/>
      <c r="AK10" s="719"/>
      <c r="AL10" s="719"/>
      <c r="AM10" s="719"/>
      <c r="AN10" s="719"/>
      <c r="AO10" s="719"/>
      <c r="AP10" s="719"/>
      <c r="AQ10" s="716"/>
      <c r="AR10" s="717"/>
      <c r="AS10" s="717"/>
    </row>
    <row r="11" spans="1:45" ht="15.75" customHeight="1">
      <c r="B11" s="718"/>
      <c r="C11" s="777"/>
      <c r="D11" s="777"/>
      <c r="E11" s="777"/>
      <c r="F11" s="777"/>
      <c r="G11" s="777"/>
      <c r="H11" s="777"/>
      <c r="I11" s="777"/>
      <c r="J11" s="777"/>
      <c r="K11" s="719" t="s">
        <v>8</v>
      </c>
      <c r="L11" s="719"/>
      <c r="M11" s="719" t="s">
        <v>9</v>
      </c>
      <c r="N11" s="719"/>
      <c r="O11" s="732" t="s">
        <v>10</v>
      </c>
      <c r="P11" s="733"/>
      <c r="Q11" s="720" t="s">
        <v>11</v>
      </c>
      <c r="R11" s="721"/>
      <c r="S11" s="719" t="s">
        <v>33</v>
      </c>
      <c r="T11" s="719"/>
      <c r="U11" s="719" t="s">
        <v>12</v>
      </c>
      <c r="V11" s="719"/>
      <c r="W11" s="719" t="s">
        <v>13</v>
      </c>
      <c r="X11" s="719"/>
      <c r="Y11" s="720" t="s">
        <v>11</v>
      </c>
      <c r="Z11" s="721"/>
      <c r="AA11" s="719" t="s">
        <v>14</v>
      </c>
      <c r="AB11" s="719"/>
      <c r="AC11" s="719" t="s">
        <v>15</v>
      </c>
      <c r="AD11" s="719"/>
      <c r="AE11" s="719" t="s">
        <v>16</v>
      </c>
      <c r="AF11" s="719"/>
      <c r="AG11" s="720" t="s">
        <v>11</v>
      </c>
      <c r="AH11" s="721"/>
      <c r="AI11" s="719" t="s">
        <v>17</v>
      </c>
      <c r="AJ11" s="719"/>
      <c r="AK11" s="719" t="s">
        <v>18</v>
      </c>
      <c r="AL11" s="719"/>
      <c r="AM11" s="719" t="s">
        <v>19</v>
      </c>
      <c r="AN11" s="719"/>
      <c r="AO11" s="720" t="s">
        <v>11</v>
      </c>
      <c r="AP11" s="721"/>
      <c r="AQ11" s="716"/>
      <c r="AR11" s="717"/>
      <c r="AS11" s="717"/>
    </row>
    <row r="12" spans="1:45" ht="13.5">
      <c r="B12" s="652"/>
      <c r="C12" s="778"/>
      <c r="D12" s="778"/>
      <c r="E12" s="778"/>
      <c r="F12" s="778"/>
      <c r="G12" s="778"/>
      <c r="H12" s="778"/>
      <c r="I12" s="778"/>
      <c r="J12" s="778"/>
      <c r="K12" s="22" t="s">
        <v>20</v>
      </c>
      <c r="L12" s="23" t="s">
        <v>21</v>
      </c>
      <c r="M12" s="22" t="s">
        <v>20</v>
      </c>
      <c r="N12" s="23" t="s">
        <v>21</v>
      </c>
      <c r="O12" s="22" t="s">
        <v>20</v>
      </c>
      <c r="P12" s="23" t="s">
        <v>21</v>
      </c>
      <c r="Q12" s="24" t="s">
        <v>20</v>
      </c>
      <c r="R12" s="25" t="s">
        <v>21</v>
      </c>
      <c r="S12" s="22" t="s">
        <v>20</v>
      </c>
      <c r="T12" s="23" t="s">
        <v>21</v>
      </c>
      <c r="U12" s="22" t="s">
        <v>20</v>
      </c>
      <c r="V12" s="23" t="s">
        <v>21</v>
      </c>
      <c r="W12" s="22" t="s">
        <v>20</v>
      </c>
      <c r="X12" s="23" t="s">
        <v>21</v>
      </c>
      <c r="Y12" s="24" t="s">
        <v>20</v>
      </c>
      <c r="Z12" s="25" t="s">
        <v>21</v>
      </c>
      <c r="AA12" s="22" t="s">
        <v>20</v>
      </c>
      <c r="AB12" s="23" t="s">
        <v>21</v>
      </c>
      <c r="AC12" s="22" t="s">
        <v>20</v>
      </c>
      <c r="AD12" s="23" t="s">
        <v>21</v>
      </c>
      <c r="AE12" s="22" t="s">
        <v>20</v>
      </c>
      <c r="AF12" s="23" t="s">
        <v>21</v>
      </c>
      <c r="AG12" s="24" t="s">
        <v>20</v>
      </c>
      <c r="AH12" s="25" t="s">
        <v>21</v>
      </c>
      <c r="AI12" s="22" t="s">
        <v>20</v>
      </c>
      <c r="AJ12" s="23" t="s">
        <v>21</v>
      </c>
      <c r="AK12" s="22" t="s">
        <v>20</v>
      </c>
      <c r="AL12" s="23" t="s">
        <v>21</v>
      </c>
      <c r="AM12" s="22" t="s">
        <v>20</v>
      </c>
      <c r="AN12" s="23" t="s">
        <v>21</v>
      </c>
      <c r="AO12" s="24" t="s">
        <v>20</v>
      </c>
      <c r="AP12" s="25" t="s">
        <v>21</v>
      </c>
      <c r="AQ12" s="716"/>
      <c r="AR12" s="717"/>
      <c r="AS12" s="717"/>
    </row>
    <row r="13" spans="1:45" ht="142.5">
      <c r="A13" s="73"/>
      <c r="B13" s="814" t="s">
        <v>285</v>
      </c>
      <c r="C13" s="195" t="s">
        <v>421</v>
      </c>
      <c r="D13" s="142">
        <v>0.91</v>
      </c>
      <c r="E13" s="196" t="s">
        <v>266</v>
      </c>
      <c r="F13" s="171" t="s">
        <v>267</v>
      </c>
      <c r="G13" s="158">
        <v>0.85</v>
      </c>
      <c r="H13" s="197" t="s">
        <v>268</v>
      </c>
      <c r="I13" s="198" t="s">
        <v>269</v>
      </c>
      <c r="J13" s="174" t="s">
        <v>538</v>
      </c>
      <c r="K13" s="327">
        <v>0.87</v>
      </c>
      <c r="L13" s="330">
        <v>1</v>
      </c>
      <c r="M13" s="327">
        <v>0.87</v>
      </c>
      <c r="N13" s="330">
        <v>0.93799999999999994</v>
      </c>
      <c r="O13" s="327">
        <v>0.87</v>
      </c>
      <c r="P13" s="330">
        <v>0.78700000000000003</v>
      </c>
      <c r="Q13" s="328">
        <f t="shared" ref="Q13:Q18" si="0">(K13+M13+O13)/3</f>
        <v>0.87</v>
      </c>
      <c r="R13" s="254">
        <f>IFERROR(IF(OR($AQ13="",$AQ13=0),0,ROUNDDOWN(AVERAGE(L13,N13,P13),3)),0)</f>
        <v>0.90800000000000003</v>
      </c>
      <c r="S13" s="327">
        <v>0.87</v>
      </c>
      <c r="T13" s="330">
        <v>1</v>
      </c>
      <c r="U13" s="327">
        <v>0.87</v>
      </c>
      <c r="V13" s="330">
        <v>1</v>
      </c>
      <c r="W13" s="327">
        <v>0.87</v>
      </c>
      <c r="X13" s="330">
        <v>1</v>
      </c>
      <c r="Y13" s="328">
        <f t="shared" ref="Y13:Y18" si="1">(S13+U13+W13)/3</f>
        <v>0.87</v>
      </c>
      <c r="Z13" s="254">
        <f>IFERROR(IF(OR($AQ13="",$AQ13=0),0,ROUNDDOWN(AVERAGE(T13,V13,X13),3)),0)</f>
        <v>1</v>
      </c>
      <c r="AA13" s="327">
        <v>0.95</v>
      </c>
      <c r="AB13" s="330">
        <v>1</v>
      </c>
      <c r="AC13" s="327">
        <v>0.95</v>
      </c>
      <c r="AD13" s="330">
        <v>1</v>
      </c>
      <c r="AE13" s="327">
        <v>0.95</v>
      </c>
      <c r="AF13" s="330">
        <v>1</v>
      </c>
      <c r="AG13" s="328">
        <f t="shared" ref="AG13:AG18" si="2">(AA13+AC13+AE13)/3</f>
        <v>0.94999999999999984</v>
      </c>
      <c r="AH13" s="254">
        <f>IFERROR(IF(OR($AQ13="",$AQ13=0),0,ROUNDDOWN(AVERAGE(AB13,AD13,AF13),3)),0)</f>
        <v>1</v>
      </c>
      <c r="AI13" s="327">
        <v>0.95</v>
      </c>
      <c r="AJ13" s="330">
        <v>1</v>
      </c>
      <c r="AK13" s="327">
        <v>0.95</v>
      </c>
      <c r="AL13" s="330">
        <v>0.93</v>
      </c>
      <c r="AM13" s="327">
        <v>0.95</v>
      </c>
      <c r="AN13" s="330">
        <v>1</v>
      </c>
      <c r="AO13" s="328">
        <f t="shared" ref="AO13:AO18" si="3">(AI13+AK13+AM13)/3</f>
        <v>0.94999999999999984</v>
      </c>
      <c r="AP13" s="254">
        <f>IFERROR(IF(OR($AQ13="",$AQ13=0),0,ROUNDDOWN(AVERAGE(AJ13,AL13,AN13),3)),0)</f>
        <v>0.97599999999999998</v>
      </c>
      <c r="AQ13" s="312">
        <f t="shared" ref="AQ13:AQ18" si="4">(Q13+Y13+AG13+AO13)/4</f>
        <v>0.90999999999999992</v>
      </c>
      <c r="AR13" s="252">
        <f t="shared" ref="AR13:AR18" si="5">IFERROR(IF(OR(AQ13="",AQ13=0),0,ROUNDDOWN(AVERAGE(L13,N13,P13,T13,V13,X13,AB13,AD13,AF13,AJ13,AL13,AN13),3)),0)</f>
        <v>0.97099999999999997</v>
      </c>
      <c r="AS13" s="249">
        <f t="shared" ref="AS13:AS18" si="6">IF(AND(AR13&gt;0,AQ13&gt;0),AR13/AQ13,0)</f>
        <v>1.067032967032967</v>
      </c>
    </row>
    <row r="14" spans="1:45" ht="90">
      <c r="A14" s="73"/>
      <c r="B14" s="815"/>
      <c r="C14" s="195" t="s">
        <v>422</v>
      </c>
      <c r="D14" s="178">
        <v>0.95</v>
      </c>
      <c r="E14" s="196" t="s">
        <v>270</v>
      </c>
      <c r="F14" s="171" t="s">
        <v>271</v>
      </c>
      <c r="G14" s="158">
        <v>0.95</v>
      </c>
      <c r="H14" s="197" t="s">
        <v>268</v>
      </c>
      <c r="I14" s="198" t="s">
        <v>487</v>
      </c>
      <c r="J14" s="174" t="s">
        <v>538</v>
      </c>
      <c r="K14" s="329">
        <v>0.95</v>
      </c>
      <c r="L14" s="331">
        <v>1</v>
      </c>
      <c r="M14" s="329">
        <v>0.95</v>
      </c>
      <c r="N14" s="331">
        <v>1</v>
      </c>
      <c r="O14" s="329">
        <v>0.95</v>
      </c>
      <c r="P14" s="331">
        <v>1</v>
      </c>
      <c r="Q14" s="328">
        <f t="shared" si="0"/>
        <v>0.94999999999999984</v>
      </c>
      <c r="R14" s="254">
        <f t="shared" ref="R14:R18" si="7">IFERROR(IF(OR(AQ14="",AQ14=0),0,ROUNDDOWN(AVERAGE(L14,N14,P14),3)),0)</f>
        <v>1</v>
      </c>
      <c r="S14" s="329">
        <v>0.95</v>
      </c>
      <c r="T14" s="331">
        <v>1</v>
      </c>
      <c r="U14" s="329">
        <v>0.95</v>
      </c>
      <c r="V14" s="331">
        <v>1</v>
      </c>
      <c r="W14" s="329">
        <v>0.95</v>
      </c>
      <c r="X14" s="331">
        <v>1</v>
      </c>
      <c r="Y14" s="328">
        <f t="shared" si="1"/>
        <v>0.94999999999999984</v>
      </c>
      <c r="Z14" s="254">
        <f t="shared" ref="Z14:Z18" si="8">IFERROR(IF(OR($AQ14="",$AQ14=0),0,ROUNDDOWN(AVERAGE(T14,V14,X14),3)),0)</f>
        <v>1</v>
      </c>
      <c r="AA14" s="329">
        <v>0.95</v>
      </c>
      <c r="AB14" s="331">
        <v>1</v>
      </c>
      <c r="AC14" s="329">
        <v>0.95</v>
      </c>
      <c r="AD14" s="331">
        <v>1</v>
      </c>
      <c r="AE14" s="329">
        <v>0.95</v>
      </c>
      <c r="AF14" s="331">
        <v>1</v>
      </c>
      <c r="AG14" s="328">
        <f t="shared" si="2"/>
        <v>0.94999999999999984</v>
      </c>
      <c r="AH14" s="254">
        <f t="shared" ref="AH14:AH18" si="9">IFERROR(IF(OR($AQ14="",$AQ14=0),0,ROUNDDOWN(AVERAGE(AB14,AD14,AF14),3)),0)</f>
        <v>1</v>
      </c>
      <c r="AI14" s="329">
        <v>0.95</v>
      </c>
      <c r="AJ14" s="331">
        <v>1</v>
      </c>
      <c r="AK14" s="329">
        <v>0.95</v>
      </c>
      <c r="AL14" s="331">
        <v>1</v>
      </c>
      <c r="AM14" s="329">
        <v>0.95</v>
      </c>
      <c r="AN14" s="331">
        <v>1</v>
      </c>
      <c r="AO14" s="328">
        <f t="shared" si="3"/>
        <v>0.94999999999999984</v>
      </c>
      <c r="AP14" s="254">
        <f t="shared" ref="AP14:AP18" si="10">IFERROR(IF(OR($AQ14="",$AQ14=0),0,ROUNDDOWN(AVERAGE(AJ14,AL14,AN14),3)),0)</f>
        <v>1</v>
      </c>
      <c r="AQ14" s="312">
        <f t="shared" si="4"/>
        <v>0.94999999999999984</v>
      </c>
      <c r="AR14" s="252">
        <f t="shared" si="5"/>
        <v>1</v>
      </c>
      <c r="AS14" s="249">
        <f t="shared" si="6"/>
        <v>1.0526315789473686</v>
      </c>
    </row>
    <row r="15" spans="1:45" ht="99.75">
      <c r="A15" s="73"/>
      <c r="B15" s="815"/>
      <c r="C15" s="195" t="s">
        <v>423</v>
      </c>
      <c r="D15" s="142">
        <v>0.95</v>
      </c>
      <c r="E15" s="196" t="s">
        <v>272</v>
      </c>
      <c r="F15" s="171" t="s">
        <v>273</v>
      </c>
      <c r="G15" s="158">
        <v>0.95</v>
      </c>
      <c r="H15" s="197" t="s">
        <v>268</v>
      </c>
      <c r="I15" s="199" t="s">
        <v>274</v>
      </c>
      <c r="J15" s="174" t="s">
        <v>538</v>
      </c>
      <c r="K15" s="327">
        <v>0.95</v>
      </c>
      <c r="L15" s="330">
        <v>1</v>
      </c>
      <c r="M15" s="329">
        <v>0.95</v>
      </c>
      <c r="N15" s="330">
        <v>0.99299999999999999</v>
      </c>
      <c r="O15" s="329">
        <v>0.95</v>
      </c>
      <c r="P15" s="330">
        <v>0.98799999999999999</v>
      </c>
      <c r="Q15" s="328">
        <f t="shared" si="0"/>
        <v>0.94999999999999984</v>
      </c>
      <c r="R15" s="254">
        <f t="shared" si="7"/>
        <v>0.99299999999999999</v>
      </c>
      <c r="S15" s="329">
        <v>0.95</v>
      </c>
      <c r="T15" s="330">
        <v>1</v>
      </c>
      <c r="U15" s="329">
        <v>0.95</v>
      </c>
      <c r="V15" s="330">
        <v>0.998</v>
      </c>
      <c r="W15" s="329">
        <v>0.95</v>
      </c>
      <c r="X15" s="330">
        <v>1</v>
      </c>
      <c r="Y15" s="328">
        <f t="shared" si="1"/>
        <v>0.94999999999999984</v>
      </c>
      <c r="Z15" s="254">
        <f t="shared" si="8"/>
        <v>0.999</v>
      </c>
      <c r="AA15" s="329">
        <v>0.95</v>
      </c>
      <c r="AB15" s="330">
        <v>1</v>
      </c>
      <c r="AC15" s="329">
        <v>0.95</v>
      </c>
      <c r="AD15" s="330">
        <v>1</v>
      </c>
      <c r="AE15" s="329">
        <v>0.95</v>
      </c>
      <c r="AF15" s="330">
        <v>0.99429657794676807</v>
      </c>
      <c r="AG15" s="328">
        <f t="shared" si="2"/>
        <v>0.94999999999999984</v>
      </c>
      <c r="AH15" s="254">
        <f t="shared" si="9"/>
        <v>0.998</v>
      </c>
      <c r="AI15" s="329">
        <v>0.95</v>
      </c>
      <c r="AJ15" s="330">
        <v>0.98399999999999999</v>
      </c>
      <c r="AK15" s="329">
        <v>0.95</v>
      </c>
      <c r="AL15" s="330">
        <v>0.996</v>
      </c>
      <c r="AM15" s="329">
        <v>0.95</v>
      </c>
      <c r="AN15" s="330">
        <v>0.995</v>
      </c>
      <c r="AO15" s="328">
        <f t="shared" si="3"/>
        <v>0.94999999999999984</v>
      </c>
      <c r="AP15" s="254">
        <f t="shared" si="10"/>
        <v>0.99099999999999999</v>
      </c>
      <c r="AQ15" s="312">
        <f t="shared" si="4"/>
        <v>0.94999999999999984</v>
      </c>
      <c r="AR15" s="252">
        <f t="shared" si="5"/>
        <v>0.995</v>
      </c>
      <c r="AS15" s="249">
        <f t="shared" si="6"/>
        <v>1.0473684210526317</v>
      </c>
    </row>
    <row r="16" spans="1:45" ht="138" customHeight="1">
      <c r="A16" s="73"/>
      <c r="B16" s="815"/>
      <c r="C16" s="195" t="s">
        <v>424</v>
      </c>
      <c r="D16" s="142">
        <v>0.95</v>
      </c>
      <c r="E16" s="196" t="s">
        <v>275</v>
      </c>
      <c r="F16" s="171" t="s">
        <v>276</v>
      </c>
      <c r="G16" s="158">
        <v>0.95</v>
      </c>
      <c r="H16" s="197" t="s">
        <v>268</v>
      </c>
      <c r="I16" s="199" t="s">
        <v>277</v>
      </c>
      <c r="J16" s="174" t="s">
        <v>538</v>
      </c>
      <c r="K16" s="327">
        <v>0.95</v>
      </c>
      <c r="L16" s="330">
        <v>1</v>
      </c>
      <c r="M16" s="329">
        <v>0.95</v>
      </c>
      <c r="N16" s="330">
        <v>1</v>
      </c>
      <c r="O16" s="329">
        <v>0.95</v>
      </c>
      <c r="P16" s="330">
        <v>1</v>
      </c>
      <c r="Q16" s="328">
        <f t="shared" si="0"/>
        <v>0.94999999999999984</v>
      </c>
      <c r="R16" s="254">
        <f t="shared" si="7"/>
        <v>1</v>
      </c>
      <c r="S16" s="329">
        <v>0.95</v>
      </c>
      <c r="T16" s="330">
        <v>1</v>
      </c>
      <c r="U16" s="329">
        <v>0.95</v>
      </c>
      <c r="V16" s="330">
        <v>1</v>
      </c>
      <c r="W16" s="329">
        <v>0.95</v>
      </c>
      <c r="X16" s="330">
        <v>1</v>
      </c>
      <c r="Y16" s="328">
        <f t="shared" si="1"/>
        <v>0.94999999999999984</v>
      </c>
      <c r="Z16" s="254">
        <f t="shared" si="8"/>
        <v>1</v>
      </c>
      <c r="AA16" s="329">
        <v>0.95</v>
      </c>
      <c r="AB16" s="330">
        <v>1</v>
      </c>
      <c r="AC16" s="329">
        <v>0.95</v>
      </c>
      <c r="AD16" s="330">
        <v>1</v>
      </c>
      <c r="AE16" s="329">
        <v>0.95</v>
      </c>
      <c r="AF16" s="330">
        <v>1</v>
      </c>
      <c r="AG16" s="328">
        <f t="shared" si="2"/>
        <v>0.94999999999999984</v>
      </c>
      <c r="AH16" s="254">
        <f t="shared" si="9"/>
        <v>1</v>
      </c>
      <c r="AI16" s="329">
        <v>0.95</v>
      </c>
      <c r="AJ16" s="330">
        <v>1</v>
      </c>
      <c r="AK16" s="329">
        <v>0.95</v>
      </c>
      <c r="AL16" s="330">
        <v>1</v>
      </c>
      <c r="AM16" s="329">
        <v>0.95</v>
      </c>
      <c r="AN16" s="330">
        <v>1</v>
      </c>
      <c r="AO16" s="328">
        <f t="shared" si="3"/>
        <v>0.94999999999999984</v>
      </c>
      <c r="AP16" s="254">
        <f t="shared" si="10"/>
        <v>1</v>
      </c>
      <c r="AQ16" s="312">
        <f t="shared" si="4"/>
        <v>0.94999999999999984</v>
      </c>
      <c r="AR16" s="252">
        <f t="shared" si="5"/>
        <v>1</v>
      </c>
      <c r="AS16" s="249">
        <f t="shared" si="6"/>
        <v>1.0526315789473686</v>
      </c>
    </row>
    <row r="17" spans="1:45" ht="117" customHeight="1">
      <c r="A17" s="73"/>
      <c r="B17" s="815"/>
      <c r="C17" s="195" t="s">
        <v>488</v>
      </c>
      <c r="D17" s="142">
        <v>0.9</v>
      </c>
      <c r="E17" s="196" t="s">
        <v>278</v>
      </c>
      <c r="F17" s="171" t="s">
        <v>555</v>
      </c>
      <c r="G17" s="158">
        <v>0.95</v>
      </c>
      <c r="H17" s="197" t="s">
        <v>279</v>
      </c>
      <c r="I17" s="199" t="s">
        <v>280</v>
      </c>
      <c r="J17" s="174" t="s">
        <v>538</v>
      </c>
      <c r="K17" s="327">
        <v>0.95</v>
      </c>
      <c r="L17" s="330">
        <v>1</v>
      </c>
      <c r="M17" s="329">
        <v>0.95</v>
      </c>
      <c r="N17" s="330">
        <v>0.46100000000000002</v>
      </c>
      <c r="O17" s="329">
        <v>0.95</v>
      </c>
      <c r="P17" s="330">
        <v>0.46600000000000003</v>
      </c>
      <c r="Q17" s="328">
        <f t="shared" si="0"/>
        <v>0.94999999999999984</v>
      </c>
      <c r="R17" s="254">
        <f t="shared" si="7"/>
        <v>0.64200000000000002</v>
      </c>
      <c r="S17" s="329">
        <v>0.95</v>
      </c>
      <c r="T17" s="330">
        <v>0.8</v>
      </c>
      <c r="U17" s="329">
        <v>0.95</v>
      </c>
      <c r="V17" s="330">
        <v>0.8</v>
      </c>
      <c r="W17" s="329">
        <v>0.95</v>
      </c>
      <c r="X17" s="330">
        <v>0.73299999999999998</v>
      </c>
      <c r="Y17" s="328">
        <f t="shared" si="1"/>
        <v>0.94999999999999984</v>
      </c>
      <c r="Z17" s="254">
        <f t="shared" si="8"/>
        <v>0.77700000000000002</v>
      </c>
      <c r="AA17" s="329">
        <v>0.85</v>
      </c>
      <c r="AB17" s="330">
        <v>3</v>
      </c>
      <c r="AC17" s="329">
        <v>0.85</v>
      </c>
      <c r="AD17" s="330">
        <v>1</v>
      </c>
      <c r="AE17" s="329">
        <v>0.85</v>
      </c>
      <c r="AF17" s="330">
        <v>1</v>
      </c>
      <c r="AG17" s="328">
        <f t="shared" si="2"/>
        <v>0.85</v>
      </c>
      <c r="AH17" s="254">
        <f t="shared" si="9"/>
        <v>1.6659999999999999</v>
      </c>
      <c r="AI17" s="329">
        <v>0.85</v>
      </c>
      <c r="AJ17" s="330">
        <v>1</v>
      </c>
      <c r="AK17" s="329">
        <v>0.85</v>
      </c>
      <c r="AL17" s="330">
        <v>0.9</v>
      </c>
      <c r="AM17" s="329">
        <v>0.85</v>
      </c>
      <c r="AN17" s="330">
        <v>1</v>
      </c>
      <c r="AO17" s="328">
        <f t="shared" si="3"/>
        <v>0.85</v>
      </c>
      <c r="AP17" s="254">
        <f t="shared" si="10"/>
        <v>0.96599999999999997</v>
      </c>
      <c r="AQ17" s="312">
        <f t="shared" si="4"/>
        <v>0.89999999999999991</v>
      </c>
      <c r="AR17" s="252">
        <f t="shared" si="5"/>
        <v>1.0129999999999999</v>
      </c>
      <c r="AS17" s="249">
        <f t="shared" si="6"/>
        <v>1.1255555555555556</v>
      </c>
    </row>
    <row r="18" spans="1:45" ht="144.75" customHeight="1">
      <c r="A18" s="73"/>
      <c r="B18" s="816"/>
      <c r="C18" s="195" t="s">
        <v>425</v>
      </c>
      <c r="D18" s="142">
        <v>0.95</v>
      </c>
      <c r="E18" s="196" t="s">
        <v>281</v>
      </c>
      <c r="F18" s="171" t="s">
        <v>282</v>
      </c>
      <c r="G18" s="158">
        <v>0.95</v>
      </c>
      <c r="H18" s="197" t="s">
        <v>283</v>
      </c>
      <c r="I18" s="199" t="s">
        <v>489</v>
      </c>
      <c r="J18" s="174" t="s">
        <v>538</v>
      </c>
      <c r="K18" s="327">
        <v>0.95</v>
      </c>
      <c r="L18" s="330">
        <v>1</v>
      </c>
      <c r="M18" s="329">
        <v>0.95</v>
      </c>
      <c r="N18" s="330">
        <v>1</v>
      </c>
      <c r="O18" s="329">
        <v>0.95</v>
      </c>
      <c r="P18" s="330">
        <v>0.77700000000000002</v>
      </c>
      <c r="Q18" s="328">
        <f t="shared" si="0"/>
        <v>0.94999999999999984</v>
      </c>
      <c r="R18" s="254">
        <f t="shared" si="7"/>
        <v>0.92500000000000004</v>
      </c>
      <c r="S18" s="329">
        <v>0.95</v>
      </c>
      <c r="T18" s="330">
        <v>1</v>
      </c>
      <c r="U18" s="329">
        <v>0.95</v>
      </c>
      <c r="V18" s="330">
        <v>1</v>
      </c>
      <c r="W18" s="329">
        <v>0.95</v>
      </c>
      <c r="X18" s="330">
        <v>0.66600000000000004</v>
      </c>
      <c r="Y18" s="328">
        <f t="shared" si="1"/>
        <v>0.94999999999999984</v>
      </c>
      <c r="Z18" s="254">
        <f t="shared" si="8"/>
        <v>0.88800000000000001</v>
      </c>
      <c r="AA18" s="329">
        <v>0.95</v>
      </c>
      <c r="AB18" s="330">
        <f>3/2</f>
        <v>1.5</v>
      </c>
      <c r="AC18" s="329">
        <v>0.95</v>
      </c>
      <c r="AD18" s="330">
        <f>3/1</f>
        <v>3</v>
      </c>
      <c r="AE18" s="329">
        <v>0.95</v>
      </c>
      <c r="AF18" s="330">
        <f>2/3</f>
        <v>0.66666666666666663</v>
      </c>
      <c r="AG18" s="328">
        <f t="shared" si="2"/>
        <v>0.94999999999999984</v>
      </c>
      <c r="AH18" s="254">
        <f t="shared" si="9"/>
        <v>1.722</v>
      </c>
      <c r="AI18" s="329">
        <v>0.95</v>
      </c>
      <c r="AJ18" s="330">
        <v>0</v>
      </c>
      <c r="AK18" s="329">
        <v>0.95</v>
      </c>
      <c r="AL18" s="330">
        <v>2</v>
      </c>
      <c r="AM18" s="329">
        <v>0.95</v>
      </c>
      <c r="AN18" s="330">
        <v>1</v>
      </c>
      <c r="AO18" s="328">
        <f t="shared" si="3"/>
        <v>0.94999999999999984</v>
      </c>
      <c r="AP18" s="254">
        <f t="shared" si="10"/>
        <v>1</v>
      </c>
      <c r="AQ18" s="312">
        <f t="shared" si="4"/>
        <v>0.94999999999999984</v>
      </c>
      <c r="AR18" s="252">
        <f t="shared" si="5"/>
        <v>1.1339999999999999</v>
      </c>
      <c r="AS18" s="249">
        <f t="shared" si="6"/>
        <v>1.1936842105263159</v>
      </c>
    </row>
    <row r="19" spans="1:45" ht="23.25">
      <c r="B19" s="713" t="s">
        <v>23</v>
      </c>
      <c r="C19" s="714"/>
      <c r="D19" s="714"/>
      <c r="E19" s="714"/>
      <c r="F19" s="714"/>
      <c r="G19" s="714"/>
      <c r="H19" s="714"/>
      <c r="I19" s="714"/>
      <c r="J19" s="714"/>
      <c r="K19" s="714"/>
      <c r="L19" s="714"/>
      <c r="M19" s="714"/>
      <c r="N19" s="714"/>
      <c r="O19" s="714"/>
      <c r="P19" s="714"/>
      <c r="Q19" s="714"/>
      <c r="R19" s="714"/>
      <c r="S19" s="714"/>
      <c r="T19" s="714"/>
      <c r="U19" s="714"/>
      <c r="V19" s="714"/>
      <c r="W19" s="714"/>
      <c r="X19" s="714"/>
      <c r="Y19" s="714"/>
      <c r="Z19" s="714"/>
      <c r="AA19" s="714"/>
      <c r="AB19" s="714"/>
      <c r="AC19" s="714"/>
      <c r="AD19" s="714"/>
      <c r="AE19" s="714"/>
      <c r="AF19" s="714"/>
      <c r="AG19" s="714"/>
      <c r="AH19" s="714"/>
      <c r="AI19" s="714"/>
      <c r="AJ19" s="714"/>
      <c r="AK19" s="714"/>
      <c r="AL19" s="714"/>
      <c r="AM19" s="714"/>
      <c r="AN19" s="714"/>
      <c r="AO19" s="714"/>
      <c r="AP19" s="714"/>
      <c r="AQ19" s="714"/>
      <c r="AR19" s="715"/>
      <c r="AS19" s="317">
        <f>AVERAGE(AS13:AS18)</f>
        <v>1.0898173853437012</v>
      </c>
    </row>
    <row r="20" spans="1:45" ht="17.25">
      <c r="B20" s="3"/>
      <c r="C20" s="3"/>
      <c r="D20" s="9"/>
      <c r="E20" s="9"/>
      <c r="F20" s="3"/>
      <c r="G20" s="3"/>
      <c r="H20" s="3"/>
      <c r="I20" s="3"/>
      <c r="J20" s="74"/>
    </row>
    <row r="21" spans="1:45" ht="15.75">
      <c r="B21" s="54" t="s">
        <v>4</v>
      </c>
      <c r="C21" s="769"/>
      <c r="D21" s="770"/>
      <c r="E21" s="770"/>
      <c r="F21" s="770"/>
      <c r="G21" s="770"/>
      <c r="H21" s="770"/>
      <c r="I21" s="770"/>
      <c r="J21" s="771"/>
    </row>
    <row r="22" spans="1:45" ht="17.25">
      <c r="B22" s="3"/>
      <c r="C22" s="763"/>
      <c r="D22" s="763"/>
      <c r="E22" s="763"/>
      <c r="F22" s="763"/>
      <c r="G22" s="763"/>
      <c r="H22" s="763"/>
      <c r="I22" s="763"/>
      <c r="J22" s="763"/>
    </row>
    <row r="23" spans="1:45" ht="31.5">
      <c r="B23" s="55" t="s">
        <v>32</v>
      </c>
      <c r="C23" s="817" t="s">
        <v>823</v>
      </c>
      <c r="D23" s="818"/>
      <c r="E23" s="9"/>
      <c r="F23" s="3"/>
      <c r="G23" s="53" t="s">
        <v>22</v>
      </c>
      <c r="H23" s="819" t="s">
        <v>284</v>
      </c>
      <c r="I23" s="776"/>
      <c r="J23" s="776"/>
    </row>
    <row r="24" spans="1:45" ht="17.25">
      <c r="B24" s="3"/>
      <c r="C24" s="3"/>
      <c r="D24" s="9"/>
      <c r="E24" s="9"/>
      <c r="F24" s="3"/>
      <c r="G24" s="3"/>
      <c r="H24" s="3"/>
      <c r="I24" s="3"/>
      <c r="J24" s="74"/>
    </row>
    <row r="25" spans="1:45" ht="17.25">
      <c r="B25" s="3"/>
      <c r="C25" s="3"/>
      <c r="D25" s="9"/>
      <c r="E25" s="9"/>
      <c r="F25" s="3"/>
      <c r="G25" s="3"/>
      <c r="H25" s="3"/>
      <c r="I25" s="3"/>
      <c r="J25" s="74"/>
    </row>
    <row r="26" spans="1:45" ht="17.25">
      <c r="A26" s="73"/>
      <c r="B26" s="3"/>
      <c r="C26" s="3"/>
      <c r="D26" s="9"/>
      <c r="E26" s="9"/>
      <c r="F26" s="3"/>
      <c r="G26" s="3"/>
      <c r="H26" s="3"/>
      <c r="I26" s="3"/>
      <c r="J26" s="74"/>
    </row>
    <row r="27" spans="1:45" ht="17.25">
      <c r="B27" s="3"/>
      <c r="C27" s="3"/>
      <c r="D27" s="9"/>
      <c r="E27" s="759"/>
      <c r="F27" s="759"/>
      <c r="G27" s="759"/>
      <c r="H27" s="759"/>
      <c r="I27" s="68"/>
      <c r="J27" s="9"/>
    </row>
    <row r="28" spans="1:45" ht="17.25">
      <c r="B28" s="3"/>
      <c r="C28" s="3"/>
      <c r="D28" s="9"/>
      <c r="E28" s="9"/>
      <c r="F28" s="3"/>
      <c r="G28" s="4"/>
      <c r="H28" s="3"/>
      <c r="I28" s="3"/>
      <c r="J28" s="9"/>
    </row>
    <row r="29" spans="1:45" ht="17.25">
      <c r="B29" s="3"/>
      <c r="C29" s="3"/>
      <c r="D29" s="9"/>
      <c r="E29" s="759"/>
      <c r="F29" s="759"/>
      <c r="G29" s="759"/>
      <c r="H29" s="759"/>
      <c r="I29" s="68"/>
      <c r="J29" s="9"/>
    </row>
    <row r="30" spans="1:45" ht="17.25">
      <c r="B30" s="3"/>
      <c r="C30" s="3"/>
      <c r="D30" s="9"/>
      <c r="E30" s="9"/>
      <c r="F30" s="3"/>
      <c r="G30" s="4"/>
      <c r="H30" s="3"/>
      <c r="I30" s="3"/>
      <c r="J30" s="9"/>
    </row>
    <row r="31" spans="1:45" ht="17.25">
      <c r="B31" s="3"/>
      <c r="C31" s="3"/>
      <c r="D31" s="9"/>
      <c r="E31" s="759"/>
      <c r="F31" s="759"/>
      <c r="G31" s="759"/>
      <c r="H31" s="759"/>
      <c r="I31" s="68"/>
      <c r="J31" s="9"/>
    </row>
  </sheetData>
  <sheetProtection algorithmName="SHA-512" hashValue="IxlBthWofoSHBrSy2fG5sSb/bCbqPuUtrhF9XPYT2prucUvqux052ONVaCe6ViJFtJTM/vmNdBhN5O8Xmv/PvQ==" saltValue="ZFdZqjEYl3BEc5tz8C043w=="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7:H27"/>
    <mergeCell ref="E29:H29"/>
    <mergeCell ref="E31:H31"/>
    <mergeCell ref="B13:B18"/>
    <mergeCell ref="AM11:AN11"/>
    <mergeCell ref="W11:X11"/>
    <mergeCell ref="Y11:Z11"/>
    <mergeCell ref="B19:AR19"/>
    <mergeCell ref="C21:J21"/>
    <mergeCell ref="C22:J22"/>
    <mergeCell ref="C23:D23"/>
    <mergeCell ref="H23:J2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B1:AS26"/>
  <sheetViews>
    <sheetView showGridLines="0" zoomScale="55" zoomScaleNormal="55" workbookViewId="0">
      <selection activeCell="G19" sqref="G19"/>
    </sheetView>
  </sheetViews>
  <sheetFormatPr baseColWidth="10" defaultColWidth="17.28515625" defaultRowHeight="15" customHeight="1"/>
  <cols>
    <col min="1" max="1" width="4.28515625" style="89" customWidth="1"/>
    <col min="2" max="2" width="42" style="86" customWidth="1"/>
    <col min="3" max="3" width="36.85546875" style="86" customWidth="1"/>
    <col min="4" max="4" width="21.42578125" style="87" customWidth="1"/>
    <col min="5" max="7" width="21.42578125" style="86" customWidth="1"/>
    <col min="8" max="8" width="28.5703125" style="86" customWidth="1"/>
    <col min="9" max="9" width="50" style="86" customWidth="1"/>
    <col min="10" max="10" width="28.5703125" style="88" customWidth="1"/>
    <col min="11" max="16" width="14.28515625" style="89" customWidth="1"/>
    <col min="17" max="17" width="17.5703125" style="89" customWidth="1"/>
    <col min="18" max="42" width="14.28515625" style="89" customWidth="1"/>
    <col min="43" max="45" width="17.85546875" style="89" customWidth="1"/>
    <col min="46" max="16384" width="17.28515625" style="89"/>
  </cols>
  <sheetData>
    <row r="1" spans="2:45" ht="18" thickBot="1"/>
    <row r="2" spans="2:45" ht="15.75">
      <c r="B2" s="658"/>
      <c r="C2" s="661" t="s">
        <v>59</v>
      </c>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3"/>
      <c r="AR2" s="670" t="s">
        <v>39</v>
      </c>
      <c r="AS2" s="671"/>
    </row>
    <row r="3" spans="2:45" ht="15.75">
      <c r="B3" s="659"/>
      <c r="C3" s="726"/>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6"/>
      <c r="AR3" s="90" t="s">
        <v>36</v>
      </c>
      <c r="AS3" s="533" t="s">
        <v>37</v>
      </c>
    </row>
    <row r="4" spans="2:45">
      <c r="B4" s="659"/>
      <c r="C4" s="726"/>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6"/>
      <c r="AR4" s="92">
        <v>3</v>
      </c>
      <c r="AS4" s="93" t="s">
        <v>102</v>
      </c>
    </row>
    <row r="5" spans="2:45" ht="15.75">
      <c r="B5" s="659"/>
      <c r="C5" s="726"/>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c r="AR5" s="724" t="s">
        <v>38</v>
      </c>
      <c r="AS5" s="725"/>
    </row>
    <row r="6" spans="2:45" ht="15.75" thickBot="1">
      <c r="B6" s="660"/>
      <c r="C6" s="667"/>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c r="AR6" s="674" t="s">
        <v>100</v>
      </c>
      <c r="AS6" s="675"/>
    </row>
    <row r="7" spans="2:45" ht="17.25">
      <c r="B7" s="94"/>
      <c r="C7" s="94"/>
      <c r="D7" s="95"/>
      <c r="E7" s="94"/>
      <c r="F7" s="94"/>
      <c r="G7" s="94"/>
      <c r="H7" s="94"/>
      <c r="I7" s="94"/>
      <c r="J7" s="96"/>
      <c r="AR7" s="730"/>
      <c r="AS7" s="731"/>
    </row>
    <row r="8" spans="2:45" ht="13.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5.75">
      <c r="B9" s="718" t="s">
        <v>35</v>
      </c>
      <c r="C9" s="718" t="s">
        <v>34</v>
      </c>
      <c r="D9" s="718" t="s">
        <v>63</v>
      </c>
      <c r="E9" s="718" t="s">
        <v>66</v>
      </c>
      <c r="F9" s="718" t="s">
        <v>67</v>
      </c>
      <c r="G9" s="718" t="s">
        <v>31</v>
      </c>
      <c r="H9" s="718" t="s">
        <v>25</v>
      </c>
      <c r="I9" s="718" t="s">
        <v>95</v>
      </c>
      <c r="J9" s="718"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716" t="s">
        <v>6</v>
      </c>
      <c r="AR9" s="717" t="s">
        <v>7</v>
      </c>
      <c r="AS9" s="717" t="s">
        <v>24</v>
      </c>
    </row>
    <row r="10" spans="2:45" ht="15.75">
      <c r="B10" s="718"/>
      <c r="C10" s="718"/>
      <c r="D10" s="718"/>
      <c r="E10" s="718"/>
      <c r="F10" s="718"/>
      <c r="G10" s="718"/>
      <c r="H10" s="718"/>
      <c r="I10" s="718"/>
      <c r="J10" s="718"/>
      <c r="K10" s="719" t="s">
        <v>26</v>
      </c>
      <c r="L10" s="719"/>
      <c r="M10" s="719"/>
      <c r="N10" s="719"/>
      <c r="O10" s="719"/>
      <c r="P10" s="719"/>
      <c r="Q10" s="719"/>
      <c r="R10" s="719"/>
      <c r="S10" s="719" t="s">
        <v>27</v>
      </c>
      <c r="T10" s="719"/>
      <c r="U10" s="719"/>
      <c r="V10" s="719"/>
      <c r="W10" s="719"/>
      <c r="X10" s="719"/>
      <c r="Y10" s="719"/>
      <c r="Z10" s="719"/>
      <c r="AA10" s="719" t="s">
        <v>28</v>
      </c>
      <c r="AB10" s="719"/>
      <c r="AC10" s="719"/>
      <c r="AD10" s="719"/>
      <c r="AE10" s="719"/>
      <c r="AF10" s="719"/>
      <c r="AG10" s="719"/>
      <c r="AH10" s="719"/>
      <c r="AI10" s="719" t="s">
        <v>29</v>
      </c>
      <c r="AJ10" s="719"/>
      <c r="AK10" s="719"/>
      <c r="AL10" s="719"/>
      <c r="AM10" s="719"/>
      <c r="AN10" s="719"/>
      <c r="AO10" s="719"/>
      <c r="AP10" s="719"/>
      <c r="AQ10" s="716"/>
      <c r="AR10" s="717"/>
      <c r="AS10" s="717"/>
    </row>
    <row r="11" spans="2:45" ht="15.75" customHeight="1">
      <c r="B11" s="718"/>
      <c r="C11" s="718"/>
      <c r="D11" s="718"/>
      <c r="E11" s="718"/>
      <c r="F11" s="718"/>
      <c r="G11" s="718"/>
      <c r="H11" s="718"/>
      <c r="I11" s="718"/>
      <c r="J11" s="718"/>
      <c r="K11" s="719" t="s">
        <v>8</v>
      </c>
      <c r="L11" s="719"/>
      <c r="M11" s="719" t="s">
        <v>9</v>
      </c>
      <c r="N11" s="719"/>
      <c r="O11" s="732" t="s">
        <v>10</v>
      </c>
      <c r="P11" s="733"/>
      <c r="Q11" s="720" t="s">
        <v>11</v>
      </c>
      <c r="R11" s="721"/>
      <c r="S11" s="719" t="s">
        <v>33</v>
      </c>
      <c r="T11" s="719"/>
      <c r="U11" s="719" t="s">
        <v>12</v>
      </c>
      <c r="V11" s="719"/>
      <c r="W11" s="719" t="s">
        <v>13</v>
      </c>
      <c r="X11" s="719"/>
      <c r="Y11" s="720" t="s">
        <v>11</v>
      </c>
      <c r="Z11" s="721"/>
      <c r="AA11" s="719" t="s">
        <v>14</v>
      </c>
      <c r="AB11" s="719"/>
      <c r="AC11" s="719" t="s">
        <v>15</v>
      </c>
      <c r="AD11" s="719"/>
      <c r="AE11" s="719" t="s">
        <v>16</v>
      </c>
      <c r="AF11" s="719"/>
      <c r="AG11" s="720" t="s">
        <v>11</v>
      </c>
      <c r="AH11" s="721"/>
      <c r="AI11" s="719" t="s">
        <v>17</v>
      </c>
      <c r="AJ11" s="719"/>
      <c r="AK11" s="719" t="s">
        <v>18</v>
      </c>
      <c r="AL11" s="719"/>
      <c r="AM11" s="719" t="s">
        <v>19</v>
      </c>
      <c r="AN11" s="719"/>
      <c r="AO11" s="720" t="s">
        <v>11</v>
      </c>
      <c r="AP11" s="721"/>
      <c r="AQ11" s="716"/>
      <c r="AR11" s="717"/>
      <c r="AS11" s="717"/>
    </row>
    <row r="12" spans="2:45" ht="13.5">
      <c r="B12" s="652"/>
      <c r="C12" s="652"/>
      <c r="D12" s="652"/>
      <c r="E12" s="652"/>
      <c r="F12" s="652"/>
      <c r="G12" s="652"/>
      <c r="H12" s="652"/>
      <c r="I12" s="652"/>
      <c r="J12" s="652"/>
      <c r="K12" s="22" t="s">
        <v>20</v>
      </c>
      <c r="L12" s="23" t="s">
        <v>21</v>
      </c>
      <c r="M12" s="22" t="s">
        <v>20</v>
      </c>
      <c r="N12" s="23" t="s">
        <v>21</v>
      </c>
      <c r="O12" s="22" t="s">
        <v>20</v>
      </c>
      <c r="P12" s="23" t="s">
        <v>21</v>
      </c>
      <c r="Q12" s="24" t="s">
        <v>20</v>
      </c>
      <c r="R12" s="25" t="s">
        <v>21</v>
      </c>
      <c r="S12" s="22" t="s">
        <v>20</v>
      </c>
      <c r="T12" s="23" t="s">
        <v>21</v>
      </c>
      <c r="U12" s="22" t="s">
        <v>20</v>
      </c>
      <c r="V12" s="23" t="s">
        <v>21</v>
      </c>
      <c r="W12" s="22" t="s">
        <v>20</v>
      </c>
      <c r="X12" s="23" t="s">
        <v>21</v>
      </c>
      <c r="Y12" s="24" t="s">
        <v>20</v>
      </c>
      <c r="Z12" s="25" t="s">
        <v>21</v>
      </c>
      <c r="AA12" s="22" t="s">
        <v>20</v>
      </c>
      <c r="AB12" s="23" t="s">
        <v>21</v>
      </c>
      <c r="AC12" s="22" t="s">
        <v>20</v>
      </c>
      <c r="AD12" s="23" t="s">
        <v>21</v>
      </c>
      <c r="AE12" s="22" t="s">
        <v>20</v>
      </c>
      <c r="AF12" s="23" t="s">
        <v>21</v>
      </c>
      <c r="AG12" s="24" t="s">
        <v>20</v>
      </c>
      <c r="AH12" s="25" t="s">
        <v>21</v>
      </c>
      <c r="AI12" s="22" t="s">
        <v>20</v>
      </c>
      <c r="AJ12" s="23" t="s">
        <v>21</v>
      </c>
      <c r="AK12" s="22" t="s">
        <v>20</v>
      </c>
      <c r="AL12" s="23" t="s">
        <v>21</v>
      </c>
      <c r="AM12" s="22" t="s">
        <v>20</v>
      </c>
      <c r="AN12" s="23" t="s">
        <v>21</v>
      </c>
      <c r="AO12" s="24" t="s">
        <v>20</v>
      </c>
      <c r="AP12" s="25" t="s">
        <v>21</v>
      </c>
      <c r="AQ12" s="716"/>
      <c r="AR12" s="717"/>
      <c r="AS12" s="717"/>
    </row>
    <row r="13" spans="2:45" ht="185.25">
      <c r="B13" s="149" t="s">
        <v>288</v>
      </c>
      <c r="C13" s="200" t="s">
        <v>426</v>
      </c>
      <c r="D13" s="142">
        <v>1</v>
      </c>
      <c r="E13" s="427" t="s">
        <v>289</v>
      </c>
      <c r="F13" s="171" t="s">
        <v>290</v>
      </c>
      <c r="G13" s="226">
        <v>0.999</v>
      </c>
      <c r="H13" s="201" t="s">
        <v>291</v>
      </c>
      <c r="I13" s="198" t="s">
        <v>292</v>
      </c>
      <c r="J13" s="202" t="s">
        <v>539</v>
      </c>
      <c r="K13" s="311">
        <v>1</v>
      </c>
      <c r="L13" s="311">
        <v>1</v>
      </c>
      <c r="M13" s="311">
        <v>1</v>
      </c>
      <c r="N13" s="311">
        <v>1</v>
      </c>
      <c r="O13" s="311">
        <v>1</v>
      </c>
      <c r="P13" s="311">
        <v>1</v>
      </c>
      <c r="Q13" s="321">
        <f>(K13+M13+O13)/3</f>
        <v>1</v>
      </c>
      <c r="R13" s="251">
        <f>IFERROR(IF(OR($AQ13="",$AQ13=0),0,ROUNDDOWN(AVERAGE(L13,N13,P13),3)),0)</f>
        <v>1</v>
      </c>
      <c r="S13" s="311">
        <v>1</v>
      </c>
      <c r="T13" s="315">
        <v>0.99</v>
      </c>
      <c r="U13" s="311">
        <v>1</v>
      </c>
      <c r="V13" s="315">
        <v>0.98699999999999999</v>
      </c>
      <c r="W13" s="311">
        <v>1</v>
      </c>
      <c r="X13" s="315">
        <v>0.97499999999999998</v>
      </c>
      <c r="Y13" s="321">
        <f>(S13+U13+W13)/3</f>
        <v>1</v>
      </c>
      <c r="Z13" s="251">
        <f>IFERROR(IF(OR($AQ13="",$AQ13=0),0,ROUNDDOWN(AVERAGE(T13,V13,X13),3)),0)</f>
        <v>0.98399999999999999</v>
      </c>
      <c r="AA13" s="311">
        <v>1</v>
      </c>
      <c r="AB13" s="315">
        <v>0.98489425981873113</v>
      </c>
      <c r="AC13" s="311">
        <v>1</v>
      </c>
      <c r="AD13" s="315">
        <v>0.9910714285714286</v>
      </c>
      <c r="AE13" s="322">
        <v>1</v>
      </c>
      <c r="AF13" s="316">
        <v>0.98673740053050396</v>
      </c>
      <c r="AG13" s="321">
        <f>(AA13+AC13+AE13)/3</f>
        <v>1</v>
      </c>
      <c r="AH13" s="251">
        <f>IFERROR(IF(OR($AQ13="",$AQ13=0),0,ROUNDDOWN(AVERAGE(AB13,AD13,AF13),3)),0)</f>
        <v>0.98699999999999999</v>
      </c>
      <c r="AI13" s="311">
        <v>1</v>
      </c>
      <c r="AJ13" s="315">
        <v>0.99399999999999999</v>
      </c>
      <c r="AK13" s="311">
        <v>1</v>
      </c>
      <c r="AL13" s="315">
        <v>1</v>
      </c>
      <c r="AM13" s="311">
        <v>1</v>
      </c>
      <c r="AN13" s="315">
        <v>0.99399999999999999</v>
      </c>
      <c r="AO13" s="321">
        <f>(AI13+AK13+AM13)/3</f>
        <v>1</v>
      </c>
      <c r="AP13" s="251">
        <f>IFERROR(IF(OR($AQ13="",$AQ13=0),0,ROUNDDOWN(AVERAGE(AJ13,AL13,AN13),3)),0)</f>
        <v>0.996</v>
      </c>
      <c r="AQ13" s="332">
        <f>(Q13+Y13+AG13+AO13)/4</f>
        <v>1</v>
      </c>
      <c r="AR13" s="252">
        <f>IFERROR(IF(OR(AQ13="",AQ13=0),0,ROUNDDOWN(AVERAGE(L13,N13,P13,T13,V13,X13,AB13,AD13,AF13,AJ13,AL13,AN13),3)),0)</f>
        <v>0.99099999999999999</v>
      </c>
      <c r="AS13" s="249">
        <f>IF(AND(AR13&gt;0,AQ13&gt;0),AR13/AQ13,0)</f>
        <v>0.99099999999999999</v>
      </c>
    </row>
    <row r="14" spans="2:45" ht="23.25">
      <c r="B14" s="713" t="s">
        <v>23</v>
      </c>
      <c r="C14" s="714"/>
      <c r="D14" s="714"/>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4"/>
      <c r="AN14" s="714"/>
      <c r="AO14" s="714"/>
      <c r="AP14" s="714"/>
      <c r="AQ14" s="714"/>
      <c r="AR14" s="715"/>
      <c r="AS14" s="317">
        <f>AVERAGE(AS13:AS13)</f>
        <v>0.99099999999999999</v>
      </c>
    </row>
    <row r="15" spans="2:45" ht="17.25">
      <c r="B15" s="112"/>
      <c r="C15" s="112"/>
      <c r="D15" s="113"/>
      <c r="E15" s="112"/>
      <c r="F15" s="112"/>
      <c r="G15" s="112"/>
      <c r="H15" s="112"/>
      <c r="I15" s="112"/>
      <c r="J15" s="114"/>
    </row>
    <row r="16" spans="2:45" ht="15.75">
      <c r="B16" s="54" t="s">
        <v>4</v>
      </c>
      <c r="C16" s="780"/>
      <c r="D16" s="728"/>
      <c r="E16" s="728"/>
      <c r="F16" s="728"/>
      <c r="G16" s="728"/>
      <c r="H16" s="728"/>
      <c r="I16" s="728"/>
      <c r="J16" s="729"/>
    </row>
    <row r="17" spans="2:10" ht="17.25">
      <c r="B17" s="112"/>
      <c r="C17" s="645"/>
      <c r="D17" s="645"/>
      <c r="E17" s="645"/>
      <c r="F17" s="645"/>
      <c r="G17" s="645"/>
      <c r="H17" s="645"/>
      <c r="I17" s="645"/>
      <c r="J17" s="645"/>
    </row>
    <row r="18" spans="2:10" ht="45.75" customHeight="1">
      <c r="B18" s="55" t="s">
        <v>32</v>
      </c>
      <c r="C18" s="820">
        <v>43812</v>
      </c>
      <c r="D18" s="811"/>
      <c r="E18" s="112"/>
      <c r="F18" s="112"/>
      <c r="G18" s="534" t="s">
        <v>22</v>
      </c>
      <c r="H18" s="722" t="s">
        <v>703</v>
      </c>
      <c r="I18" s="821"/>
      <c r="J18" s="821"/>
    </row>
    <row r="19" spans="2:10" ht="17.25">
      <c r="B19" s="112"/>
      <c r="C19" s="112"/>
      <c r="D19" s="113"/>
      <c r="E19" s="112"/>
      <c r="F19" s="112"/>
      <c r="G19" s="112"/>
      <c r="H19" s="112"/>
      <c r="I19" s="112"/>
      <c r="J19" s="114"/>
    </row>
    <row r="20" spans="2:10" ht="17.25">
      <c r="B20" s="112"/>
      <c r="C20" s="112"/>
      <c r="D20" s="113"/>
      <c r="E20" s="112"/>
      <c r="F20" s="112"/>
      <c r="G20" s="112"/>
      <c r="H20" s="112"/>
      <c r="I20" s="112"/>
      <c r="J20" s="114"/>
    </row>
    <row r="21" spans="2:10" ht="17.25">
      <c r="B21" s="112"/>
      <c r="C21" s="112"/>
      <c r="D21" s="113"/>
      <c r="E21" s="112"/>
      <c r="F21" s="112"/>
      <c r="G21" s="112"/>
      <c r="H21" s="112"/>
      <c r="I21" s="112"/>
      <c r="J21" s="114"/>
    </row>
    <row r="22" spans="2:10" ht="17.25">
      <c r="B22" s="112"/>
      <c r="C22" s="112"/>
      <c r="D22" s="113"/>
      <c r="E22" s="629"/>
      <c r="F22" s="629"/>
      <c r="G22" s="629"/>
      <c r="H22" s="629"/>
      <c r="I22" s="429"/>
      <c r="J22" s="112"/>
    </row>
    <row r="23" spans="2:10" ht="17.25">
      <c r="B23" s="112"/>
      <c r="C23" s="112"/>
      <c r="D23" s="113"/>
      <c r="E23" s="112"/>
      <c r="F23" s="112"/>
      <c r="G23" s="114"/>
      <c r="H23" s="112"/>
      <c r="I23" s="112"/>
      <c r="J23" s="112"/>
    </row>
    <row r="24" spans="2:10" ht="17.25">
      <c r="B24" s="112"/>
      <c r="C24" s="112"/>
      <c r="D24" s="113"/>
      <c r="E24" s="629"/>
      <c r="F24" s="629"/>
      <c r="G24" s="629"/>
      <c r="H24" s="629"/>
      <c r="I24" s="429"/>
      <c r="J24" s="112"/>
    </row>
    <row r="25" spans="2:10" ht="17.25">
      <c r="B25" s="112"/>
      <c r="C25" s="112"/>
      <c r="D25" s="113"/>
      <c r="E25" s="112"/>
      <c r="F25" s="112"/>
      <c r="G25" s="114"/>
      <c r="H25" s="112"/>
      <c r="I25" s="112"/>
      <c r="J25" s="112"/>
    </row>
    <row r="26" spans="2:10" ht="17.25">
      <c r="B26" s="112"/>
      <c r="C26" s="112"/>
      <c r="D26" s="113"/>
      <c r="E26" s="629"/>
      <c r="F26" s="629"/>
      <c r="G26" s="629"/>
      <c r="H26" s="629"/>
      <c r="I26" s="429"/>
      <c r="J26" s="112"/>
    </row>
  </sheetData>
  <sheetProtection algorithmName="SHA-512" hashValue="Y+Aup8DdbN8mQ54wEKaSyFLpKtjeJwhOOa9kEZ0aDz1weibJZjj5tB3QJsFIDBL4za3dpgOYNAS0+wjbz210ug==" saltValue="EiGS39KUQER2+Zx1nBVM8g==" spinCount="100000" sheet="1" objects="1" scenarios="1"/>
  <mergeCells count="48">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E22:H22"/>
    <mergeCell ref="E24:H24"/>
    <mergeCell ref="E26:H26"/>
    <mergeCell ref="AM11:AN11"/>
    <mergeCell ref="AO11:AP11"/>
    <mergeCell ref="B14:AR14"/>
    <mergeCell ref="C16:J16"/>
    <mergeCell ref="C17:J17"/>
    <mergeCell ref="C18:D18"/>
    <mergeCell ref="H18:J18"/>
    <mergeCell ref="AA11:AB11"/>
    <mergeCell ref="AC11:AD11"/>
    <mergeCell ref="AE11:AF11"/>
    <mergeCell ref="AG11:AH11"/>
    <mergeCell ref="AI11:AJ11"/>
    <mergeCell ref="AK11:AL1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1:AS26"/>
  <sheetViews>
    <sheetView showGridLines="0" zoomScale="55" zoomScaleNormal="55" workbookViewId="0">
      <selection activeCell="H19" sqref="H19"/>
    </sheetView>
  </sheetViews>
  <sheetFormatPr baseColWidth="10" defaultColWidth="17.28515625" defaultRowHeight="15" customHeight="1"/>
  <cols>
    <col min="1" max="1" width="4.28515625" style="89" customWidth="1"/>
    <col min="2" max="3" width="28.42578125" style="86" customWidth="1"/>
    <col min="4" max="4" width="21.42578125" style="87" customWidth="1"/>
    <col min="5" max="6" width="21.42578125" style="86" customWidth="1"/>
    <col min="7" max="7" width="24" style="86" customWidth="1"/>
    <col min="8" max="8" width="28.42578125" style="86" customWidth="1"/>
    <col min="9" max="9" width="50" style="86" customWidth="1"/>
    <col min="10" max="10" width="28.42578125" style="88" customWidth="1"/>
    <col min="11" max="42" width="14.28515625" style="89" customWidth="1"/>
    <col min="43" max="43" width="20.140625" style="89" customWidth="1"/>
    <col min="44" max="44" width="17.28515625" style="89" customWidth="1"/>
    <col min="45" max="45" width="15" style="89" customWidth="1"/>
    <col min="46" max="16384" width="17.28515625" style="89"/>
  </cols>
  <sheetData>
    <row r="1" spans="2:45" ht="18" thickBot="1"/>
    <row r="2" spans="2:45" ht="15.75">
      <c r="B2" s="658"/>
      <c r="C2" s="661" t="s">
        <v>59</v>
      </c>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3"/>
      <c r="AR2" s="670" t="s">
        <v>39</v>
      </c>
      <c r="AS2" s="671"/>
    </row>
    <row r="3" spans="2:45" ht="15.75">
      <c r="B3" s="659"/>
      <c r="C3" s="837"/>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6"/>
      <c r="AR3" s="90" t="s">
        <v>36</v>
      </c>
      <c r="AS3" s="533" t="s">
        <v>37</v>
      </c>
    </row>
    <row r="4" spans="2:45">
      <c r="B4" s="659"/>
      <c r="C4" s="837"/>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6"/>
      <c r="AR4" s="92">
        <v>3</v>
      </c>
      <c r="AS4" s="93" t="s">
        <v>102</v>
      </c>
    </row>
    <row r="5" spans="2:45" ht="15.75">
      <c r="B5" s="659"/>
      <c r="C5" s="837"/>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c r="AR5" s="672" t="s">
        <v>38</v>
      </c>
      <c r="AS5" s="673"/>
    </row>
    <row r="6" spans="2:45" ht="15.75" thickBot="1">
      <c r="B6" s="660"/>
      <c r="C6" s="667"/>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c r="AR6" s="674" t="s">
        <v>100</v>
      </c>
      <c r="AS6" s="675"/>
    </row>
    <row r="7" spans="2:45" ht="17.25">
      <c r="B7" s="94"/>
      <c r="C7" s="94"/>
      <c r="D7" s="95"/>
      <c r="E7" s="94"/>
      <c r="F7" s="94"/>
      <c r="G7" s="94"/>
      <c r="H7" s="94"/>
      <c r="I7" s="94"/>
      <c r="J7" s="96"/>
      <c r="AR7" s="656"/>
      <c r="AS7" s="657"/>
    </row>
    <row r="8" spans="2:45" ht="13.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5.75">
      <c r="B9" s="835" t="s">
        <v>35</v>
      </c>
      <c r="C9" s="835" t="s">
        <v>34</v>
      </c>
      <c r="D9" s="835" t="s">
        <v>63</v>
      </c>
      <c r="E9" s="835" t="s">
        <v>66</v>
      </c>
      <c r="F9" s="835" t="s">
        <v>67</v>
      </c>
      <c r="G9" s="835" t="s">
        <v>31</v>
      </c>
      <c r="H9" s="835" t="s">
        <v>25</v>
      </c>
      <c r="I9" s="835" t="s">
        <v>95</v>
      </c>
      <c r="J9" s="835"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836" t="s">
        <v>6</v>
      </c>
      <c r="AR9" s="717" t="s">
        <v>7</v>
      </c>
      <c r="AS9" s="717" t="s">
        <v>24</v>
      </c>
    </row>
    <row r="10" spans="2:45" ht="15.75">
      <c r="B10" s="835"/>
      <c r="C10" s="835"/>
      <c r="D10" s="835"/>
      <c r="E10" s="835"/>
      <c r="F10" s="835"/>
      <c r="G10" s="835"/>
      <c r="H10" s="835"/>
      <c r="I10" s="835"/>
      <c r="J10" s="835"/>
      <c r="K10" s="822" t="s">
        <v>26</v>
      </c>
      <c r="L10" s="822"/>
      <c r="M10" s="822"/>
      <c r="N10" s="822"/>
      <c r="O10" s="822"/>
      <c r="P10" s="822"/>
      <c r="Q10" s="822"/>
      <c r="R10" s="822"/>
      <c r="S10" s="822" t="s">
        <v>27</v>
      </c>
      <c r="T10" s="822"/>
      <c r="U10" s="822"/>
      <c r="V10" s="822"/>
      <c r="W10" s="822"/>
      <c r="X10" s="822"/>
      <c r="Y10" s="822"/>
      <c r="Z10" s="822"/>
      <c r="AA10" s="822" t="s">
        <v>28</v>
      </c>
      <c r="AB10" s="822"/>
      <c r="AC10" s="822"/>
      <c r="AD10" s="822"/>
      <c r="AE10" s="822"/>
      <c r="AF10" s="822"/>
      <c r="AG10" s="822"/>
      <c r="AH10" s="822"/>
      <c r="AI10" s="822" t="s">
        <v>29</v>
      </c>
      <c r="AJ10" s="822"/>
      <c r="AK10" s="822"/>
      <c r="AL10" s="822"/>
      <c r="AM10" s="822"/>
      <c r="AN10" s="822"/>
      <c r="AO10" s="822"/>
      <c r="AP10" s="822"/>
      <c r="AQ10" s="836"/>
      <c r="AR10" s="717"/>
      <c r="AS10" s="717"/>
    </row>
    <row r="11" spans="2:45" ht="15.75">
      <c r="B11" s="835"/>
      <c r="C11" s="835"/>
      <c r="D11" s="835"/>
      <c r="E11" s="835"/>
      <c r="F11" s="835"/>
      <c r="G11" s="835"/>
      <c r="H11" s="835"/>
      <c r="I11" s="835"/>
      <c r="J11" s="835"/>
      <c r="K11" s="822" t="s">
        <v>8</v>
      </c>
      <c r="L11" s="822"/>
      <c r="M11" s="822" t="s">
        <v>9</v>
      </c>
      <c r="N11" s="822"/>
      <c r="O11" s="833" t="s">
        <v>10</v>
      </c>
      <c r="P11" s="834"/>
      <c r="Q11" s="823" t="s">
        <v>11</v>
      </c>
      <c r="R11" s="824"/>
      <c r="S11" s="822" t="s">
        <v>33</v>
      </c>
      <c r="T11" s="822"/>
      <c r="U11" s="822" t="s">
        <v>12</v>
      </c>
      <c r="V11" s="822"/>
      <c r="W11" s="822" t="s">
        <v>13</v>
      </c>
      <c r="X11" s="822"/>
      <c r="Y11" s="823" t="s">
        <v>11</v>
      </c>
      <c r="Z11" s="824"/>
      <c r="AA11" s="822" t="s">
        <v>14</v>
      </c>
      <c r="AB11" s="822"/>
      <c r="AC11" s="822" t="s">
        <v>15</v>
      </c>
      <c r="AD11" s="822"/>
      <c r="AE11" s="822" t="s">
        <v>16</v>
      </c>
      <c r="AF11" s="822"/>
      <c r="AG11" s="823" t="s">
        <v>11</v>
      </c>
      <c r="AH11" s="824"/>
      <c r="AI11" s="822" t="s">
        <v>17</v>
      </c>
      <c r="AJ11" s="822"/>
      <c r="AK11" s="822" t="s">
        <v>18</v>
      </c>
      <c r="AL11" s="822"/>
      <c r="AM11" s="822" t="s">
        <v>19</v>
      </c>
      <c r="AN11" s="822"/>
      <c r="AO11" s="823" t="s">
        <v>30</v>
      </c>
      <c r="AP11" s="824"/>
      <c r="AQ11" s="836"/>
      <c r="AR11" s="717"/>
      <c r="AS11" s="717"/>
    </row>
    <row r="12" spans="2:45" ht="13.5">
      <c r="B12" s="652"/>
      <c r="C12" s="652"/>
      <c r="D12" s="652"/>
      <c r="E12" s="652"/>
      <c r="F12" s="652"/>
      <c r="G12" s="652"/>
      <c r="H12" s="652"/>
      <c r="I12" s="652"/>
      <c r="J12" s="652"/>
      <c r="K12" s="75" t="s">
        <v>20</v>
      </c>
      <c r="L12" s="255" t="s">
        <v>21</v>
      </c>
      <c r="M12" s="75" t="s">
        <v>20</v>
      </c>
      <c r="N12" s="255" t="s">
        <v>21</v>
      </c>
      <c r="O12" s="75" t="s">
        <v>20</v>
      </c>
      <c r="P12" s="255" t="s">
        <v>21</v>
      </c>
      <c r="Q12" s="77" t="s">
        <v>20</v>
      </c>
      <c r="R12" s="78" t="s">
        <v>21</v>
      </c>
      <c r="S12" s="75" t="s">
        <v>20</v>
      </c>
      <c r="T12" s="76" t="s">
        <v>21</v>
      </c>
      <c r="U12" s="75" t="s">
        <v>20</v>
      </c>
      <c r="V12" s="76" t="s">
        <v>21</v>
      </c>
      <c r="W12" s="75" t="s">
        <v>20</v>
      </c>
      <c r="X12" s="76" t="s">
        <v>21</v>
      </c>
      <c r="Y12" s="77" t="s">
        <v>20</v>
      </c>
      <c r="Z12" s="78" t="s">
        <v>21</v>
      </c>
      <c r="AA12" s="75" t="s">
        <v>20</v>
      </c>
      <c r="AB12" s="76" t="s">
        <v>21</v>
      </c>
      <c r="AC12" s="75" t="s">
        <v>20</v>
      </c>
      <c r="AD12" s="76" t="s">
        <v>21</v>
      </c>
      <c r="AE12" s="75" t="s">
        <v>20</v>
      </c>
      <c r="AF12" s="76" t="s">
        <v>21</v>
      </c>
      <c r="AG12" s="77" t="s">
        <v>20</v>
      </c>
      <c r="AH12" s="78" t="s">
        <v>21</v>
      </c>
      <c r="AI12" s="75" t="s">
        <v>20</v>
      </c>
      <c r="AJ12" s="76" t="s">
        <v>21</v>
      </c>
      <c r="AK12" s="75" t="s">
        <v>20</v>
      </c>
      <c r="AL12" s="76" t="s">
        <v>21</v>
      </c>
      <c r="AM12" s="75" t="s">
        <v>20</v>
      </c>
      <c r="AN12" s="76" t="s">
        <v>21</v>
      </c>
      <c r="AO12" s="77" t="s">
        <v>20</v>
      </c>
      <c r="AP12" s="78" t="s">
        <v>21</v>
      </c>
      <c r="AQ12" s="836"/>
      <c r="AR12" s="717"/>
      <c r="AS12" s="717"/>
    </row>
    <row r="13" spans="2:45" ht="165" customHeight="1">
      <c r="B13" s="430" t="s">
        <v>293</v>
      </c>
      <c r="C13" s="203" t="s">
        <v>427</v>
      </c>
      <c r="D13" s="204">
        <v>0.95</v>
      </c>
      <c r="E13" s="204" t="s">
        <v>294</v>
      </c>
      <c r="F13" s="430" t="s">
        <v>295</v>
      </c>
      <c r="G13" s="209">
        <v>1</v>
      </c>
      <c r="H13" s="205" t="s">
        <v>296</v>
      </c>
      <c r="I13" s="206" t="s">
        <v>297</v>
      </c>
      <c r="J13" s="207" t="s">
        <v>540</v>
      </c>
      <c r="K13" s="308">
        <v>0.2</v>
      </c>
      <c r="L13" s="333">
        <v>4.8000000000000001E-2</v>
      </c>
      <c r="M13" s="308">
        <v>0.3</v>
      </c>
      <c r="N13" s="333">
        <v>0.16700000000000001</v>
      </c>
      <c r="O13" s="308">
        <v>0.4</v>
      </c>
      <c r="P13" s="333">
        <v>0.35099999999999998</v>
      </c>
      <c r="Q13" s="244">
        <v>0.4</v>
      </c>
      <c r="R13" s="244">
        <f>P13</f>
        <v>0.35099999999999998</v>
      </c>
      <c r="S13" s="308">
        <v>0.43</v>
      </c>
      <c r="T13" s="139">
        <v>0.42899999999999999</v>
      </c>
      <c r="U13" s="308">
        <v>0.46</v>
      </c>
      <c r="V13" s="139">
        <v>0.53800000000000003</v>
      </c>
      <c r="W13" s="308">
        <v>0.5</v>
      </c>
      <c r="X13" s="139">
        <v>0.56299999999999994</v>
      </c>
      <c r="Y13" s="244">
        <v>0.5</v>
      </c>
      <c r="Z13" s="140">
        <f>X13</f>
        <v>0.56299999999999994</v>
      </c>
      <c r="AA13" s="308">
        <v>0.65</v>
      </c>
      <c r="AB13" s="139">
        <v>0.67600000000000005</v>
      </c>
      <c r="AC13" s="308">
        <v>0.75</v>
      </c>
      <c r="AD13" s="139">
        <v>0.72699999999999998</v>
      </c>
      <c r="AE13" s="313">
        <v>0.85</v>
      </c>
      <c r="AF13" s="256">
        <v>0.84899999999999998</v>
      </c>
      <c r="AG13" s="140">
        <f>AE13</f>
        <v>0.85</v>
      </c>
      <c r="AH13" s="140">
        <f>AF13</f>
        <v>0.84899999999999998</v>
      </c>
      <c r="AI13" s="308">
        <v>0.87</v>
      </c>
      <c r="AJ13" s="139">
        <v>0.89800000000000002</v>
      </c>
      <c r="AK13" s="308">
        <v>0.9</v>
      </c>
      <c r="AL13" s="139">
        <v>0.91800000000000004</v>
      </c>
      <c r="AM13" s="308">
        <v>0.95</v>
      </c>
      <c r="AN13" s="139">
        <v>0.95699999999999996</v>
      </c>
      <c r="AO13" s="244">
        <f>+AM13</f>
        <v>0.95</v>
      </c>
      <c r="AP13" s="140">
        <f>AN13</f>
        <v>0.95699999999999996</v>
      </c>
      <c r="AQ13" s="244">
        <f>+AO13</f>
        <v>0.95</v>
      </c>
      <c r="AR13" s="140">
        <f>AP13</f>
        <v>0.95699999999999996</v>
      </c>
      <c r="AS13" s="244">
        <f>IF(AND(AR13&gt;0,AQ13&gt;0),AR13/AQ13,0)</f>
        <v>1.0073684210526317</v>
      </c>
    </row>
    <row r="14" spans="2:45" ht="23.25">
      <c r="B14" s="825" t="s">
        <v>23</v>
      </c>
      <c r="C14" s="826"/>
      <c r="D14" s="826"/>
      <c r="E14" s="826"/>
      <c r="F14" s="826"/>
      <c r="G14" s="826"/>
      <c r="H14" s="826"/>
      <c r="I14" s="826"/>
      <c r="J14" s="826"/>
      <c r="K14" s="826"/>
      <c r="L14" s="826"/>
      <c r="M14" s="826"/>
      <c r="N14" s="826"/>
      <c r="O14" s="826"/>
      <c r="P14" s="826"/>
      <c r="Q14" s="826"/>
      <c r="R14" s="826"/>
      <c r="S14" s="826"/>
      <c r="T14" s="826"/>
      <c r="U14" s="826"/>
      <c r="V14" s="826"/>
      <c r="W14" s="826"/>
      <c r="X14" s="826"/>
      <c r="Y14" s="826"/>
      <c r="Z14" s="826"/>
      <c r="AA14" s="826"/>
      <c r="AB14" s="826"/>
      <c r="AC14" s="826"/>
      <c r="AD14" s="826"/>
      <c r="AE14" s="826"/>
      <c r="AF14" s="826"/>
      <c r="AG14" s="826"/>
      <c r="AH14" s="826"/>
      <c r="AI14" s="826"/>
      <c r="AJ14" s="826"/>
      <c r="AK14" s="826"/>
      <c r="AL14" s="826"/>
      <c r="AM14" s="826"/>
      <c r="AN14" s="826"/>
      <c r="AO14" s="826"/>
      <c r="AP14" s="826"/>
      <c r="AQ14" s="826"/>
      <c r="AR14" s="827"/>
      <c r="AS14" s="317">
        <f>AVERAGE(AS13:AS13)</f>
        <v>1.0073684210526317</v>
      </c>
    </row>
    <row r="15" spans="2:45" ht="17.25">
      <c r="B15" s="112"/>
      <c r="C15" s="112"/>
      <c r="D15" s="113"/>
      <c r="E15" s="112"/>
      <c r="F15" s="112"/>
      <c r="G15" s="112"/>
      <c r="H15" s="112"/>
      <c r="I15" s="112"/>
      <c r="J15" s="114"/>
    </row>
    <row r="16" spans="2:45" ht="15.75">
      <c r="B16" s="79" t="s">
        <v>4</v>
      </c>
      <c r="C16" s="828"/>
      <c r="D16" s="829"/>
      <c r="E16" s="829"/>
      <c r="F16" s="829"/>
      <c r="G16" s="829"/>
      <c r="H16" s="829"/>
      <c r="I16" s="829"/>
      <c r="J16" s="830"/>
    </row>
    <row r="17" spans="2:30" ht="17.25">
      <c r="B17" s="112"/>
      <c r="C17" s="645"/>
      <c r="D17" s="645"/>
      <c r="E17" s="645"/>
      <c r="F17" s="645"/>
      <c r="G17" s="645"/>
      <c r="H17" s="645"/>
      <c r="I17" s="645"/>
      <c r="J17" s="645"/>
      <c r="AB17" s="553"/>
      <c r="AC17" s="553"/>
      <c r="AD17" s="553"/>
    </row>
    <row r="18" spans="2:30" ht="49.5" customHeight="1">
      <c r="B18" s="80" t="s">
        <v>32</v>
      </c>
      <c r="C18" s="702" t="s">
        <v>824</v>
      </c>
      <c r="D18" s="703"/>
      <c r="E18" s="112"/>
      <c r="F18" s="112"/>
      <c r="G18" s="554" t="s">
        <v>22</v>
      </c>
      <c r="H18" s="831" t="s">
        <v>897</v>
      </c>
      <c r="I18" s="832"/>
      <c r="J18" s="832"/>
      <c r="AB18" s="555"/>
      <c r="AC18" s="555"/>
      <c r="AD18" s="555"/>
    </row>
    <row r="19" spans="2:30" ht="17.25">
      <c r="B19" s="112"/>
      <c r="C19" s="112"/>
      <c r="D19" s="113"/>
      <c r="E19" s="112"/>
      <c r="F19" s="112"/>
      <c r="G19" s="112"/>
      <c r="H19" s="112"/>
      <c r="I19" s="112"/>
      <c r="J19" s="114"/>
      <c r="AB19" s="556"/>
      <c r="AC19" s="556"/>
      <c r="AD19" s="556"/>
    </row>
    <row r="20" spans="2:30" ht="17.25">
      <c r="B20" s="112"/>
      <c r="C20" s="112"/>
      <c r="D20" s="113"/>
      <c r="E20" s="112"/>
      <c r="F20" s="112"/>
      <c r="G20" s="112"/>
      <c r="H20" s="112"/>
      <c r="I20" s="112"/>
      <c r="J20" s="114"/>
    </row>
    <row r="21" spans="2:30" ht="17.25">
      <c r="B21" s="112"/>
      <c r="C21" s="112"/>
      <c r="D21" s="113"/>
      <c r="E21" s="112"/>
      <c r="F21" s="112"/>
      <c r="G21" s="112"/>
      <c r="H21" s="112"/>
      <c r="I21" s="112"/>
      <c r="J21" s="114"/>
    </row>
    <row r="22" spans="2:30" ht="17.25">
      <c r="B22" s="112"/>
      <c r="C22" s="112"/>
      <c r="D22" s="113"/>
      <c r="E22" s="629"/>
      <c r="F22" s="629"/>
      <c r="G22" s="629"/>
      <c r="H22" s="629"/>
      <c r="I22" s="429"/>
      <c r="J22" s="112"/>
    </row>
    <row r="23" spans="2:30" ht="17.25">
      <c r="B23" s="112"/>
      <c r="C23" s="112"/>
      <c r="D23" s="113"/>
      <c r="E23" s="112"/>
      <c r="F23" s="112"/>
      <c r="G23" s="114"/>
      <c r="H23" s="112"/>
      <c r="I23" s="112"/>
      <c r="J23" s="112"/>
    </row>
    <row r="24" spans="2:30" ht="17.25">
      <c r="B24" s="112"/>
      <c r="C24" s="112"/>
      <c r="D24" s="113"/>
      <c r="E24" s="629"/>
      <c r="F24" s="629"/>
      <c r="G24" s="629"/>
      <c r="H24" s="629"/>
      <c r="I24" s="429"/>
      <c r="J24" s="112"/>
    </row>
    <row r="25" spans="2:30" ht="17.25">
      <c r="B25" s="112"/>
      <c r="C25" s="112"/>
      <c r="D25" s="113"/>
      <c r="E25" s="112"/>
      <c r="F25" s="112"/>
      <c r="G25" s="114"/>
      <c r="H25" s="112"/>
      <c r="I25" s="112"/>
      <c r="J25" s="112"/>
    </row>
    <row r="26" spans="2:30" ht="17.25">
      <c r="B26" s="112"/>
      <c r="C26" s="112"/>
      <c r="D26" s="113"/>
      <c r="E26" s="629"/>
      <c r="F26" s="629"/>
      <c r="G26" s="629"/>
      <c r="H26" s="629"/>
      <c r="I26" s="429"/>
      <c r="J26" s="112"/>
    </row>
  </sheetData>
  <sheetProtection algorithmName="SHA-512" hashValue="smdOby0YImDvsQGUleZV0kWsk0/mC+PyP8uE5/gMgxPndlAS7TEIJQMFyYXlH91wRl+yUJikJY5OduOz1FO34A==" saltValue="aRslsOjar4bevzdvcpJyOw==" spinCount="100000" sheet="1" objects="1" scenarios="1"/>
  <mergeCells count="48">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2:H22"/>
    <mergeCell ref="E24:H24"/>
    <mergeCell ref="E26:H26"/>
    <mergeCell ref="AM11:AN11"/>
    <mergeCell ref="W11:X11"/>
    <mergeCell ref="Y11:Z11"/>
    <mergeCell ref="B14:AR14"/>
    <mergeCell ref="C16:J16"/>
    <mergeCell ref="C17:J17"/>
    <mergeCell ref="C18:D18"/>
    <mergeCell ref="H18:J18"/>
  </mergeCells>
  <conditionalFormatting sqref="AB18:AD18">
    <cfRule type="expression" dxfId="9" priority="1">
      <formula>IF($C$19="Sumatoria_de_Una_Variable",1,0)</formula>
    </cfRule>
  </conditionalFormatting>
  <dataValidations count="1">
    <dataValidation type="custom" allowBlank="1" showInputMessage="1" showErrorMessage="1" errorTitle="Variable 2" error="Solo se debe diligenciar esta fila para los tipos de formula denominados Sumatoria_de_Dos_Variables y División_de_Variables" sqref="AB18:AD18" xr:uid="{3D66137F-C716-4B1B-BBD2-6F58E3B0BB3C}">
      <formula1>$C$19&lt;&gt;"Sumatoria_de_Una_Variable"</formula1>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B1:AS28"/>
  <sheetViews>
    <sheetView showGridLines="0" topLeftCell="Z1" zoomScale="55" zoomScaleNormal="55" workbookViewId="0">
      <selection activeCell="AN13" sqref="AN13"/>
    </sheetView>
  </sheetViews>
  <sheetFormatPr baseColWidth="10" defaultColWidth="17.28515625" defaultRowHeight="15" customHeight="1"/>
  <cols>
    <col min="1" max="1" width="4.28515625" style="89" customWidth="1"/>
    <col min="2" max="2" width="35" style="86" customWidth="1"/>
    <col min="3" max="3" width="26.85546875" style="86" customWidth="1"/>
    <col min="4" max="4" width="18.7109375" style="87" customWidth="1"/>
    <col min="5" max="5" width="30.28515625" style="86" customWidth="1"/>
    <col min="6" max="6" width="33.140625" style="86" customWidth="1"/>
    <col min="7" max="7" width="23.7109375" style="86" customWidth="1"/>
    <col min="8" max="8" width="33.7109375" style="86" customWidth="1"/>
    <col min="9" max="9" width="54.28515625" style="86" customWidth="1"/>
    <col min="10" max="10" width="28.5703125" style="88" customWidth="1"/>
    <col min="11" max="42" width="16.140625" style="89" customWidth="1"/>
    <col min="43" max="45" width="19.42578125" style="89" customWidth="1"/>
    <col min="46" max="16384" width="17.28515625" style="89"/>
  </cols>
  <sheetData>
    <row r="1" spans="2:45" ht="18" thickBot="1"/>
    <row r="2" spans="2:45" ht="15.75">
      <c r="B2" s="658"/>
      <c r="C2" s="661" t="s">
        <v>59</v>
      </c>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3"/>
      <c r="AR2" s="670" t="s">
        <v>39</v>
      </c>
      <c r="AS2" s="671"/>
    </row>
    <row r="3" spans="2:45" ht="15.75">
      <c r="B3" s="659"/>
      <c r="C3" s="726"/>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6"/>
      <c r="AR3" s="532" t="s">
        <v>36</v>
      </c>
      <c r="AS3" s="91" t="s">
        <v>37</v>
      </c>
    </row>
    <row r="4" spans="2:45">
      <c r="B4" s="659"/>
      <c r="C4" s="726"/>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6"/>
      <c r="AR4" s="92">
        <v>3</v>
      </c>
      <c r="AS4" s="93" t="s">
        <v>102</v>
      </c>
    </row>
    <row r="5" spans="2:45" ht="15.75">
      <c r="B5" s="659"/>
      <c r="C5" s="726"/>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c r="AR5" s="672" t="s">
        <v>38</v>
      </c>
      <c r="AS5" s="673"/>
    </row>
    <row r="6" spans="2:45" ht="15.75" thickBot="1">
      <c r="B6" s="660"/>
      <c r="C6" s="667"/>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c r="AR6" s="674" t="s">
        <v>100</v>
      </c>
      <c r="AS6" s="675"/>
    </row>
    <row r="7" spans="2:45" ht="17.25">
      <c r="B7" s="94"/>
      <c r="C7" s="94"/>
      <c r="D7" s="95"/>
      <c r="E7" s="94"/>
      <c r="F7" s="94"/>
      <c r="G7" s="94"/>
      <c r="H7" s="94"/>
      <c r="I7" s="94"/>
      <c r="J7" s="96"/>
      <c r="AR7" s="730"/>
      <c r="AS7" s="731"/>
    </row>
    <row r="8" spans="2:45" ht="13.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5.75">
      <c r="B9" s="718" t="s">
        <v>35</v>
      </c>
      <c r="C9" s="718" t="s">
        <v>34</v>
      </c>
      <c r="D9" s="718" t="s">
        <v>63</v>
      </c>
      <c r="E9" s="718" t="s">
        <v>66</v>
      </c>
      <c r="F9" s="718" t="s">
        <v>67</v>
      </c>
      <c r="G9" s="718" t="s">
        <v>31</v>
      </c>
      <c r="H9" s="718" t="s">
        <v>25</v>
      </c>
      <c r="I9" s="718" t="s">
        <v>95</v>
      </c>
      <c r="J9" s="718"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716" t="s">
        <v>6</v>
      </c>
      <c r="AR9" s="717" t="s">
        <v>7</v>
      </c>
      <c r="AS9" s="717" t="s">
        <v>24</v>
      </c>
    </row>
    <row r="10" spans="2:45" ht="15.75">
      <c r="B10" s="718"/>
      <c r="C10" s="718"/>
      <c r="D10" s="718"/>
      <c r="E10" s="718"/>
      <c r="F10" s="718"/>
      <c r="G10" s="718"/>
      <c r="H10" s="718"/>
      <c r="I10" s="718"/>
      <c r="J10" s="718"/>
      <c r="K10" s="719" t="s">
        <v>26</v>
      </c>
      <c r="L10" s="719"/>
      <c r="M10" s="719"/>
      <c r="N10" s="719"/>
      <c r="O10" s="719"/>
      <c r="P10" s="719"/>
      <c r="Q10" s="719"/>
      <c r="R10" s="719"/>
      <c r="S10" s="719" t="s">
        <v>27</v>
      </c>
      <c r="T10" s="719"/>
      <c r="U10" s="719"/>
      <c r="V10" s="719"/>
      <c r="W10" s="719"/>
      <c r="X10" s="719"/>
      <c r="Y10" s="719"/>
      <c r="Z10" s="719"/>
      <c r="AA10" s="719" t="s">
        <v>28</v>
      </c>
      <c r="AB10" s="719"/>
      <c r="AC10" s="719"/>
      <c r="AD10" s="719"/>
      <c r="AE10" s="719"/>
      <c r="AF10" s="719"/>
      <c r="AG10" s="719"/>
      <c r="AH10" s="719"/>
      <c r="AI10" s="719" t="s">
        <v>29</v>
      </c>
      <c r="AJ10" s="719"/>
      <c r="AK10" s="719"/>
      <c r="AL10" s="719"/>
      <c r="AM10" s="719"/>
      <c r="AN10" s="719"/>
      <c r="AO10" s="719"/>
      <c r="AP10" s="719"/>
      <c r="AQ10" s="716"/>
      <c r="AR10" s="717"/>
      <c r="AS10" s="717"/>
    </row>
    <row r="11" spans="2:45" ht="15.75">
      <c r="B11" s="718"/>
      <c r="C11" s="718"/>
      <c r="D11" s="718"/>
      <c r="E11" s="718"/>
      <c r="F11" s="718"/>
      <c r="G11" s="718"/>
      <c r="H11" s="718"/>
      <c r="I11" s="718"/>
      <c r="J11" s="718"/>
      <c r="K11" s="719" t="s">
        <v>8</v>
      </c>
      <c r="L11" s="719"/>
      <c r="M11" s="719" t="s">
        <v>9</v>
      </c>
      <c r="N11" s="719"/>
      <c r="O11" s="732" t="s">
        <v>10</v>
      </c>
      <c r="P11" s="733"/>
      <c r="Q11" s="720" t="s">
        <v>11</v>
      </c>
      <c r="R11" s="721"/>
      <c r="S11" s="719" t="s">
        <v>33</v>
      </c>
      <c r="T11" s="719"/>
      <c r="U11" s="719" t="s">
        <v>12</v>
      </c>
      <c r="V11" s="719"/>
      <c r="W11" s="719" t="s">
        <v>13</v>
      </c>
      <c r="X11" s="719"/>
      <c r="Y11" s="720" t="s">
        <v>11</v>
      </c>
      <c r="Z11" s="721"/>
      <c r="AA11" s="719" t="s">
        <v>14</v>
      </c>
      <c r="AB11" s="719"/>
      <c r="AC11" s="719" t="s">
        <v>15</v>
      </c>
      <c r="AD11" s="719"/>
      <c r="AE11" s="719" t="s">
        <v>16</v>
      </c>
      <c r="AF11" s="719"/>
      <c r="AG11" s="720" t="s">
        <v>11</v>
      </c>
      <c r="AH11" s="721"/>
      <c r="AI11" s="719" t="s">
        <v>17</v>
      </c>
      <c r="AJ11" s="719"/>
      <c r="AK11" s="719" t="s">
        <v>18</v>
      </c>
      <c r="AL11" s="719"/>
      <c r="AM11" s="719" t="s">
        <v>19</v>
      </c>
      <c r="AN11" s="719"/>
      <c r="AO11" s="720" t="s">
        <v>11</v>
      </c>
      <c r="AP11" s="721"/>
      <c r="AQ11" s="716"/>
      <c r="AR11" s="717"/>
      <c r="AS11" s="717"/>
    </row>
    <row r="12" spans="2:45" ht="13.5">
      <c r="B12" s="652"/>
      <c r="C12" s="652"/>
      <c r="D12" s="652"/>
      <c r="E12" s="652"/>
      <c r="F12" s="652"/>
      <c r="G12" s="652"/>
      <c r="H12" s="652"/>
      <c r="I12" s="652"/>
      <c r="J12" s="652"/>
      <c r="K12" s="75" t="s">
        <v>20</v>
      </c>
      <c r="L12" s="76" t="s">
        <v>21</v>
      </c>
      <c r="M12" s="75" t="s">
        <v>20</v>
      </c>
      <c r="N12" s="76" t="s">
        <v>21</v>
      </c>
      <c r="O12" s="75" t="s">
        <v>20</v>
      </c>
      <c r="P12" s="76" t="s">
        <v>21</v>
      </c>
      <c r="Q12" s="77" t="s">
        <v>20</v>
      </c>
      <c r="R12" s="78" t="s">
        <v>21</v>
      </c>
      <c r="S12" s="75" t="s">
        <v>20</v>
      </c>
      <c r="T12" s="76" t="s">
        <v>21</v>
      </c>
      <c r="U12" s="75" t="s">
        <v>20</v>
      </c>
      <c r="V12" s="76" t="s">
        <v>21</v>
      </c>
      <c r="W12" s="75" t="s">
        <v>20</v>
      </c>
      <c r="X12" s="76" t="s">
        <v>21</v>
      </c>
      <c r="Y12" s="77" t="s">
        <v>20</v>
      </c>
      <c r="Z12" s="78" t="s">
        <v>21</v>
      </c>
      <c r="AA12" s="75" t="s">
        <v>20</v>
      </c>
      <c r="AB12" s="76" t="s">
        <v>21</v>
      </c>
      <c r="AC12" s="75" t="s">
        <v>20</v>
      </c>
      <c r="AD12" s="76" t="s">
        <v>21</v>
      </c>
      <c r="AE12" s="75" t="s">
        <v>20</v>
      </c>
      <c r="AF12" s="76" t="s">
        <v>21</v>
      </c>
      <c r="AG12" s="77" t="s">
        <v>20</v>
      </c>
      <c r="AH12" s="78" t="s">
        <v>21</v>
      </c>
      <c r="AI12" s="75" t="s">
        <v>20</v>
      </c>
      <c r="AJ12" s="76" t="s">
        <v>21</v>
      </c>
      <c r="AK12" s="75" t="s">
        <v>20</v>
      </c>
      <c r="AL12" s="76" t="s">
        <v>21</v>
      </c>
      <c r="AM12" s="75" t="s">
        <v>20</v>
      </c>
      <c r="AN12" s="76" t="s">
        <v>21</v>
      </c>
      <c r="AO12" s="77" t="s">
        <v>20</v>
      </c>
      <c r="AP12" s="78" t="s">
        <v>21</v>
      </c>
      <c r="AQ12" s="716"/>
      <c r="AR12" s="717"/>
      <c r="AS12" s="717"/>
    </row>
    <row r="13" spans="2:45" ht="227.25" customHeight="1">
      <c r="B13" s="838" t="s">
        <v>311</v>
      </c>
      <c r="C13" s="336" t="s">
        <v>428</v>
      </c>
      <c r="D13" s="337">
        <v>0.35</v>
      </c>
      <c r="E13" s="338" t="s">
        <v>298</v>
      </c>
      <c r="F13" s="339" t="s">
        <v>299</v>
      </c>
      <c r="G13" s="340" t="s">
        <v>556</v>
      </c>
      <c r="H13" s="341" t="s">
        <v>300</v>
      </c>
      <c r="I13" s="342" t="s">
        <v>301</v>
      </c>
      <c r="J13" s="343" t="s">
        <v>538</v>
      </c>
      <c r="K13" s="308">
        <v>0.7</v>
      </c>
      <c r="L13" s="139">
        <v>1</v>
      </c>
      <c r="M13" s="308">
        <v>0.7</v>
      </c>
      <c r="N13" s="139">
        <v>1</v>
      </c>
      <c r="O13" s="308">
        <v>0.7</v>
      </c>
      <c r="P13" s="139">
        <v>1</v>
      </c>
      <c r="Q13" s="247">
        <f>(K13+M13+O13)/3</f>
        <v>0.69999999999999984</v>
      </c>
      <c r="R13" s="251">
        <f>IFERROR(IF(OR($AQ13="",$AQ13=0),0,ROUNDDOWN(AVERAGE(L13,N13,P13),3)),0)</f>
        <v>1</v>
      </c>
      <c r="S13" s="308">
        <v>0.7</v>
      </c>
      <c r="T13" s="139">
        <v>0</v>
      </c>
      <c r="U13" s="308">
        <v>0.7</v>
      </c>
      <c r="V13" s="139">
        <v>0</v>
      </c>
      <c r="W13" s="308">
        <v>0.7</v>
      </c>
      <c r="X13" s="139">
        <v>0</v>
      </c>
      <c r="Y13" s="247">
        <f>(S13+U13+W13)/3</f>
        <v>0.69999999999999984</v>
      </c>
      <c r="Z13" s="251">
        <f>IFERROR(IF(OR($AQ13="",$AQ13=0),0,ROUNDDOWN(AVERAGE(T13,V13,X13),3)),0)</f>
        <v>0</v>
      </c>
      <c r="AA13" s="308">
        <v>0</v>
      </c>
      <c r="AB13" s="139">
        <v>0</v>
      </c>
      <c r="AC13" s="308">
        <v>0</v>
      </c>
      <c r="AD13" s="139">
        <v>0</v>
      </c>
      <c r="AE13" s="308">
        <v>0</v>
      </c>
      <c r="AF13" s="139">
        <v>4.8000000000000001E-2</v>
      </c>
      <c r="AG13" s="247">
        <f>(AA13+AC13+AE13)/3</f>
        <v>0</v>
      </c>
      <c r="AH13" s="251">
        <f>IFERROR(IF(OR($AQ13="",$AQ13=0),0,ROUNDDOWN(AVERAGE(AB13,AD13,AF13),3)),0)</f>
        <v>1.6E-2</v>
      </c>
      <c r="AI13" s="308">
        <v>0</v>
      </c>
      <c r="AJ13" s="139">
        <v>1</v>
      </c>
      <c r="AK13" s="308">
        <v>0</v>
      </c>
      <c r="AL13" s="139">
        <v>1</v>
      </c>
      <c r="AM13" s="308">
        <v>0</v>
      </c>
      <c r="AN13" s="139">
        <v>1</v>
      </c>
      <c r="AO13" s="247">
        <f>(AI13+AK13+AM13)/3</f>
        <v>0</v>
      </c>
      <c r="AP13" s="251">
        <f>IFERROR(IF(OR($AQ13="",$AQ13=0),0,ROUNDDOWN(AVERAGE(AJ13,AL13,AN13),3)),0)</f>
        <v>1</v>
      </c>
      <c r="AQ13" s="334">
        <f>(Q13+Y13+AG13+AO13)/4</f>
        <v>0.34999999999999992</v>
      </c>
      <c r="AR13" s="252">
        <f>IFERROR(IF(OR(AQ13="",AQ13=0),0,ROUNDDOWN(AVERAGE(L13,N13,P13,T13,V13,X13,AB13,AD13,AF13,AJ13,AL13,AN13),3)),0)</f>
        <v>0.504</v>
      </c>
      <c r="AS13" s="244">
        <f>IF(AND(AR13&gt;0,AQ13&gt;0),AR13/AQ13,0)</f>
        <v>1.4400000000000004</v>
      </c>
    </row>
    <row r="14" spans="2:45" ht="240" customHeight="1">
      <c r="B14" s="762"/>
      <c r="C14" s="344" t="s">
        <v>490</v>
      </c>
      <c r="D14" s="345" t="s">
        <v>302</v>
      </c>
      <c r="E14" s="346" t="s">
        <v>303</v>
      </c>
      <c r="F14" s="347" t="s">
        <v>557</v>
      </c>
      <c r="G14" s="348" t="s">
        <v>558</v>
      </c>
      <c r="H14" s="349" t="s">
        <v>304</v>
      </c>
      <c r="I14" s="349" t="s">
        <v>305</v>
      </c>
      <c r="J14" s="343" t="s">
        <v>538</v>
      </c>
      <c r="K14" s="128">
        <v>1</v>
      </c>
      <c r="L14" s="128">
        <v>1</v>
      </c>
      <c r="M14" s="128">
        <v>2</v>
      </c>
      <c r="N14" s="128">
        <v>2</v>
      </c>
      <c r="O14" s="128">
        <v>2</v>
      </c>
      <c r="P14" s="128">
        <v>2</v>
      </c>
      <c r="Q14" s="130">
        <f t="shared" ref="Q14:R15" si="0">K14+M14+O14</f>
        <v>5</v>
      </c>
      <c r="R14" s="130">
        <f t="shared" si="0"/>
        <v>5</v>
      </c>
      <c r="S14" s="128">
        <v>3</v>
      </c>
      <c r="T14" s="128">
        <v>3</v>
      </c>
      <c r="U14" s="128">
        <v>3</v>
      </c>
      <c r="V14" s="128">
        <v>3</v>
      </c>
      <c r="W14" s="128">
        <v>3</v>
      </c>
      <c r="X14" s="128">
        <v>3</v>
      </c>
      <c r="Y14" s="130">
        <f t="shared" ref="Y14:Z15" si="1">S14+U14+W14</f>
        <v>9</v>
      </c>
      <c r="Z14" s="130">
        <f t="shared" si="1"/>
        <v>9</v>
      </c>
      <c r="AA14" s="128">
        <v>3</v>
      </c>
      <c r="AB14" s="128">
        <v>5</v>
      </c>
      <c r="AC14" s="128">
        <v>3</v>
      </c>
      <c r="AD14" s="128">
        <v>5</v>
      </c>
      <c r="AE14" s="128">
        <v>3</v>
      </c>
      <c r="AF14" s="128">
        <v>3</v>
      </c>
      <c r="AG14" s="130">
        <f t="shared" ref="AG14:AH15" si="2">AA14+AC14+AE14</f>
        <v>9</v>
      </c>
      <c r="AH14" s="130">
        <f t="shared" si="2"/>
        <v>13</v>
      </c>
      <c r="AI14" s="128">
        <v>3</v>
      </c>
      <c r="AJ14" s="128">
        <v>1</v>
      </c>
      <c r="AK14" s="128">
        <v>3</v>
      </c>
      <c r="AL14" s="128">
        <v>3</v>
      </c>
      <c r="AM14" s="128">
        <v>1</v>
      </c>
      <c r="AN14" s="128">
        <v>1</v>
      </c>
      <c r="AO14" s="130">
        <f t="shared" ref="AO14:AP15" si="3">AI14+AK14+AM14</f>
        <v>7</v>
      </c>
      <c r="AP14" s="130">
        <f t="shared" si="3"/>
        <v>5</v>
      </c>
      <c r="AQ14" s="164">
        <f t="shared" ref="AQ14:AR15" si="4">Q14+Y14+AG14+AO14</f>
        <v>30</v>
      </c>
      <c r="AR14" s="165">
        <f t="shared" si="4"/>
        <v>32</v>
      </c>
      <c r="AS14" s="244">
        <f>IF(AND(AR14&gt;0,AQ14&gt;0),AR14/AQ14,0)</f>
        <v>1.0666666666666667</v>
      </c>
    </row>
    <row r="15" spans="2:45" ht="226.5" customHeight="1">
      <c r="B15" s="762"/>
      <c r="C15" s="344" t="s">
        <v>491</v>
      </c>
      <c r="D15" s="345" t="s">
        <v>791</v>
      </c>
      <c r="E15" s="346" t="s">
        <v>306</v>
      </c>
      <c r="F15" s="347" t="s">
        <v>307</v>
      </c>
      <c r="G15" s="348" t="s">
        <v>308</v>
      </c>
      <c r="H15" s="349" t="s">
        <v>309</v>
      </c>
      <c r="I15" s="349" t="s">
        <v>492</v>
      </c>
      <c r="J15" s="343" t="s">
        <v>538</v>
      </c>
      <c r="K15" s="128">
        <v>1</v>
      </c>
      <c r="L15" s="128">
        <v>1</v>
      </c>
      <c r="M15" s="128">
        <v>2</v>
      </c>
      <c r="N15" s="128">
        <v>2</v>
      </c>
      <c r="O15" s="128">
        <v>2</v>
      </c>
      <c r="P15" s="128">
        <v>2</v>
      </c>
      <c r="Q15" s="130">
        <f t="shared" si="0"/>
        <v>5</v>
      </c>
      <c r="R15" s="130">
        <f t="shared" si="0"/>
        <v>5</v>
      </c>
      <c r="S15" s="128">
        <v>3</v>
      </c>
      <c r="T15" s="128">
        <v>2</v>
      </c>
      <c r="U15" s="128">
        <v>3</v>
      </c>
      <c r="V15" s="128">
        <v>2</v>
      </c>
      <c r="W15" s="128">
        <v>3</v>
      </c>
      <c r="X15" s="128">
        <v>1</v>
      </c>
      <c r="Y15" s="130">
        <f t="shared" si="1"/>
        <v>9</v>
      </c>
      <c r="Z15" s="130">
        <f t="shared" si="1"/>
        <v>5</v>
      </c>
      <c r="AA15" s="128">
        <v>3</v>
      </c>
      <c r="AB15" s="128">
        <v>2</v>
      </c>
      <c r="AC15" s="128">
        <v>3</v>
      </c>
      <c r="AD15" s="128">
        <v>3</v>
      </c>
      <c r="AE15" s="128">
        <v>2</v>
      </c>
      <c r="AF15" s="128">
        <v>3</v>
      </c>
      <c r="AG15" s="130">
        <f t="shared" si="2"/>
        <v>8</v>
      </c>
      <c r="AH15" s="130">
        <f t="shared" si="2"/>
        <v>8</v>
      </c>
      <c r="AI15" s="128">
        <v>1</v>
      </c>
      <c r="AJ15" s="128">
        <v>3</v>
      </c>
      <c r="AK15" s="128">
        <v>1</v>
      </c>
      <c r="AL15" s="128">
        <v>3</v>
      </c>
      <c r="AM15" s="128">
        <v>1</v>
      </c>
      <c r="AN15" s="128">
        <v>2</v>
      </c>
      <c r="AO15" s="130">
        <f t="shared" si="3"/>
        <v>3</v>
      </c>
      <c r="AP15" s="130">
        <f t="shared" si="3"/>
        <v>8</v>
      </c>
      <c r="AQ15" s="164">
        <f t="shared" si="4"/>
        <v>25</v>
      </c>
      <c r="AR15" s="165">
        <f t="shared" si="4"/>
        <v>26</v>
      </c>
      <c r="AS15" s="244">
        <f>IF(AND(AR15&gt;0,AQ15&gt;0),AR15/AQ15,0)</f>
        <v>1.04</v>
      </c>
    </row>
    <row r="16" spans="2:45" ht="23.25">
      <c r="B16" s="713" t="s">
        <v>23</v>
      </c>
      <c r="C16" s="714"/>
      <c r="D16" s="714"/>
      <c r="E16" s="714"/>
      <c r="F16" s="714"/>
      <c r="G16" s="714"/>
      <c r="H16" s="714"/>
      <c r="I16" s="714"/>
      <c r="J16" s="714"/>
      <c r="K16" s="714"/>
      <c r="L16" s="714"/>
      <c r="M16" s="714"/>
      <c r="N16" s="714"/>
      <c r="O16" s="714"/>
      <c r="P16" s="714"/>
      <c r="Q16" s="714"/>
      <c r="R16" s="714"/>
      <c r="S16" s="714"/>
      <c r="T16" s="714"/>
      <c r="U16" s="714"/>
      <c r="V16" s="714"/>
      <c r="W16" s="714"/>
      <c r="X16" s="714"/>
      <c r="Y16" s="714"/>
      <c r="Z16" s="714"/>
      <c r="AA16" s="714"/>
      <c r="AB16" s="714"/>
      <c r="AC16" s="714"/>
      <c r="AD16" s="714"/>
      <c r="AE16" s="714"/>
      <c r="AF16" s="714"/>
      <c r="AG16" s="714"/>
      <c r="AH16" s="714"/>
      <c r="AI16" s="714"/>
      <c r="AJ16" s="714"/>
      <c r="AK16" s="714"/>
      <c r="AL16" s="714"/>
      <c r="AM16" s="714"/>
      <c r="AN16" s="714"/>
      <c r="AO16" s="714"/>
      <c r="AP16" s="714"/>
      <c r="AQ16" s="714"/>
      <c r="AR16" s="715"/>
      <c r="AS16" s="317">
        <f>AVERAGE(AS13:AS15)</f>
        <v>1.1822222222222223</v>
      </c>
    </row>
    <row r="17" spans="2:10" ht="17.25">
      <c r="B17" s="112"/>
      <c r="C17" s="112"/>
      <c r="D17" s="113"/>
      <c r="E17" s="112"/>
      <c r="F17" s="112"/>
      <c r="G17" s="112"/>
      <c r="H17" s="112"/>
      <c r="I17" s="112"/>
      <c r="J17" s="114"/>
    </row>
    <row r="18" spans="2:10" ht="15.75">
      <c r="B18" s="54" t="s">
        <v>4</v>
      </c>
      <c r="C18" s="780"/>
      <c r="D18" s="728"/>
      <c r="E18" s="728"/>
      <c r="F18" s="728"/>
      <c r="G18" s="728"/>
      <c r="H18" s="728"/>
      <c r="I18" s="728"/>
      <c r="J18" s="729"/>
    </row>
    <row r="19" spans="2:10" ht="17.25">
      <c r="B19" s="112"/>
      <c r="C19" s="645"/>
      <c r="D19" s="645"/>
      <c r="E19" s="645"/>
      <c r="F19" s="645"/>
      <c r="G19" s="645"/>
      <c r="H19" s="645"/>
      <c r="I19" s="645"/>
      <c r="J19" s="645"/>
    </row>
    <row r="20" spans="2:10" ht="36" customHeight="1">
      <c r="B20" s="55" t="s">
        <v>32</v>
      </c>
      <c r="C20" s="702" t="s">
        <v>823</v>
      </c>
      <c r="D20" s="703"/>
      <c r="E20" s="112"/>
      <c r="F20" s="112"/>
      <c r="G20" s="534" t="s">
        <v>22</v>
      </c>
      <c r="H20" s="839" t="s">
        <v>892</v>
      </c>
      <c r="I20" s="821"/>
      <c r="J20" s="821"/>
    </row>
    <row r="21" spans="2:10" ht="17.25">
      <c r="B21" s="112"/>
      <c r="C21" s="112"/>
      <c r="D21" s="113"/>
      <c r="E21" s="112"/>
      <c r="F21" s="112"/>
      <c r="G21" s="112"/>
      <c r="H21" s="112"/>
      <c r="I21" s="112"/>
      <c r="J21" s="114"/>
    </row>
    <row r="22" spans="2:10" ht="17.25">
      <c r="B22" s="112"/>
      <c r="C22" s="112"/>
      <c r="D22" s="113"/>
      <c r="E22" s="112"/>
      <c r="F22" s="112"/>
      <c r="G22" s="112"/>
      <c r="H22" s="112"/>
      <c r="I22" s="112"/>
      <c r="J22" s="114"/>
    </row>
    <row r="23" spans="2:10" ht="17.25">
      <c r="B23" s="112"/>
      <c r="C23" s="112"/>
      <c r="D23" s="113"/>
      <c r="E23" s="112"/>
      <c r="F23" s="112"/>
      <c r="G23" s="112"/>
      <c r="H23" s="112"/>
      <c r="I23" s="112"/>
      <c r="J23" s="114"/>
    </row>
    <row r="24" spans="2:10" ht="17.25">
      <c r="B24" s="112"/>
      <c r="C24" s="112"/>
      <c r="D24" s="113"/>
      <c r="E24" s="629"/>
      <c r="F24" s="629"/>
      <c r="G24" s="629"/>
      <c r="H24" s="629"/>
      <c r="I24" s="429"/>
      <c r="J24" s="112"/>
    </row>
    <row r="25" spans="2:10" ht="17.25">
      <c r="B25" s="112"/>
      <c r="C25" s="112"/>
      <c r="D25" s="113"/>
      <c r="E25" s="112"/>
      <c r="F25" s="112"/>
      <c r="G25" s="114"/>
      <c r="H25" s="112"/>
      <c r="I25" s="112"/>
      <c r="J25" s="112"/>
    </row>
    <row r="26" spans="2:10" ht="17.25">
      <c r="B26" s="112"/>
      <c r="C26" s="112"/>
      <c r="D26" s="113"/>
      <c r="E26" s="629"/>
      <c r="F26" s="629"/>
      <c r="G26" s="629"/>
      <c r="H26" s="629"/>
      <c r="I26" s="429"/>
      <c r="J26" s="112"/>
    </row>
    <row r="27" spans="2:10" ht="17.25">
      <c r="B27" s="112"/>
      <c r="C27" s="112"/>
      <c r="D27" s="113"/>
      <c r="E27" s="112"/>
      <c r="F27" s="112"/>
      <c r="G27" s="114"/>
      <c r="H27" s="112"/>
      <c r="I27" s="112"/>
      <c r="J27" s="112"/>
    </row>
    <row r="28" spans="2:10" ht="17.25">
      <c r="B28" s="112"/>
      <c r="C28" s="112"/>
      <c r="D28" s="113"/>
      <c r="E28" s="629"/>
      <c r="F28" s="629"/>
      <c r="G28" s="629"/>
      <c r="H28" s="629"/>
      <c r="I28" s="429"/>
      <c r="J28" s="112"/>
    </row>
  </sheetData>
  <sheetProtection algorithmName="SHA-512" hashValue="odkHGGIxT1J7xDdla8vel5M9iXPFk7S5FEhlhh9w2FhTqppja0ZtZUppLG5q0qvXFsuEb73Ny03CU2o6AfTghw==" saltValue="tLyVexRwo6beuru/ZS9gKA=="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4:H24"/>
    <mergeCell ref="E26:H26"/>
    <mergeCell ref="E28:H28"/>
    <mergeCell ref="B13:B15"/>
    <mergeCell ref="AM11:AN11"/>
    <mergeCell ref="W11:X11"/>
    <mergeCell ref="Y11:Z11"/>
    <mergeCell ref="B16:AR16"/>
    <mergeCell ref="C18:J18"/>
    <mergeCell ref="C19:J19"/>
    <mergeCell ref="C20:D20"/>
    <mergeCell ref="H20:J20"/>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B1:AS30"/>
  <sheetViews>
    <sheetView showGridLines="0" topLeftCell="A16" zoomScale="55" zoomScaleNormal="55" workbookViewId="0">
      <selection activeCell="AN13" sqref="AN13"/>
    </sheetView>
  </sheetViews>
  <sheetFormatPr baseColWidth="10" defaultColWidth="17.28515625" defaultRowHeight="15" customHeight="1"/>
  <cols>
    <col min="1" max="1" width="4.28515625" style="89" customWidth="1"/>
    <col min="2" max="2" width="46.42578125" style="86" customWidth="1"/>
    <col min="3" max="3" width="40.7109375" style="86" customWidth="1"/>
    <col min="4" max="4" width="21.42578125" style="87" customWidth="1"/>
    <col min="5" max="5" width="24.28515625" style="86" customWidth="1"/>
    <col min="6" max="6" width="30.5703125" style="86" customWidth="1"/>
    <col min="7" max="7" width="24.28515625" style="86" customWidth="1"/>
    <col min="8" max="8" width="28.5703125" style="86" customWidth="1"/>
    <col min="9" max="9" width="50" style="86" customWidth="1"/>
    <col min="10" max="10" width="28.5703125" style="88" customWidth="1"/>
    <col min="11" max="42" width="14.28515625" style="89" customWidth="1"/>
    <col min="43" max="43" width="14.85546875" style="89" customWidth="1"/>
    <col min="44" max="45" width="15" style="89" customWidth="1"/>
    <col min="46" max="16384" width="17.28515625" style="89"/>
  </cols>
  <sheetData>
    <row r="1" spans="2:45" ht="18" thickBot="1"/>
    <row r="2" spans="2:45" ht="15.75">
      <c r="B2" s="658"/>
      <c r="C2" s="843" t="s">
        <v>59</v>
      </c>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4"/>
      <c r="AI2" s="844"/>
      <c r="AJ2" s="844"/>
      <c r="AK2" s="844"/>
      <c r="AL2" s="844"/>
      <c r="AM2" s="844"/>
      <c r="AN2" s="844"/>
      <c r="AO2" s="844"/>
      <c r="AP2" s="844"/>
      <c r="AQ2" s="845"/>
      <c r="AR2" s="670" t="s">
        <v>39</v>
      </c>
      <c r="AS2" s="671"/>
    </row>
    <row r="3" spans="2:45" ht="15.75">
      <c r="B3" s="659"/>
      <c r="C3" s="846"/>
      <c r="D3" s="847"/>
      <c r="E3" s="847"/>
      <c r="F3" s="847"/>
      <c r="G3" s="847"/>
      <c r="H3" s="847"/>
      <c r="I3" s="847"/>
      <c r="J3" s="847"/>
      <c r="K3" s="847"/>
      <c r="L3" s="847"/>
      <c r="M3" s="847"/>
      <c r="N3" s="847"/>
      <c r="O3" s="847"/>
      <c r="P3" s="847"/>
      <c r="Q3" s="847"/>
      <c r="R3" s="847"/>
      <c r="S3" s="847"/>
      <c r="T3" s="847"/>
      <c r="U3" s="847"/>
      <c r="V3" s="847"/>
      <c r="W3" s="847"/>
      <c r="X3" s="847"/>
      <c r="Y3" s="847"/>
      <c r="Z3" s="847"/>
      <c r="AA3" s="847"/>
      <c r="AB3" s="847"/>
      <c r="AC3" s="847"/>
      <c r="AD3" s="847"/>
      <c r="AE3" s="847"/>
      <c r="AF3" s="847"/>
      <c r="AG3" s="847"/>
      <c r="AH3" s="847"/>
      <c r="AI3" s="847"/>
      <c r="AJ3" s="847"/>
      <c r="AK3" s="847"/>
      <c r="AL3" s="847"/>
      <c r="AM3" s="847"/>
      <c r="AN3" s="847"/>
      <c r="AO3" s="847"/>
      <c r="AP3" s="847"/>
      <c r="AQ3" s="848"/>
      <c r="AR3" s="532" t="s">
        <v>36</v>
      </c>
      <c r="AS3" s="91" t="s">
        <v>37</v>
      </c>
    </row>
    <row r="4" spans="2:45">
      <c r="B4" s="659"/>
      <c r="C4" s="846"/>
      <c r="D4" s="847"/>
      <c r="E4" s="847"/>
      <c r="F4" s="847"/>
      <c r="G4" s="847"/>
      <c r="H4" s="847"/>
      <c r="I4" s="847"/>
      <c r="J4" s="847"/>
      <c r="K4" s="847"/>
      <c r="L4" s="847"/>
      <c r="M4" s="847"/>
      <c r="N4" s="847"/>
      <c r="O4" s="847"/>
      <c r="P4" s="847"/>
      <c r="Q4" s="847"/>
      <c r="R4" s="847"/>
      <c r="S4" s="847"/>
      <c r="T4" s="847"/>
      <c r="U4" s="847"/>
      <c r="V4" s="847"/>
      <c r="W4" s="847"/>
      <c r="X4" s="847"/>
      <c r="Y4" s="847"/>
      <c r="Z4" s="847"/>
      <c r="AA4" s="847"/>
      <c r="AB4" s="847"/>
      <c r="AC4" s="847"/>
      <c r="AD4" s="847"/>
      <c r="AE4" s="847"/>
      <c r="AF4" s="847"/>
      <c r="AG4" s="847"/>
      <c r="AH4" s="847"/>
      <c r="AI4" s="847"/>
      <c r="AJ4" s="847"/>
      <c r="AK4" s="847"/>
      <c r="AL4" s="847"/>
      <c r="AM4" s="847"/>
      <c r="AN4" s="847"/>
      <c r="AO4" s="847"/>
      <c r="AP4" s="847"/>
      <c r="AQ4" s="848"/>
      <c r="AR4" s="92">
        <v>3</v>
      </c>
      <c r="AS4" s="93" t="s">
        <v>102</v>
      </c>
    </row>
    <row r="5" spans="2:45" ht="15.75">
      <c r="B5" s="659"/>
      <c r="C5" s="846"/>
      <c r="D5" s="847"/>
      <c r="E5" s="847"/>
      <c r="F5" s="847"/>
      <c r="G5" s="847"/>
      <c r="H5" s="847"/>
      <c r="I5" s="847"/>
      <c r="J5" s="847"/>
      <c r="K5" s="847"/>
      <c r="L5" s="847"/>
      <c r="M5" s="847"/>
      <c r="N5" s="847"/>
      <c r="O5" s="847"/>
      <c r="P5" s="847"/>
      <c r="Q5" s="847"/>
      <c r="R5" s="847"/>
      <c r="S5" s="847"/>
      <c r="T5" s="847"/>
      <c r="U5" s="847"/>
      <c r="V5" s="847"/>
      <c r="W5" s="847"/>
      <c r="X5" s="847"/>
      <c r="Y5" s="847"/>
      <c r="Z5" s="847"/>
      <c r="AA5" s="847"/>
      <c r="AB5" s="847"/>
      <c r="AC5" s="847"/>
      <c r="AD5" s="847"/>
      <c r="AE5" s="847"/>
      <c r="AF5" s="847"/>
      <c r="AG5" s="847"/>
      <c r="AH5" s="847"/>
      <c r="AI5" s="847"/>
      <c r="AJ5" s="847"/>
      <c r="AK5" s="847"/>
      <c r="AL5" s="847"/>
      <c r="AM5" s="847"/>
      <c r="AN5" s="847"/>
      <c r="AO5" s="847"/>
      <c r="AP5" s="847"/>
      <c r="AQ5" s="848"/>
      <c r="AR5" s="672" t="s">
        <v>38</v>
      </c>
      <c r="AS5" s="673"/>
    </row>
    <row r="6" spans="2:45" ht="15.75" thickBot="1">
      <c r="B6" s="660"/>
      <c r="C6" s="849"/>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c r="AE6" s="850"/>
      <c r="AF6" s="850"/>
      <c r="AG6" s="850"/>
      <c r="AH6" s="850"/>
      <c r="AI6" s="850"/>
      <c r="AJ6" s="850"/>
      <c r="AK6" s="850"/>
      <c r="AL6" s="850"/>
      <c r="AM6" s="850"/>
      <c r="AN6" s="850"/>
      <c r="AO6" s="850"/>
      <c r="AP6" s="850"/>
      <c r="AQ6" s="851"/>
      <c r="AR6" s="674" t="s">
        <v>100</v>
      </c>
      <c r="AS6" s="675"/>
    </row>
    <row r="7" spans="2:45" ht="17.25">
      <c r="B7" s="94"/>
      <c r="C7" s="94"/>
      <c r="D7" s="95"/>
      <c r="E7" s="94"/>
      <c r="F7" s="94"/>
      <c r="G7" s="94"/>
      <c r="H7" s="94"/>
      <c r="I7" s="94"/>
      <c r="J7" s="96"/>
      <c r="AR7" s="656"/>
      <c r="AS7" s="657"/>
    </row>
    <row r="8" spans="2:45" ht="13.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5.75">
      <c r="B9" s="835" t="s">
        <v>35</v>
      </c>
      <c r="C9" s="835" t="s">
        <v>34</v>
      </c>
      <c r="D9" s="835" t="s">
        <v>63</v>
      </c>
      <c r="E9" s="835" t="s">
        <v>66</v>
      </c>
      <c r="F9" s="835" t="s">
        <v>67</v>
      </c>
      <c r="G9" s="835" t="s">
        <v>31</v>
      </c>
      <c r="H9" s="835" t="s">
        <v>25</v>
      </c>
      <c r="I9" s="835" t="s">
        <v>95</v>
      </c>
      <c r="J9" s="835"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836" t="s">
        <v>6</v>
      </c>
      <c r="AR9" s="655" t="s">
        <v>7</v>
      </c>
      <c r="AS9" s="655" t="s">
        <v>24</v>
      </c>
    </row>
    <row r="10" spans="2:45" ht="15.75">
      <c r="B10" s="651"/>
      <c r="C10" s="651"/>
      <c r="D10" s="651"/>
      <c r="E10" s="651"/>
      <c r="F10" s="651"/>
      <c r="G10" s="651"/>
      <c r="H10" s="651"/>
      <c r="I10" s="651"/>
      <c r="J10" s="651"/>
      <c r="K10" s="822" t="s">
        <v>26</v>
      </c>
      <c r="L10" s="822"/>
      <c r="M10" s="822"/>
      <c r="N10" s="822"/>
      <c r="O10" s="822"/>
      <c r="P10" s="822"/>
      <c r="Q10" s="822"/>
      <c r="R10" s="822"/>
      <c r="S10" s="822" t="s">
        <v>27</v>
      </c>
      <c r="T10" s="822"/>
      <c r="U10" s="822"/>
      <c r="V10" s="822"/>
      <c r="W10" s="822"/>
      <c r="X10" s="822"/>
      <c r="Y10" s="822"/>
      <c r="Z10" s="822"/>
      <c r="AA10" s="822" t="s">
        <v>28</v>
      </c>
      <c r="AB10" s="822"/>
      <c r="AC10" s="822"/>
      <c r="AD10" s="822"/>
      <c r="AE10" s="822"/>
      <c r="AF10" s="822"/>
      <c r="AG10" s="822"/>
      <c r="AH10" s="822"/>
      <c r="AI10" s="822" t="s">
        <v>29</v>
      </c>
      <c r="AJ10" s="822"/>
      <c r="AK10" s="822"/>
      <c r="AL10" s="822"/>
      <c r="AM10" s="822"/>
      <c r="AN10" s="822"/>
      <c r="AO10" s="822"/>
      <c r="AP10" s="822"/>
      <c r="AQ10" s="654"/>
      <c r="AR10" s="655"/>
      <c r="AS10" s="655"/>
    </row>
    <row r="11" spans="2:45" ht="15.75" customHeight="1">
      <c r="B11" s="651"/>
      <c r="C11" s="651"/>
      <c r="D11" s="651"/>
      <c r="E11" s="651"/>
      <c r="F11" s="651"/>
      <c r="G11" s="651"/>
      <c r="H11" s="651"/>
      <c r="I11" s="651"/>
      <c r="J11" s="651"/>
      <c r="K11" s="822" t="s">
        <v>8</v>
      </c>
      <c r="L11" s="822"/>
      <c r="M11" s="822" t="s">
        <v>9</v>
      </c>
      <c r="N11" s="822"/>
      <c r="O11" s="833" t="s">
        <v>10</v>
      </c>
      <c r="P11" s="834"/>
      <c r="Q11" s="823" t="s">
        <v>11</v>
      </c>
      <c r="R11" s="824"/>
      <c r="S11" s="822" t="s">
        <v>33</v>
      </c>
      <c r="T11" s="822"/>
      <c r="U11" s="822" t="s">
        <v>12</v>
      </c>
      <c r="V11" s="822"/>
      <c r="W11" s="822" t="s">
        <v>13</v>
      </c>
      <c r="X11" s="822"/>
      <c r="Y11" s="823" t="s">
        <v>11</v>
      </c>
      <c r="Z11" s="824"/>
      <c r="AA11" s="822" t="s">
        <v>14</v>
      </c>
      <c r="AB11" s="822"/>
      <c r="AC11" s="822" t="s">
        <v>15</v>
      </c>
      <c r="AD11" s="822"/>
      <c r="AE11" s="822" t="s">
        <v>16</v>
      </c>
      <c r="AF11" s="822"/>
      <c r="AG11" s="823" t="s">
        <v>11</v>
      </c>
      <c r="AH11" s="824"/>
      <c r="AI11" s="822" t="s">
        <v>17</v>
      </c>
      <c r="AJ11" s="822"/>
      <c r="AK11" s="822" t="s">
        <v>18</v>
      </c>
      <c r="AL11" s="822"/>
      <c r="AM11" s="822" t="s">
        <v>19</v>
      </c>
      <c r="AN11" s="822"/>
      <c r="AO11" s="823" t="s">
        <v>11</v>
      </c>
      <c r="AP11" s="824"/>
      <c r="AQ11" s="654"/>
      <c r="AR11" s="655"/>
      <c r="AS11" s="655"/>
    </row>
    <row r="12" spans="2:45" ht="13.5">
      <c r="B12" s="652"/>
      <c r="C12" s="652"/>
      <c r="D12" s="652"/>
      <c r="E12" s="652"/>
      <c r="F12" s="652"/>
      <c r="G12" s="652"/>
      <c r="H12" s="652"/>
      <c r="I12" s="652"/>
      <c r="J12" s="652"/>
      <c r="K12" s="75" t="s">
        <v>20</v>
      </c>
      <c r="L12" s="76" t="s">
        <v>21</v>
      </c>
      <c r="M12" s="75" t="s">
        <v>20</v>
      </c>
      <c r="N12" s="76" t="s">
        <v>21</v>
      </c>
      <c r="O12" s="75" t="s">
        <v>20</v>
      </c>
      <c r="P12" s="76" t="s">
        <v>21</v>
      </c>
      <c r="Q12" s="77" t="s">
        <v>20</v>
      </c>
      <c r="R12" s="78" t="s">
        <v>21</v>
      </c>
      <c r="S12" s="75" t="s">
        <v>20</v>
      </c>
      <c r="T12" s="76" t="s">
        <v>21</v>
      </c>
      <c r="U12" s="75" t="s">
        <v>20</v>
      </c>
      <c r="V12" s="76" t="s">
        <v>21</v>
      </c>
      <c r="W12" s="75" t="s">
        <v>20</v>
      </c>
      <c r="X12" s="76" t="s">
        <v>21</v>
      </c>
      <c r="Y12" s="77" t="s">
        <v>20</v>
      </c>
      <c r="Z12" s="78" t="s">
        <v>21</v>
      </c>
      <c r="AA12" s="75" t="s">
        <v>20</v>
      </c>
      <c r="AB12" s="76" t="s">
        <v>21</v>
      </c>
      <c r="AC12" s="75" t="s">
        <v>20</v>
      </c>
      <c r="AD12" s="76" t="s">
        <v>21</v>
      </c>
      <c r="AE12" s="75" t="s">
        <v>20</v>
      </c>
      <c r="AF12" s="76" t="s">
        <v>21</v>
      </c>
      <c r="AG12" s="77" t="s">
        <v>20</v>
      </c>
      <c r="AH12" s="78" t="s">
        <v>21</v>
      </c>
      <c r="AI12" s="75" t="s">
        <v>20</v>
      </c>
      <c r="AJ12" s="76" t="s">
        <v>21</v>
      </c>
      <c r="AK12" s="75" t="s">
        <v>20</v>
      </c>
      <c r="AL12" s="76" t="s">
        <v>21</v>
      </c>
      <c r="AM12" s="75" t="s">
        <v>20</v>
      </c>
      <c r="AN12" s="76" t="s">
        <v>21</v>
      </c>
      <c r="AO12" s="77" t="s">
        <v>20</v>
      </c>
      <c r="AP12" s="78" t="s">
        <v>21</v>
      </c>
      <c r="AQ12" s="654"/>
      <c r="AR12" s="655"/>
      <c r="AS12" s="655"/>
    </row>
    <row r="13" spans="2:45" ht="150" customHeight="1">
      <c r="B13" s="840" t="s">
        <v>312</v>
      </c>
      <c r="C13" s="203" t="s">
        <v>429</v>
      </c>
      <c r="D13" s="204">
        <v>1</v>
      </c>
      <c r="E13" s="210" t="s">
        <v>759</v>
      </c>
      <c r="F13" s="211" t="s">
        <v>493</v>
      </c>
      <c r="G13" s="209" t="s">
        <v>167</v>
      </c>
      <c r="H13" s="205" t="s">
        <v>313</v>
      </c>
      <c r="I13" s="206" t="s">
        <v>314</v>
      </c>
      <c r="J13" s="207" t="s">
        <v>541</v>
      </c>
      <c r="K13" s="335">
        <v>1</v>
      </c>
      <c r="L13" s="139">
        <v>1</v>
      </c>
      <c r="M13" s="335">
        <v>1</v>
      </c>
      <c r="N13" s="139">
        <v>1</v>
      </c>
      <c r="O13" s="335">
        <v>1</v>
      </c>
      <c r="P13" s="139">
        <v>1</v>
      </c>
      <c r="Q13" s="244">
        <f>(K13+M13+O13)/3</f>
        <v>1</v>
      </c>
      <c r="R13" s="251">
        <f>IFERROR(IF(OR($AQ13="",$AQ13=0),0,ROUNDDOWN(AVERAGE(L13,N13,P13),3)),0)</f>
        <v>1</v>
      </c>
      <c r="S13" s="335">
        <v>1</v>
      </c>
      <c r="T13" s="139">
        <v>1</v>
      </c>
      <c r="U13" s="335">
        <v>1</v>
      </c>
      <c r="V13" s="139">
        <v>1</v>
      </c>
      <c r="W13" s="335">
        <v>1</v>
      </c>
      <c r="X13" s="139">
        <v>1</v>
      </c>
      <c r="Y13" s="244">
        <f>(S13+U13+W13)/3</f>
        <v>1</v>
      </c>
      <c r="Z13" s="251">
        <f>IFERROR(IF(OR($AQ13="",$AQ13=0),0,ROUNDDOWN(AVERAGE(T13,V13,X13),3)),0)</f>
        <v>1</v>
      </c>
      <c r="AA13" s="335">
        <v>1</v>
      </c>
      <c r="AB13" s="139">
        <v>1</v>
      </c>
      <c r="AC13" s="335">
        <v>1</v>
      </c>
      <c r="AD13" s="139">
        <v>1</v>
      </c>
      <c r="AE13" s="335">
        <v>1</v>
      </c>
      <c r="AF13" s="139">
        <v>1</v>
      </c>
      <c r="AG13" s="244">
        <f>(AA13+AC13+AE13)/3</f>
        <v>1</v>
      </c>
      <c r="AH13" s="251">
        <f>IFERROR(IF(OR($AQ13="",$AQ13=0),0,ROUNDDOWN(AVERAGE(AB13,AD13,AF13),3)),0)</f>
        <v>1</v>
      </c>
      <c r="AI13" s="335">
        <v>1</v>
      </c>
      <c r="AJ13" s="139">
        <v>1</v>
      </c>
      <c r="AK13" s="335">
        <v>1</v>
      </c>
      <c r="AL13" s="139">
        <v>1</v>
      </c>
      <c r="AM13" s="335">
        <v>1</v>
      </c>
      <c r="AN13" s="139">
        <v>1</v>
      </c>
      <c r="AO13" s="244">
        <f>(AI13+AK13+AM13)/3</f>
        <v>1</v>
      </c>
      <c r="AP13" s="251">
        <f>IFERROR(IF(OR($AQ13="",$AQ13=0),0,ROUNDDOWN(AVERAGE(AJ13,AL13,AN13),3)),0)</f>
        <v>1</v>
      </c>
      <c r="AQ13" s="244">
        <f>(Q13+Y13+AG13+AO13)/4</f>
        <v>1</v>
      </c>
      <c r="AR13" s="252">
        <f t="shared" ref="AR13:AR17" si="0">IFERROR(IF(OR(AQ13="",AQ13=0),0,ROUNDDOWN(AVERAGE(L13,N13,P13,T13,V13,X13,AB13,AD13,AF13,AJ13,AL13,AN13),3)),0)</f>
        <v>1</v>
      </c>
      <c r="AS13" s="244">
        <f>IF(AND(AR13&gt;0,AQ13&gt;0),AR13/AQ13,0)</f>
        <v>1</v>
      </c>
    </row>
    <row r="14" spans="2:45" ht="174" customHeight="1">
      <c r="B14" s="841"/>
      <c r="C14" s="203" t="s">
        <v>430</v>
      </c>
      <c r="D14" s="204">
        <v>1</v>
      </c>
      <c r="E14" s="210" t="s">
        <v>543</v>
      </c>
      <c r="F14" s="211" t="s">
        <v>315</v>
      </c>
      <c r="G14" s="209" t="s">
        <v>167</v>
      </c>
      <c r="H14" s="205" t="s">
        <v>313</v>
      </c>
      <c r="I14" s="206" t="s">
        <v>494</v>
      </c>
      <c r="J14" s="207" t="s">
        <v>541</v>
      </c>
      <c r="K14" s="335">
        <v>1</v>
      </c>
      <c r="L14" s="139">
        <v>1</v>
      </c>
      <c r="M14" s="335">
        <v>1</v>
      </c>
      <c r="N14" s="139">
        <v>1</v>
      </c>
      <c r="O14" s="335">
        <v>1</v>
      </c>
      <c r="P14" s="139">
        <v>1</v>
      </c>
      <c r="Q14" s="244">
        <f t="shared" ref="Q14:Q17" si="1">(K14+M14+O14)/3</f>
        <v>1</v>
      </c>
      <c r="R14" s="251">
        <f t="shared" ref="R14:R17" si="2">IFERROR(IF(OR(AQ14="",AQ14=0),0,ROUNDDOWN(AVERAGE(L14,N14,P14),3)),0)</f>
        <v>1</v>
      </c>
      <c r="S14" s="335">
        <v>1</v>
      </c>
      <c r="T14" s="139">
        <v>1</v>
      </c>
      <c r="U14" s="335">
        <v>1</v>
      </c>
      <c r="V14" s="139">
        <v>1</v>
      </c>
      <c r="W14" s="335">
        <v>1</v>
      </c>
      <c r="X14" s="139">
        <v>1</v>
      </c>
      <c r="Y14" s="244">
        <f t="shared" ref="Y14:Y17" si="3">(S14+U14+W14)/3</f>
        <v>1</v>
      </c>
      <c r="Z14" s="251">
        <f>IFERROR(IF(OR($AQ14="",$AQ14=0),0,ROUNDDOWN(AVERAGE(T14,V14,X14),3)),0)</f>
        <v>1</v>
      </c>
      <c r="AA14" s="335">
        <v>1</v>
      </c>
      <c r="AB14" s="139">
        <v>1</v>
      </c>
      <c r="AC14" s="335">
        <v>1</v>
      </c>
      <c r="AD14" s="139">
        <v>1</v>
      </c>
      <c r="AE14" s="335">
        <v>1</v>
      </c>
      <c r="AF14" s="139">
        <v>1</v>
      </c>
      <c r="AG14" s="244">
        <f t="shared" ref="AG14:AG17" si="4">(AA14+AC14+AE14)/3</f>
        <v>1</v>
      </c>
      <c r="AH14" s="251">
        <f>IFERROR(IF(OR($AQ14="",$AQ14=0),0,ROUNDDOWN(AVERAGE(AB14,AD14,AF14),3)),0)</f>
        <v>1</v>
      </c>
      <c r="AI14" s="335">
        <v>1</v>
      </c>
      <c r="AJ14" s="139">
        <v>1</v>
      </c>
      <c r="AK14" s="335">
        <v>1</v>
      </c>
      <c r="AL14" s="139">
        <v>1</v>
      </c>
      <c r="AM14" s="335">
        <v>1</v>
      </c>
      <c r="AN14" s="139">
        <v>1</v>
      </c>
      <c r="AO14" s="244">
        <f t="shared" ref="AO14:AO17" si="5">(AI14+AK14+AM14)/3</f>
        <v>1</v>
      </c>
      <c r="AP14" s="251">
        <f>IFERROR(IF(OR($AQ14="",$AQ14=0),0,ROUNDDOWN(AVERAGE(AJ14,AL14,AN14),3)),0)</f>
        <v>1</v>
      </c>
      <c r="AQ14" s="244">
        <f t="shared" ref="AQ14:AQ17" si="6">(Q14+Y14+AG14+AO14)/4</f>
        <v>1</v>
      </c>
      <c r="AR14" s="252">
        <f t="shared" si="0"/>
        <v>1</v>
      </c>
      <c r="AS14" s="244">
        <f>IF(AND(AR14&gt;0,AQ14&gt;0),AR14/AQ14,0)</f>
        <v>1</v>
      </c>
    </row>
    <row r="15" spans="2:45" ht="154.5" customHeight="1">
      <c r="B15" s="841"/>
      <c r="C15" s="208" t="s">
        <v>431</v>
      </c>
      <c r="D15" s="204">
        <v>1</v>
      </c>
      <c r="E15" s="210" t="s">
        <v>544</v>
      </c>
      <c r="F15" s="211" t="s">
        <v>495</v>
      </c>
      <c r="G15" s="209" t="s">
        <v>167</v>
      </c>
      <c r="H15" s="205" t="s">
        <v>496</v>
      </c>
      <c r="I15" s="206" t="s">
        <v>497</v>
      </c>
      <c r="J15" s="207" t="s">
        <v>541</v>
      </c>
      <c r="K15" s="335">
        <v>1</v>
      </c>
      <c r="L15" s="139">
        <v>1</v>
      </c>
      <c r="M15" s="335">
        <v>1</v>
      </c>
      <c r="N15" s="139">
        <v>1</v>
      </c>
      <c r="O15" s="335">
        <v>1</v>
      </c>
      <c r="P15" s="139">
        <v>1</v>
      </c>
      <c r="Q15" s="244">
        <f t="shared" si="1"/>
        <v>1</v>
      </c>
      <c r="R15" s="251">
        <f t="shared" si="2"/>
        <v>1</v>
      </c>
      <c r="S15" s="335">
        <v>1</v>
      </c>
      <c r="T15" s="139">
        <v>1</v>
      </c>
      <c r="U15" s="335">
        <v>1</v>
      </c>
      <c r="V15" s="139">
        <v>1</v>
      </c>
      <c r="W15" s="335">
        <v>1</v>
      </c>
      <c r="X15" s="139">
        <v>1</v>
      </c>
      <c r="Y15" s="244">
        <f t="shared" si="3"/>
        <v>1</v>
      </c>
      <c r="Z15" s="251">
        <f>IFERROR(IF(OR($AQ15="",$AQ15=0),0,ROUNDDOWN(AVERAGE(T15,V15,X15),3)),0)</f>
        <v>1</v>
      </c>
      <c r="AA15" s="335">
        <v>1</v>
      </c>
      <c r="AB15" s="139">
        <v>1</v>
      </c>
      <c r="AC15" s="335">
        <v>1</v>
      </c>
      <c r="AD15" s="139">
        <v>1</v>
      </c>
      <c r="AE15" s="335">
        <v>1</v>
      </c>
      <c r="AF15" s="139">
        <v>1</v>
      </c>
      <c r="AG15" s="244">
        <f t="shared" si="4"/>
        <v>1</v>
      </c>
      <c r="AH15" s="251">
        <f>IFERROR(IF(OR($AQ15="",$AQ15=0),0,ROUNDDOWN(AVERAGE(AB15,AD15,AF15),3)),0)</f>
        <v>1</v>
      </c>
      <c r="AI15" s="335">
        <v>1</v>
      </c>
      <c r="AJ15" s="139">
        <v>1</v>
      </c>
      <c r="AK15" s="335">
        <v>1</v>
      </c>
      <c r="AL15" s="139">
        <v>1</v>
      </c>
      <c r="AM15" s="335">
        <v>1</v>
      </c>
      <c r="AN15" s="139">
        <v>1</v>
      </c>
      <c r="AO15" s="244">
        <f t="shared" si="5"/>
        <v>1</v>
      </c>
      <c r="AP15" s="251">
        <f>IFERROR(IF(OR($AQ15="",$AQ15=0),0,ROUNDDOWN(AVERAGE(AJ15,AL15,AN15),3)),0)</f>
        <v>1</v>
      </c>
      <c r="AQ15" s="244">
        <f t="shared" si="6"/>
        <v>1</v>
      </c>
      <c r="AR15" s="252">
        <f t="shared" si="0"/>
        <v>1</v>
      </c>
      <c r="AS15" s="244">
        <f>IF(AND(AR15&gt;0,AQ15&gt;0),AR15/AQ15,0)</f>
        <v>1</v>
      </c>
    </row>
    <row r="16" spans="2:45" ht="147.75" customHeight="1">
      <c r="B16" s="841"/>
      <c r="C16" s="203" t="s">
        <v>432</v>
      </c>
      <c r="D16" s="204">
        <v>1</v>
      </c>
      <c r="E16" s="210" t="s">
        <v>498</v>
      </c>
      <c r="F16" s="211" t="s">
        <v>316</v>
      </c>
      <c r="G16" s="209" t="s">
        <v>167</v>
      </c>
      <c r="H16" s="205" t="s">
        <v>496</v>
      </c>
      <c r="I16" s="206" t="s">
        <v>501</v>
      </c>
      <c r="J16" s="207" t="s">
        <v>541</v>
      </c>
      <c r="K16" s="335">
        <v>1</v>
      </c>
      <c r="L16" s="139">
        <v>1</v>
      </c>
      <c r="M16" s="335">
        <v>1</v>
      </c>
      <c r="N16" s="139">
        <v>1</v>
      </c>
      <c r="O16" s="335">
        <v>1</v>
      </c>
      <c r="P16" s="139">
        <v>1</v>
      </c>
      <c r="Q16" s="244">
        <f t="shared" si="1"/>
        <v>1</v>
      </c>
      <c r="R16" s="251">
        <f t="shared" si="2"/>
        <v>1</v>
      </c>
      <c r="S16" s="335">
        <v>1</v>
      </c>
      <c r="T16" s="139">
        <v>1</v>
      </c>
      <c r="U16" s="335">
        <v>1</v>
      </c>
      <c r="V16" s="139">
        <v>1</v>
      </c>
      <c r="W16" s="335">
        <v>1</v>
      </c>
      <c r="X16" s="139">
        <v>1</v>
      </c>
      <c r="Y16" s="244">
        <f t="shared" si="3"/>
        <v>1</v>
      </c>
      <c r="Z16" s="251">
        <f>IFERROR(IF(OR($AQ16="",$AQ16=0),0,ROUNDDOWN(AVERAGE(T16,V16,X16),3)),0)</f>
        <v>1</v>
      </c>
      <c r="AA16" s="335">
        <v>1</v>
      </c>
      <c r="AB16" s="139">
        <v>1</v>
      </c>
      <c r="AC16" s="335">
        <v>1</v>
      </c>
      <c r="AD16" s="139">
        <v>1</v>
      </c>
      <c r="AE16" s="335">
        <v>1</v>
      </c>
      <c r="AF16" s="139">
        <v>1</v>
      </c>
      <c r="AG16" s="244">
        <f t="shared" si="4"/>
        <v>1</v>
      </c>
      <c r="AH16" s="251">
        <f>IFERROR(IF(OR($AQ16="",$AQ16=0),0,ROUNDDOWN(AVERAGE(AB16,AD16,AF16),3)),0)</f>
        <v>1</v>
      </c>
      <c r="AI16" s="335">
        <v>1</v>
      </c>
      <c r="AJ16" s="139">
        <v>1</v>
      </c>
      <c r="AK16" s="335">
        <v>1</v>
      </c>
      <c r="AL16" s="139">
        <v>1</v>
      </c>
      <c r="AM16" s="335">
        <v>1</v>
      </c>
      <c r="AN16" s="139">
        <v>1</v>
      </c>
      <c r="AO16" s="244">
        <f t="shared" si="5"/>
        <v>1</v>
      </c>
      <c r="AP16" s="251">
        <f>IFERROR(IF(OR($AQ16="",$AQ16=0),0,ROUNDDOWN(AVERAGE(AJ16,AL16,AN16),3)),0)</f>
        <v>1</v>
      </c>
      <c r="AQ16" s="244">
        <f t="shared" si="6"/>
        <v>1</v>
      </c>
      <c r="AR16" s="252">
        <f t="shared" si="0"/>
        <v>1</v>
      </c>
      <c r="AS16" s="244">
        <f>IF(AND(AR16&gt;0,AQ16&gt;0),AR16/AQ16,0)</f>
        <v>1</v>
      </c>
    </row>
    <row r="17" spans="2:45" ht="106.5" customHeight="1">
      <c r="B17" s="842"/>
      <c r="C17" s="203" t="s">
        <v>433</v>
      </c>
      <c r="D17" s="204">
        <v>1</v>
      </c>
      <c r="E17" s="210" t="s">
        <v>317</v>
      </c>
      <c r="F17" s="211" t="s">
        <v>318</v>
      </c>
      <c r="G17" s="209" t="s">
        <v>167</v>
      </c>
      <c r="H17" s="205" t="s">
        <v>499</v>
      </c>
      <c r="I17" s="206" t="s">
        <v>500</v>
      </c>
      <c r="J17" s="207" t="s">
        <v>541</v>
      </c>
      <c r="K17" s="335">
        <v>1</v>
      </c>
      <c r="L17" s="139">
        <v>1</v>
      </c>
      <c r="M17" s="335">
        <v>1</v>
      </c>
      <c r="N17" s="139">
        <v>1</v>
      </c>
      <c r="O17" s="335">
        <v>1</v>
      </c>
      <c r="P17" s="139">
        <v>1</v>
      </c>
      <c r="Q17" s="244">
        <f t="shared" si="1"/>
        <v>1</v>
      </c>
      <c r="R17" s="251">
        <f t="shared" si="2"/>
        <v>1</v>
      </c>
      <c r="S17" s="335">
        <v>1</v>
      </c>
      <c r="T17" s="139">
        <v>1</v>
      </c>
      <c r="U17" s="335">
        <v>1</v>
      </c>
      <c r="V17" s="139">
        <v>1</v>
      </c>
      <c r="W17" s="335">
        <v>1</v>
      </c>
      <c r="X17" s="139">
        <v>1</v>
      </c>
      <c r="Y17" s="244">
        <f t="shared" si="3"/>
        <v>1</v>
      </c>
      <c r="Z17" s="251">
        <f>IFERROR(IF(OR($AQ17="",$AQ17=0),0,ROUNDDOWN(AVERAGE(T17,V17,X17),3)),0)</f>
        <v>1</v>
      </c>
      <c r="AA17" s="335">
        <v>1</v>
      </c>
      <c r="AB17" s="139">
        <v>1</v>
      </c>
      <c r="AC17" s="335">
        <v>1</v>
      </c>
      <c r="AD17" s="139">
        <v>1</v>
      </c>
      <c r="AE17" s="335">
        <v>1</v>
      </c>
      <c r="AF17" s="139">
        <v>1</v>
      </c>
      <c r="AG17" s="244">
        <f t="shared" si="4"/>
        <v>1</v>
      </c>
      <c r="AH17" s="251">
        <f>IFERROR(IF(OR($AQ17="",$AQ17=0),0,ROUNDDOWN(AVERAGE(AB17,AD17,AF17),3)),0)</f>
        <v>1</v>
      </c>
      <c r="AI17" s="335">
        <v>1</v>
      </c>
      <c r="AJ17" s="139">
        <v>1</v>
      </c>
      <c r="AK17" s="335">
        <v>1</v>
      </c>
      <c r="AL17" s="139">
        <v>1</v>
      </c>
      <c r="AM17" s="335">
        <v>1</v>
      </c>
      <c r="AN17" s="139">
        <v>1</v>
      </c>
      <c r="AO17" s="244">
        <f t="shared" si="5"/>
        <v>1</v>
      </c>
      <c r="AP17" s="251">
        <f>IFERROR(IF(OR($AQ17="",$AQ17=0),0,ROUNDDOWN(AVERAGE(AJ17,AL17,AN17),3)),0)</f>
        <v>1</v>
      </c>
      <c r="AQ17" s="244">
        <f t="shared" si="6"/>
        <v>1</v>
      </c>
      <c r="AR17" s="252">
        <f t="shared" si="0"/>
        <v>1</v>
      </c>
      <c r="AS17" s="244">
        <f>IF(AND(AR17&gt;0,AQ17&gt;0),AR17/AQ17,0)</f>
        <v>1</v>
      </c>
    </row>
    <row r="18" spans="2:45" ht="23.25">
      <c r="B18" s="825" t="s">
        <v>23</v>
      </c>
      <c r="C18" s="826"/>
      <c r="D18" s="826"/>
      <c r="E18" s="826"/>
      <c r="F18" s="826"/>
      <c r="G18" s="826"/>
      <c r="H18" s="826"/>
      <c r="I18" s="826"/>
      <c r="J18" s="826"/>
      <c r="K18" s="826"/>
      <c r="L18" s="826"/>
      <c r="M18" s="826"/>
      <c r="N18" s="826"/>
      <c r="O18" s="826"/>
      <c r="P18" s="826"/>
      <c r="Q18" s="826"/>
      <c r="R18" s="826"/>
      <c r="S18" s="826"/>
      <c r="T18" s="826"/>
      <c r="U18" s="826"/>
      <c r="V18" s="826"/>
      <c r="W18" s="826"/>
      <c r="X18" s="826"/>
      <c r="Y18" s="826"/>
      <c r="Z18" s="826"/>
      <c r="AA18" s="826"/>
      <c r="AB18" s="826"/>
      <c r="AC18" s="826"/>
      <c r="AD18" s="826"/>
      <c r="AE18" s="826"/>
      <c r="AF18" s="826"/>
      <c r="AG18" s="826"/>
      <c r="AH18" s="826"/>
      <c r="AI18" s="826"/>
      <c r="AJ18" s="826"/>
      <c r="AK18" s="826"/>
      <c r="AL18" s="826"/>
      <c r="AM18" s="826"/>
      <c r="AN18" s="826"/>
      <c r="AO18" s="826"/>
      <c r="AP18" s="826"/>
      <c r="AQ18" s="826"/>
      <c r="AR18" s="827"/>
      <c r="AS18" s="245">
        <f>AVERAGE(AS13:AS17)</f>
        <v>1</v>
      </c>
    </row>
    <row r="19" spans="2:45" ht="17.25">
      <c r="B19" s="112"/>
      <c r="C19" s="112"/>
      <c r="D19" s="113"/>
      <c r="E19" s="112"/>
      <c r="F19" s="112"/>
      <c r="G19" s="112"/>
      <c r="H19" s="112"/>
      <c r="I19" s="112"/>
      <c r="J19" s="114"/>
    </row>
    <row r="20" spans="2:45" ht="15.75">
      <c r="B20" s="83" t="s">
        <v>4</v>
      </c>
      <c r="C20" s="637"/>
      <c r="D20" s="638"/>
      <c r="E20" s="638"/>
      <c r="F20" s="638"/>
      <c r="G20" s="638"/>
      <c r="H20" s="638"/>
      <c r="I20" s="638"/>
      <c r="J20" s="639"/>
    </row>
    <row r="21" spans="2:45" ht="17.25">
      <c r="B21" s="112"/>
      <c r="C21" s="645"/>
      <c r="D21" s="645"/>
      <c r="E21" s="645"/>
      <c r="F21" s="645"/>
      <c r="G21" s="645"/>
      <c r="H21" s="645"/>
      <c r="I21" s="645"/>
      <c r="J21" s="645"/>
    </row>
    <row r="22" spans="2:45" ht="17.25">
      <c r="B22" s="84" t="s">
        <v>32</v>
      </c>
      <c r="C22" s="625">
        <v>43812</v>
      </c>
      <c r="D22" s="626"/>
      <c r="E22" s="112"/>
      <c r="F22" s="112"/>
      <c r="G22" s="115" t="s">
        <v>22</v>
      </c>
      <c r="H22" s="627" t="s">
        <v>893</v>
      </c>
      <c r="I22" s="627"/>
      <c r="J22" s="627"/>
    </row>
    <row r="23" spans="2:45" ht="17.25">
      <c r="B23" s="112"/>
      <c r="C23" s="112"/>
      <c r="D23" s="113"/>
      <c r="E23" s="112"/>
      <c r="F23" s="112"/>
      <c r="G23" s="112"/>
      <c r="H23" s="112"/>
      <c r="I23" s="112"/>
      <c r="J23" s="114"/>
    </row>
    <row r="24" spans="2:45" ht="17.25">
      <c r="B24" s="112"/>
      <c r="C24" s="112"/>
      <c r="D24" s="113"/>
      <c r="E24" s="112"/>
      <c r="F24" s="112"/>
      <c r="G24" s="112"/>
      <c r="H24" s="112"/>
      <c r="I24" s="112"/>
      <c r="J24" s="114"/>
    </row>
    <row r="25" spans="2:45" ht="17.25">
      <c r="B25" s="112"/>
      <c r="C25" s="112"/>
      <c r="D25" s="113"/>
      <c r="E25" s="112"/>
      <c r="F25" s="112"/>
      <c r="G25" s="112"/>
      <c r="H25" s="112"/>
      <c r="I25" s="112"/>
      <c r="J25" s="114"/>
    </row>
    <row r="26" spans="2:45" ht="17.25">
      <c r="B26" s="112"/>
      <c r="C26" s="112"/>
      <c r="D26" s="113"/>
      <c r="E26" s="629"/>
      <c r="F26" s="629"/>
      <c r="G26" s="629"/>
      <c r="H26" s="629"/>
      <c r="I26" s="429"/>
      <c r="J26" s="112"/>
    </row>
    <row r="27" spans="2:45" ht="17.25">
      <c r="B27" s="112"/>
      <c r="C27" s="112"/>
      <c r="D27" s="113"/>
      <c r="E27" s="112"/>
      <c r="F27" s="112"/>
      <c r="G27" s="114"/>
      <c r="H27" s="112"/>
      <c r="I27" s="112"/>
      <c r="J27" s="112"/>
    </row>
    <row r="28" spans="2:45" ht="17.25">
      <c r="B28" s="112"/>
      <c r="C28" s="112"/>
      <c r="D28" s="113"/>
      <c r="E28" s="629"/>
      <c r="F28" s="629"/>
      <c r="G28" s="629"/>
      <c r="H28" s="629"/>
      <c r="I28" s="429"/>
      <c r="J28" s="112"/>
    </row>
    <row r="29" spans="2:45" ht="17.25">
      <c r="B29" s="112"/>
      <c r="C29" s="112"/>
      <c r="D29" s="113"/>
      <c r="E29" s="112"/>
      <c r="F29" s="112"/>
      <c r="G29" s="114"/>
      <c r="H29" s="112"/>
      <c r="I29" s="112"/>
      <c r="J29" s="112"/>
    </row>
    <row r="30" spans="2:45" ht="17.25">
      <c r="B30" s="112"/>
      <c r="C30" s="112"/>
      <c r="D30" s="113"/>
      <c r="E30" s="629"/>
      <c r="F30" s="629"/>
      <c r="G30" s="629"/>
      <c r="H30" s="629"/>
      <c r="I30" s="429"/>
      <c r="J30" s="112"/>
    </row>
  </sheetData>
  <sheetProtection algorithmName="SHA-512" hashValue="VtI+33XHdg8LpYF2UY55ttUf4v2vPqC3sOmt+edzuizzDJkoRL2V0qJR6497Eglw4lRhBZ6LDKJTZHFeFQm8Dw==" saltValue="DNYTJMfcAK5csl284k1h8w==" spinCount="100000" sheet="1" objects="1" scenarios="1"/>
  <mergeCells count="49">
    <mergeCell ref="E26:H26"/>
    <mergeCell ref="E28:H28"/>
    <mergeCell ref="E30:H30"/>
    <mergeCell ref="AM11:AN11"/>
    <mergeCell ref="AO11:AP11"/>
    <mergeCell ref="B18:AR18"/>
    <mergeCell ref="C20:J20"/>
    <mergeCell ref="C21:J21"/>
    <mergeCell ref="C22:D22"/>
    <mergeCell ref="H22:J22"/>
    <mergeCell ref="AA11:AB11"/>
    <mergeCell ref="AC11:AD11"/>
    <mergeCell ref="AE11:AF11"/>
    <mergeCell ref="AG11:AH11"/>
    <mergeCell ref="AI11:AJ11"/>
    <mergeCell ref="AK11:AL11"/>
    <mergeCell ref="AS9:AS12"/>
    <mergeCell ref="K10:R10"/>
    <mergeCell ref="S10:Z10"/>
    <mergeCell ref="AA10:AH10"/>
    <mergeCell ref="AI10:AP10"/>
    <mergeCell ref="K11:L11"/>
    <mergeCell ref="M11:N11"/>
    <mergeCell ref="O11:P11"/>
    <mergeCell ref="Q11:R11"/>
    <mergeCell ref="S11:T11"/>
    <mergeCell ref="U11:V11"/>
    <mergeCell ref="W11:X11"/>
    <mergeCell ref="J9:J12"/>
    <mergeCell ref="Y11:Z11"/>
    <mergeCell ref="K9:AP9"/>
    <mergeCell ref="AQ9:AQ12"/>
    <mergeCell ref="AR9:AR12"/>
    <mergeCell ref="AR7:AS7"/>
    <mergeCell ref="B13:B1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2:N109"/>
  <sheetViews>
    <sheetView showGridLines="0" zoomScaleNormal="100" workbookViewId="0">
      <pane xSplit="4" ySplit="4" topLeftCell="G38" activePane="bottomRight" state="frozen"/>
      <selection activeCell="AP17" sqref="AP17"/>
      <selection pane="topRight" activeCell="AP17" sqref="AP17"/>
      <selection pane="bottomLeft" activeCell="AP17" sqref="AP17"/>
      <selection pane="bottomRight" activeCell="AP17" sqref="AP17"/>
    </sheetView>
  </sheetViews>
  <sheetFormatPr baseColWidth="10" defaultRowHeight="12.75"/>
  <cols>
    <col min="1" max="1" width="1.7109375" style="282" customWidth="1"/>
    <col min="2" max="2" width="6.5703125" style="305" customWidth="1"/>
    <col min="3" max="3" width="27.85546875" style="306" customWidth="1"/>
    <col min="4" max="4" width="16" style="305" customWidth="1"/>
    <col min="5" max="5" width="41.85546875" style="307" customWidth="1"/>
    <col min="6" max="6" width="13.42578125" style="305" customWidth="1"/>
    <col min="7" max="7" width="19" style="282" customWidth="1"/>
    <col min="8" max="8" width="13.140625" style="282" customWidth="1"/>
    <col min="9" max="12" width="11.42578125" style="282"/>
    <col min="13" max="14" width="15.5703125" style="282" customWidth="1"/>
    <col min="15" max="16384" width="11.42578125" style="282"/>
  </cols>
  <sheetData>
    <row r="2" spans="2:14" ht="18">
      <c r="B2" s="561" t="s">
        <v>753</v>
      </c>
      <c r="C2" s="561"/>
      <c r="D2" s="561"/>
      <c r="E2" s="561"/>
      <c r="F2" s="561"/>
      <c r="G2" s="561"/>
      <c r="H2" s="561"/>
      <c r="I2" s="561"/>
      <c r="J2" s="561"/>
      <c r="K2" s="561"/>
      <c r="L2" s="561"/>
      <c r="M2" s="561"/>
      <c r="N2" s="561"/>
    </row>
    <row r="3" spans="2:14" ht="17.25" customHeight="1">
      <c r="B3" s="283"/>
      <c r="C3" s="283"/>
      <c r="D3" s="284"/>
      <c r="E3" s="284"/>
      <c r="F3" s="284"/>
      <c r="G3" s="560" t="s">
        <v>666</v>
      </c>
      <c r="H3" s="560"/>
      <c r="I3" s="560"/>
      <c r="J3" s="560"/>
      <c r="K3" s="560"/>
      <c r="L3" s="560"/>
      <c r="M3" s="560"/>
      <c r="N3" s="560"/>
    </row>
    <row r="4" spans="2:14" ht="25.5" customHeight="1">
      <c r="B4" s="362" t="s">
        <v>665</v>
      </c>
      <c r="C4" s="362" t="s">
        <v>668</v>
      </c>
      <c r="D4" s="285" t="s">
        <v>663</v>
      </c>
      <c r="E4" s="286" t="s">
        <v>664</v>
      </c>
      <c r="F4" s="285" t="s">
        <v>667</v>
      </c>
      <c r="G4" s="565" t="s">
        <v>756</v>
      </c>
      <c r="H4" s="566"/>
      <c r="I4" s="562" t="s">
        <v>757</v>
      </c>
      <c r="J4" s="563"/>
      <c r="K4" s="563"/>
      <c r="L4" s="564"/>
      <c r="M4" s="567" t="s">
        <v>755</v>
      </c>
      <c r="N4" s="568"/>
    </row>
    <row r="5" spans="2:14" ht="25.5">
      <c r="B5" s="287">
        <v>1</v>
      </c>
      <c r="C5" s="288" t="s">
        <v>570</v>
      </c>
      <c r="D5" s="287" t="s">
        <v>704</v>
      </c>
      <c r="E5" s="289" t="str">
        <f>'01 Direcc Estratégico POA 2020 '!E13</f>
        <v>Plan operativo formulado</v>
      </c>
      <c r="F5" s="287" t="s">
        <v>677</v>
      </c>
      <c r="G5" s="290" t="s">
        <v>700</v>
      </c>
      <c r="H5" s="291">
        <v>100</v>
      </c>
      <c r="I5" s="248" t="str">
        <f>IF(OR($G5="Mayor A:",$G5="Menor A:"),"Desde (&gt;=):",
IF(OR($G5="Mayor o Igual A:",$G5="Menor o Igual A:"),"Desde (&gt;):",
IF($G5="Igual A:","No Aplica",
IF($G5="",""))))</f>
        <v>Desde (&gt;):</v>
      </c>
      <c r="J5" s="248">
        <f t="shared" ref="J5" si="0">IF(H5&gt;N5,N5,
IF(H5&lt;N5,H5,
IF(H5=N5,"No Aplica","")))</f>
        <v>98</v>
      </c>
      <c r="K5" s="248" t="str">
        <f>IF(OR($G5="Mayor A:",$G5="Menor A:"),"Hasta (&lt;=):",
IF(OR($G5="Mayor o Igual A:",$G5="Menor o Igual A:"),"Hasta (&lt;):",
IF($G5="Igual A:","No Aplica",
IF($G5="",""))))</f>
        <v>Hasta (&lt;):</v>
      </c>
      <c r="L5" s="248">
        <f t="shared" ref="L5" si="1">IF(H5&gt;N5,H5,
IF(H5&lt;N5,N5,
IF(H5=N5,"No Aplica","")))</f>
        <v>100</v>
      </c>
      <c r="M5" s="248" t="str">
        <f>IF($G5="Mayor A:","Menor A:",
IF($G5="Menor A:","Mayor A:",
IF($G5="Mayor o Igual A:","Menor o Igual A:",
IF($G5="Menor o Igual A:","Mayor o Igual A:",
IF($G5="Igual A:","Igual A:",
IF($G5="",""))))))</f>
        <v>Menor o Igual A:</v>
      </c>
      <c r="N5" s="292">
        <v>98</v>
      </c>
    </row>
    <row r="6" spans="2:14" ht="25.5">
      <c r="B6" s="287">
        <f>1+B5</f>
        <v>2</v>
      </c>
      <c r="C6" s="288" t="s">
        <v>570</v>
      </c>
      <c r="D6" s="287" t="s">
        <v>599</v>
      </c>
      <c r="E6" s="289" t="str">
        <f>'01 Direcc Estratégico POA 2020 '!E14</f>
        <v>Avance en la implementación del Modelo (MIPG)</v>
      </c>
      <c r="F6" s="287" t="s">
        <v>677</v>
      </c>
      <c r="G6" s="290" t="s">
        <v>700</v>
      </c>
      <c r="H6" s="291">
        <v>95</v>
      </c>
      <c r="I6" s="248" t="str">
        <f>IF(OR($G6="Mayor A:",$G6="Menor A:"),"Desde (&gt;=):",
IF(OR($G6="Mayor o Igual A:",$G6="Menor o Igual A:"),"Desde (&gt;):",
IF($G6="Igual A:","No Aplica",
IF($G6="",""))))</f>
        <v>Desde (&gt;):</v>
      </c>
      <c r="J6" s="248">
        <f t="shared" ref="J6" si="2">IF(H6&gt;N6,N6,
IF(H6&lt;N6,H6,
IF(H6=N6,"No Aplica","")))</f>
        <v>70</v>
      </c>
      <c r="K6" s="248" t="str">
        <f>IF(OR($G6="Mayor A:",$G6="Menor A:"),"Hasta (&lt;=):",
IF(OR($G6="Mayor o Igual A:",$G6="Menor o Igual A:"),"Hasta (&lt;):",
IF($G6="Igual A:","No Aplica",
IF($G6="",""))))</f>
        <v>Hasta (&lt;):</v>
      </c>
      <c r="L6" s="248">
        <f t="shared" ref="L6" si="3">IF(H6&gt;N6,H6,
IF(H6&lt;N6,N6,
IF(H6=N6,"No Aplica","")))</f>
        <v>95</v>
      </c>
      <c r="M6" s="248" t="str">
        <f>IF($G6="Mayor A:","Menor A:",
IF($G6="Menor A:","Mayor A:",
IF($G6="Mayor o Igual A:","Menor o Igual A:",
IF($G6="Menor o Igual A:","Mayor o Igual A:",
IF($G6="Igual A:","Igual A:",
IF($G6="",""))))))</f>
        <v>Menor o Igual A:</v>
      </c>
      <c r="N6" s="292">
        <v>70</v>
      </c>
    </row>
    <row r="7" spans="2:14" ht="38.25">
      <c r="B7" s="287">
        <f t="shared" ref="B7:B68" si="4">1+B6</f>
        <v>3</v>
      </c>
      <c r="C7" s="288" t="s">
        <v>570</v>
      </c>
      <c r="D7" s="287" t="s">
        <v>706</v>
      </c>
      <c r="E7" s="289" t="str">
        <f>'01 Direcc Estratégico POA 2020 '!E15</f>
        <v xml:space="preserve">Avance en la implementación de acciones para la sostenibilidad del Sistema de Gestión de la Calidad </v>
      </c>
      <c r="F7" s="287" t="s">
        <v>677</v>
      </c>
      <c r="G7" s="290" t="s">
        <v>700</v>
      </c>
      <c r="H7" s="291">
        <v>90</v>
      </c>
      <c r="I7" s="248" t="str">
        <f t="shared" ref="I7:I69" si="5">IF(OR($G7="Mayor A:",$G7="Menor A:"),"Desde (&gt;=):",
IF(OR($G7="Mayor o Igual A:",$G7="Menor o Igual A:"),"Desde (&gt;):",
IF($G7="Igual A:","No Aplica",
IF($G7="",""))))</f>
        <v>Desde (&gt;):</v>
      </c>
      <c r="J7" s="248">
        <f t="shared" ref="J7:J69" si="6">IF(H7&gt;N7,N7,
IF(H7&lt;N7,H7,
IF(H7=N7,"No Aplica","")))</f>
        <v>80</v>
      </c>
      <c r="K7" s="248" t="str">
        <f t="shared" ref="K7:K69" si="7">IF(OR($G7="Mayor A:",$G7="Menor A:"),"Hasta (&lt;=):",
IF(OR($G7="Mayor o Igual A:",$G7="Menor o Igual A:"),"Hasta (&lt;):",
IF($G7="Igual A:","No Aplica",
IF($G7="",""))))</f>
        <v>Hasta (&lt;):</v>
      </c>
      <c r="L7" s="248">
        <f t="shared" ref="L7:L69" si="8">IF(H7&gt;N7,H7,
IF(H7&lt;N7,N7,
IF(H7=N7,"No Aplica","")))</f>
        <v>90</v>
      </c>
      <c r="M7" s="248" t="str">
        <f t="shared" ref="M7:M69" si="9">IF($G7="Mayor A:","Menor A:",
IF($G7="Menor A:","Mayor A:",
IF($G7="Mayor o Igual A:","Menor o Igual A:",
IF($G7="Menor o Igual A:","Mayor o Igual A:",
IF($G7="Igual A:","Igual A:",
IF($G7="",""))))))</f>
        <v>Menor o Igual A:</v>
      </c>
      <c r="N7" s="292">
        <v>80</v>
      </c>
    </row>
    <row r="8" spans="2:14" ht="33" customHeight="1">
      <c r="B8" s="287">
        <f t="shared" si="4"/>
        <v>4</v>
      </c>
      <c r="C8" s="288" t="s">
        <v>570</v>
      </c>
      <c r="D8" s="287" t="s">
        <v>707</v>
      </c>
      <c r="E8" s="289" t="str">
        <f>'01 Direcc Estratégico POA 2020 '!E16</f>
        <v>Porcentaje de avance en las  actividades programadas PAAC</v>
      </c>
      <c r="F8" s="287" t="s">
        <v>677</v>
      </c>
      <c r="G8" s="290" t="s">
        <v>700</v>
      </c>
      <c r="H8" s="291">
        <v>90</v>
      </c>
      <c r="I8" s="248" t="str">
        <f t="shared" si="5"/>
        <v>Desde (&gt;):</v>
      </c>
      <c r="J8" s="248">
        <f t="shared" si="6"/>
        <v>80</v>
      </c>
      <c r="K8" s="248" t="str">
        <f t="shared" si="7"/>
        <v>Hasta (&lt;):</v>
      </c>
      <c r="L8" s="248">
        <f t="shared" si="8"/>
        <v>90</v>
      </c>
      <c r="M8" s="248" t="str">
        <f t="shared" si="9"/>
        <v>Menor o Igual A:</v>
      </c>
      <c r="N8" s="292">
        <v>80</v>
      </c>
    </row>
    <row r="9" spans="2:14" ht="25.5">
      <c r="B9" s="287">
        <f t="shared" si="4"/>
        <v>5</v>
      </c>
      <c r="C9" s="288" t="s">
        <v>570</v>
      </c>
      <c r="D9" s="287" t="s">
        <v>600</v>
      </c>
      <c r="E9" s="289" t="str">
        <f>'01 Direcc Estratégico POA 2020 '!E17</f>
        <v>Visitas para realizar control a la gestión</v>
      </c>
      <c r="F9" s="287" t="s">
        <v>677</v>
      </c>
      <c r="G9" s="290" t="s">
        <v>700</v>
      </c>
      <c r="H9" s="291">
        <v>90</v>
      </c>
      <c r="I9" s="248" t="str">
        <f t="shared" si="5"/>
        <v>Desde (&gt;):</v>
      </c>
      <c r="J9" s="248">
        <f t="shared" si="6"/>
        <v>80</v>
      </c>
      <c r="K9" s="248" t="str">
        <f t="shared" si="7"/>
        <v>Hasta (&lt;):</v>
      </c>
      <c r="L9" s="248">
        <f t="shared" si="8"/>
        <v>90</v>
      </c>
      <c r="M9" s="248" t="str">
        <f t="shared" si="9"/>
        <v>Menor o Igual A:</v>
      </c>
      <c r="N9" s="292">
        <v>80</v>
      </c>
    </row>
    <row r="10" spans="2:14" ht="35.25" customHeight="1">
      <c r="B10" s="287">
        <f t="shared" si="4"/>
        <v>6</v>
      </c>
      <c r="C10" s="288" t="s">
        <v>570</v>
      </c>
      <c r="D10" s="287" t="s">
        <v>601</v>
      </c>
      <c r="E10" s="289" t="str">
        <f>'01 Direcc Estratégico POA 2020 '!E18</f>
        <v>Publicación  de seguimiento a planes, programas y proyectos</v>
      </c>
      <c r="F10" s="287" t="s">
        <v>677</v>
      </c>
      <c r="G10" s="290" t="s">
        <v>700</v>
      </c>
      <c r="H10" s="291">
        <v>90</v>
      </c>
      <c r="I10" s="248" t="str">
        <f t="shared" si="5"/>
        <v>Desde (&gt;):</v>
      </c>
      <c r="J10" s="248">
        <f t="shared" si="6"/>
        <v>80</v>
      </c>
      <c r="K10" s="248" t="str">
        <f t="shared" si="7"/>
        <v>Hasta (&lt;):</v>
      </c>
      <c r="L10" s="248">
        <f t="shared" si="8"/>
        <v>90</v>
      </c>
      <c r="M10" s="248" t="str">
        <f t="shared" si="9"/>
        <v>Menor o Igual A:</v>
      </c>
      <c r="N10" s="292">
        <v>80</v>
      </c>
    </row>
    <row r="11" spans="2:14" ht="25.5" customHeight="1">
      <c r="B11" s="287">
        <f t="shared" si="4"/>
        <v>7</v>
      </c>
      <c r="C11" s="293" t="s">
        <v>571</v>
      </c>
      <c r="D11" s="287" t="s">
        <v>708</v>
      </c>
      <c r="E11" s="289" t="str">
        <f>'02 G. Conoc Innovación POA 2020'!E13</f>
        <v>Espacios  de transferencia  de conocimientos realizados .</v>
      </c>
      <c r="F11" s="294" t="s">
        <v>677</v>
      </c>
      <c r="G11" s="290" t="s">
        <v>700</v>
      </c>
      <c r="H11" s="291">
        <v>90</v>
      </c>
      <c r="I11" s="248" t="str">
        <f t="shared" si="5"/>
        <v>Desde (&gt;):</v>
      </c>
      <c r="J11" s="248">
        <f t="shared" si="6"/>
        <v>60</v>
      </c>
      <c r="K11" s="248" t="str">
        <f t="shared" si="7"/>
        <v>Hasta (&lt;):</v>
      </c>
      <c r="L11" s="248">
        <f t="shared" si="8"/>
        <v>90</v>
      </c>
      <c r="M11" s="248" t="str">
        <f t="shared" si="9"/>
        <v>Menor o Igual A:</v>
      </c>
      <c r="N11" s="292">
        <v>60</v>
      </c>
    </row>
    <row r="12" spans="2:14" ht="32.25" customHeight="1">
      <c r="B12" s="287">
        <f t="shared" si="4"/>
        <v>8</v>
      </c>
      <c r="C12" s="293" t="s">
        <v>571</v>
      </c>
      <c r="D12" s="287" t="s">
        <v>705</v>
      </c>
      <c r="E12" s="289" t="str">
        <f>'02 G. Conoc Innovación POA 2020'!E14</f>
        <v>Espacios  de  ideación y creación de innovación pública realizados</v>
      </c>
      <c r="F12" s="294" t="s">
        <v>677</v>
      </c>
      <c r="G12" s="290" t="s">
        <v>700</v>
      </c>
      <c r="H12" s="291">
        <v>90</v>
      </c>
      <c r="I12" s="248" t="str">
        <f t="shared" si="5"/>
        <v>Desde (&gt;):</v>
      </c>
      <c r="J12" s="248">
        <f t="shared" si="6"/>
        <v>60</v>
      </c>
      <c r="K12" s="248" t="str">
        <f t="shared" si="7"/>
        <v>Hasta (&lt;):</v>
      </c>
      <c r="L12" s="248">
        <f t="shared" si="8"/>
        <v>90</v>
      </c>
      <c r="M12" s="248" t="str">
        <f t="shared" si="9"/>
        <v>Menor o Igual A:</v>
      </c>
      <c r="N12" s="292">
        <v>60</v>
      </c>
    </row>
    <row r="13" spans="2:14" ht="51">
      <c r="B13" s="287">
        <f t="shared" si="4"/>
        <v>9</v>
      </c>
      <c r="C13" s="293" t="s">
        <v>571</v>
      </c>
      <c r="D13" s="287" t="s">
        <v>709</v>
      </c>
      <c r="E13" s="289" t="str">
        <f>'02 G. Conoc Innovación POA 2020'!E15</f>
        <v>Mecanismo implementado para la documentación y/o registro de la memoria institucional,  conservación en el repositorio institucional y difusión</v>
      </c>
      <c r="F13" s="294" t="s">
        <v>677</v>
      </c>
      <c r="G13" s="290" t="s">
        <v>700</v>
      </c>
      <c r="H13" s="291">
        <v>90</v>
      </c>
      <c r="I13" s="248" t="str">
        <f t="shared" si="5"/>
        <v>Desde (&gt;):</v>
      </c>
      <c r="J13" s="248">
        <f t="shared" si="6"/>
        <v>60</v>
      </c>
      <c r="K13" s="248" t="str">
        <f t="shared" si="7"/>
        <v>Hasta (&lt;):</v>
      </c>
      <c r="L13" s="248">
        <f t="shared" si="8"/>
        <v>90</v>
      </c>
      <c r="M13" s="248" t="str">
        <f t="shared" si="9"/>
        <v>Menor o Igual A:</v>
      </c>
      <c r="N13" s="292">
        <v>60</v>
      </c>
    </row>
    <row r="14" spans="2:14" ht="38.25">
      <c r="B14" s="287">
        <f t="shared" si="4"/>
        <v>10</v>
      </c>
      <c r="C14" s="288" t="s">
        <v>572</v>
      </c>
      <c r="D14" s="287" t="s">
        <v>605</v>
      </c>
      <c r="E14" s="289" t="str">
        <f>'03 Direccionamient TIC POA 2020'!E13</f>
        <v>Avance en la  implementación de las mejores prácticas para la adecuada gestión de la infraestructura tecnológica de la Entidad</v>
      </c>
      <c r="F14" s="294" t="s">
        <v>677</v>
      </c>
      <c r="G14" s="290" t="s">
        <v>700</v>
      </c>
      <c r="H14" s="291">
        <v>90</v>
      </c>
      <c r="I14" s="248" t="str">
        <f t="shared" si="5"/>
        <v>Desde (&gt;):</v>
      </c>
      <c r="J14" s="248">
        <f t="shared" si="6"/>
        <v>69</v>
      </c>
      <c r="K14" s="248" t="str">
        <f t="shared" si="7"/>
        <v>Hasta (&lt;):</v>
      </c>
      <c r="L14" s="248">
        <f t="shared" si="8"/>
        <v>90</v>
      </c>
      <c r="M14" s="248" t="str">
        <f t="shared" si="9"/>
        <v>Menor o Igual A:</v>
      </c>
      <c r="N14" s="292">
        <v>69</v>
      </c>
    </row>
    <row r="15" spans="2:14" ht="38.25">
      <c r="B15" s="287">
        <f t="shared" si="4"/>
        <v>11</v>
      </c>
      <c r="C15" s="288" t="s">
        <v>572</v>
      </c>
      <c r="D15" s="287" t="s">
        <v>606</v>
      </c>
      <c r="E15" s="289" t="str">
        <f>'03 Direccionamient TIC POA 2020'!E14</f>
        <v>Avance para mantener y evolucionar los sistemas de información de la Entidad acorde a las necesidades</v>
      </c>
      <c r="F15" s="294" t="s">
        <v>677</v>
      </c>
      <c r="G15" s="290" t="s">
        <v>700</v>
      </c>
      <c r="H15" s="291">
        <v>90</v>
      </c>
      <c r="I15" s="248" t="str">
        <f t="shared" si="5"/>
        <v>Desde (&gt;):</v>
      </c>
      <c r="J15" s="248">
        <f t="shared" si="6"/>
        <v>69</v>
      </c>
      <c r="K15" s="248" t="str">
        <f t="shared" si="7"/>
        <v>Hasta (&lt;):</v>
      </c>
      <c r="L15" s="248">
        <f t="shared" si="8"/>
        <v>90</v>
      </c>
      <c r="M15" s="248" t="str">
        <f t="shared" si="9"/>
        <v>Menor o Igual A:</v>
      </c>
      <c r="N15" s="292">
        <v>69</v>
      </c>
    </row>
    <row r="16" spans="2:14" ht="38.25">
      <c r="B16" s="287">
        <f t="shared" si="4"/>
        <v>12</v>
      </c>
      <c r="C16" s="288" t="s">
        <v>572</v>
      </c>
      <c r="D16" s="287" t="s">
        <v>607</v>
      </c>
      <c r="E16" s="289" t="str">
        <f>'03 Direccionamient TIC POA 2020'!E15</f>
        <v>Avance en el desarrollo de las actividades requeridas para la implementación del Sistema de Gestión de Seguridad de la Información SGSI</v>
      </c>
      <c r="F16" s="294" t="s">
        <v>677</v>
      </c>
      <c r="G16" s="290" t="s">
        <v>700</v>
      </c>
      <c r="H16" s="291">
        <v>90</v>
      </c>
      <c r="I16" s="248" t="str">
        <f t="shared" si="5"/>
        <v>Desde (&gt;):</v>
      </c>
      <c r="J16" s="248">
        <f t="shared" si="6"/>
        <v>69</v>
      </c>
      <c r="K16" s="248" t="str">
        <f t="shared" si="7"/>
        <v>Hasta (&lt;):</v>
      </c>
      <c r="L16" s="248">
        <f t="shared" si="8"/>
        <v>90</v>
      </c>
      <c r="M16" s="248" t="str">
        <f t="shared" si="9"/>
        <v>Menor o Igual A:</v>
      </c>
      <c r="N16" s="292">
        <v>69</v>
      </c>
    </row>
    <row r="17" spans="2:14" ht="38.25">
      <c r="B17" s="287">
        <f t="shared" si="4"/>
        <v>13</v>
      </c>
      <c r="C17" s="288" t="s">
        <v>572</v>
      </c>
      <c r="D17" s="287" t="s">
        <v>608</v>
      </c>
      <c r="E17" s="289" t="str">
        <f>'03 Direccionamient TIC POA 2020'!E16</f>
        <v>Avance del desarrollo del plan de acción enmarcadas en el manual de la política de Gobierno Digital</v>
      </c>
      <c r="F17" s="294" t="s">
        <v>677</v>
      </c>
      <c r="G17" s="290" t="s">
        <v>700</v>
      </c>
      <c r="H17" s="291">
        <v>90</v>
      </c>
      <c r="I17" s="248" t="str">
        <f t="shared" si="5"/>
        <v>Desde (&gt;):</v>
      </c>
      <c r="J17" s="248">
        <f t="shared" si="6"/>
        <v>69</v>
      </c>
      <c r="K17" s="248" t="str">
        <f t="shared" si="7"/>
        <v>Hasta (&lt;):</v>
      </c>
      <c r="L17" s="248">
        <f t="shared" si="8"/>
        <v>90</v>
      </c>
      <c r="M17" s="248" t="str">
        <f t="shared" si="9"/>
        <v>Menor o Igual A:</v>
      </c>
      <c r="N17" s="292">
        <v>69</v>
      </c>
    </row>
    <row r="18" spans="2:14" ht="25.5">
      <c r="B18" s="287">
        <f t="shared" si="4"/>
        <v>14</v>
      </c>
      <c r="C18" s="288" t="s">
        <v>572</v>
      </c>
      <c r="D18" s="287" t="s">
        <v>710</v>
      </c>
      <c r="E18" s="289" t="str">
        <f>'03 Direccionamient TIC POA 2020'!E17</f>
        <v>Porcentaje de requerimientos atendidos oportunamente</v>
      </c>
      <c r="F18" s="294" t="s">
        <v>677</v>
      </c>
      <c r="G18" s="290" t="s">
        <v>700</v>
      </c>
      <c r="H18" s="291">
        <v>90</v>
      </c>
      <c r="I18" s="248" t="str">
        <f t="shared" si="5"/>
        <v>Desde (&gt;):</v>
      </c>
      <c r="J18" s="248">
        <f t="shared" si="6"/>
        <v>69</v>
      </c>
      <c r="K18" s="248" t="str">
        <f t="shared" si="7"/>
        <v>Hasta (&lt;):</v>
      </c>
      <c r="L18" s="248">
        <f t="shared" si="8"/>
        <v>90</v>
      </c>
      <c r="M18" s="248" t="str">
        <f t="shared" si="9"/>
        <v>Menor o Igual A:</v>
      </c>
      <c r="N18" s="292">
        <v>69</v>
      </c>
    </row>
    <row r="19" spans="2:14">
      <c r="B19" s="287">
        <f t="shared" si="4"/>
        <v>15</v>
      </c>
      <c r="C19" s="288" t="s">
        <v>572</v>
      </c>
      <c r="D19" s="287" t="s">
        <v>609</v>
      </c>
      <c r="E19" s="289" t="str">
        <f>'03 Direccionamient TIC POA 2020'!E18</f>
        <v>Porcentaje de usuarios satisfechos</v>
      </c>
      <c r="F19" s="294" t="s">
        <v>677</v>
      </c>
      <c r="G19" s="290" t="s">
        <v>700</v>
      </c>
      <c r="H19" s="291">
        <v>90</v>
      </c>
      <c r="I19" s="248" t="str">
        <f t="shared" si="5"/>
        <v>Desde (&gt;):</v>
      </c>
      <c r="J19" s="248">
        <f t="shared" si="6"/>
        <v>69</v>
      </c>
      <c r="K19" s="248" t="str">
        <f t="shared" si="7"/>
        <v>Hasta (&lt;):</v>
      </c>
      <c r="L19" s="248">
        <f t="shared" si="8"/>
        <v>90</v>
      </c>
      <c r="M19" s="248" t="str">
        <f t="shared" si="9"/>
        <v>Menor o Igual A:</v>
      </c>
      <c r="N19" s="292">
        <v>69</v>
      </c>
    </row>
    <row r="20" spans="2:14" ht="51">
      <c r="B20" s="287">
        <f t="shared" si="4"/>
        <v>16</v>
      </c>
      <c r="C20" s="293" t="s">
        <v>573</v>
      </c>
      <c r="D20" s="287" t="s">
        <v>611</v>
      </c>
      <c r="E20" s="289" t="str">
        <f>'04 Comunicación Estrat POA 2020'!E13</f>
        <v>Porcentaje de avance en el diseño e implementación de la estrategia de comunicación para la socialización de los servicios que brindan las personería locales</v>
      </c>
      <c r="F20" s="294" t="s">
        <v>677</v>
      </c>
      <c r="G20" s="290" t="s">
        <v>700</v>
      </c>
      <c r="H20" s="291">
        <v>90</v>
      </c>
      <c r="I20" s="248" t="str">
        <f t="shared" si="5"/>
        <v>Desde (&gt;):</v>
      </c>
      <c r="J20" s="248">
        <f t="shared" si="6"/>
        <v>69</v>
      </c>
      <c r="K20" s="248" t="str">
        <f t="shared" si="7"/>
        <v>Hasta (&lt;):</v>
      </c>
      <c r="L20" s="248">
        <f t="shared" si="8"/>
        <v>90</v>
      </c>
      <c r="M20" s="248" t="str">
        <f t="shared" si="9"/>
        <v>Menor o Igual A:</v>
      </c>
      <c r="N20" s="292">
        <v>69</v>
      </c>
    </row>
    <row r="21" spans="2:14" ht="51">
      <c r="B21" s="287">
        <f t="shared" si="4"/>
        <v>17</v>
      </c>
      <c r="C21" s="293" t="s">
        <v>573</v>
      </c>
      <c r="D21" s="287" t="s">
        <v>612</v>
      </c>
      <c r="E21" s="289" t="str">
        <f>'04 Comunicación Estrat POA 2020'!E14</f>
        <v>Porcentaje de avance en el diseño y ejecución de la campaña de sensibilización para ayudar a promover los derechos de las personas en el Distrito Capital.</v>
      </c>
      <c r="F21" s="294" t="s">
        <v>677</v>
      </c>
      <c r="G21" s="290" t="s">
        <v>700</v>
      </c>
      <c r="H21" s="291">
        <v>90</v>
      </c>
      <c r="I21" s="248" t="str">
        <f t="shared" si="5"/>
        <v>Desde (&gt;):</v>
      </c>
      <c r="J21" s="248">
        <f t="shared" si="6"/>
        <v>69</v>
      </c>
      <c r="K21" s="248" t="str">
        <f t="shared" si="7"/>
        <v>Hasta (&lt;):</v>
      </c>
      <c r="L21" s="248">
        <f t="shared" si="8"/>
        <v>90</v>
      </c>
      <c r="M21" s="248" t="str">
        <f t="shared" si="9"/>
        <v>Menor o Igual A:</v>
      </c>
      <c r="N21" s="292">
        <v>69</v>
      </c>
    </row>
    <row r="22" spans="2:14" ht="51">
      <c r="B22" s="287">
        <f t="shared" si="4"/>
        <v>18</v>
      </c>
      <c r="C22" s="293" t="s">
        <v>573</v>
      </c>
      <c r="D22" s="287" t="s">
        <v>613</v>
      </c>
      <c r="E22" s="289" t="str">
        <f>'04 Comunicación Estrat POA 2020'!E15</f>
        <v>Porcentaje de avance en el diseño y ejecución de la campaña de divulgación para contribuir en la promoción de los derechos humanos en el distrito capital</v>
      </c>
      <c r="F22" s="294" t="s">
        <v>677</v>
      </c>
      <c r="G22" s="290" t="s">
        <v>700</v>
      </c>
      <c r="H22" s="291">
        <v>90</v>
      </c>
      <c r="I22" s="248" t="str">
        <f t="shared" si="5"/>
        <v>Desde (&gt;):</v>
      </c>
      <c r="J22" s="248">
        <f t="shared" si="6"/>
        <v>69</v>
      </c>
      <c r="K22" s="248" t="str">
        <f t="shared" si="7"/>
        <v>Hasta (&lt;):</v>
      </c>
      <c r="L22" s="248">
        <f t="shared" si="8"/>
        <v>90</v>
      </c>
      <c r="M22" s="248" t="str">
        <f t="shared" si="9"/>
        <v>Menor o Igual A:</v>
      </c>
      <c r="N22" s="292">
        <v>69</v>
      </c>
    </row>
    <row r="23" spans="2:14" ht="51">
      <c r="B23" s="287">
        <f t="shared" si="4"/>
        <v>19</v>
      </c>
      <c r="C23" s="293" t="s">
        <v>573</v>
      </c>
      <c r="D23" s="287" t="s">
        <v>711</v>
      </c>
      <c r="E23" s="289" t="str">
        <f>'04 Comunicación Estrat POA 2020'!E16</f>
        <v>Porcentaje de avance en el diseño y ejecución de la campaña de divulgación para promover una Cultura de Calidad, Buen Servicio y Mejora Continua</v>
      </c>
      <c r="F23" s="294" t="s">
        <v>677</v>
      </c>
      <c r="G23" s="290" t="s">
        <v>700</v>
      </c>
      <c r="H23" s="291">
        <v>90</v>
      </c>
      <c r="I23" s="248" t="str">
        <f t="shared" si="5"/>
        <v>Desde (&gt;):</v>
      </c>
      <c r="J23" s="248">
        <f t="shared" si="6"/>
        <v>69</v>
      </c>
      <c r="K23" s="248" t="str">
        <f t="shared" si="7"/>
        <v>Hasta (&lt;):</v>
      </c>
      <c r="L23" s="248">
        <f t="shared" si="8"/>
        <v>90</v>
      </c>
      <c r="M23" s="248" t="str">
        <f t="shared" si="9"/>
        <v>Menor o Igual A:</v>
      </c>
      <c r="N23" s="292">
        <v>69</v>
      </c>
    </row>
    <row r="24" spans="2:14" ht="89.25">
      <c r="B24" s="287">
        <f t="shared" si="4"/>
        <v>20</v>
      </c>
      <c r="C24" s="293" t="s">
        <v>573</v>
      </c>
      <c r="D24" s="287" t="s">
        <v>712</v>
      </c>
      <c r="E24" s="289" t="str">
        <f>'04 Comunicación Estrat POA 2020'!E17</f>
        <v>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v>
      </c>
      <c r="F24" s="294" t="s">
        <v>677</v>
      </c>
      <c r="G24" s="290" t="s">
        <v>700</v>
      </c>
      <c r="H24" s="291">
        <v>90</v>
      </c>
      <c r="I24" s="248" t="str">
        <f t="shared" si="5"/>
        <v>Desde (&gt;):</v>
      </c>
      <c r="J24" s="248">
        <f t="shared" si="6"/>
        <v>69</v>
      </c>
      <c r="K24" s="248" t="str">
        <f t="shared" si="7"/>
        <v>Hasta (&lt;):</v>
      </c>
      <c r="L24" s="248">
        <f t="shared" si="8"/>
        <v>90</v>
      </c>
      <c r="M24" s="248" t="str">
        <f t="shared" si="9"/>
        <v>Menor o Igual A:</v>
      </c>
      <c r="N24" s="292">
        <v>69</v>
      </c>
    </row>
    <row r="25" spans="2:14" ht="25.5">
      <c r="B25" s="287">
        <f t="shared" si="4"/>
        <v>21</v>
      </c>
      <c r="C25" s="288" t="s">
        <v>577</v>
      </c>
      <c r="D25" s="294" t="s">
        <v>669</v>
      </c>
      <c r="E25" s="295" t="str">
        <f>'05 Prom Defen Derechos POA 2020'!E13</f>
        <v xml:space="preserve">Acciones de promoción y apropiación de derechos y deberes realizadas. </v>
      </c>
      <c r="F25" s="294" t="s">
        <v>677</v>
      </c>
      <c r="G25" s="290" t="s">
        <v>691</v>
      </c>
      <c r="H25" s="291">
        <v>95</v>
      </c>
      <c r="I25" s="248" t="str">
        <f t="shared" si="5"/>
        <v>Desde (&gt;=):</v>
      </c>
      <c r="J25" s="248">
        <f t="shared" si="6"/>
        <v>85</v>
      </c>
      <c r="K25" s="248" t="str">
        <f t="shared" si="7"/>
        <v>Hasta (&lt;=):</v>
      </c>
      <c r="L25" s="248">
        <f t="shared" si="8"/>
        <v>95</v>
      </c>
      <c r="M25" s="248" t="str">
        <f t="shared" si="9"/>
        <v>Menor A:</v>
      </c>
      <c r="N25" s="292">
        <v>85</v>
      </c>
    </row>
    <row r="26" spans="2:14" ht="25.5">
      <c r="B26" s="287">
        <f t="shared" si="4"/>
        <v>22</v>
      </c>
      <c r="C26" s="288" t="s">
        <v>577</v>
      </c>
      <c r="D26" s="294" t="s">
        <v>698</v>
      </c>
      <c r="E26" s="295" t="str">
        <f>'05 Prom Defen Derechos POA 2020'!E14</f>
        <v xml:space="preserve">Numero de personas sensibilizadas en derechos y deberes. </v>
      </c>
      <c r="F26" s="294" t="s">
        <v>677</v>
      </c>
      <c r="G26" s="290" t="s">
        <v>691</v>
      </c>
      <c r="H26" s="291">
        <v>95</v>
      </c>
      <c r="I26" s="248" t="str">
        <f t="shared" si="5"/>
        <v>Desde (&gt;=):</v>
      </c>
      <c r="J26" s="248">
        <f t="shared" si="6"/>
        <v>85</v>
      </c>
      <c r="K26" s="248" t="str">
        <f t="shared" si="7"/>
        <v>Hasta (&lt;=):</v>
      </c>
      <c r="L26" s="248">
        <f t="shared" si="8"/>
        <v>95</v>
      </c>
      <c r="M26" s="248" t="str">
        <f t="shared" si="9"/>
        <v>Menor A:</v>
      </c>
      <c r="N26" s="292">
        <v>85</v>
      </c>
    </row>
    <row r="27" spans="2:14" ht="25.5">
      <c r="B27" s="557">
        <f t="shared" si="4"/>
        <v>23</v>
      </c>
      <c r="C27" s="288" t="s">
        <v>577</v>
      </c>
      <c r="D27" s="296" t="s">
        <v>722</v>
      </c>
      <c r="E27" s="295" t="str">
        <f>'05 Prom Defen Derechos POA 2020'!E15</f>
        <v xml:space="preserve">Intervenciones adelantadas en el ejercicio del ministerio Público en defensa de los derechos </v>
      </c>
      <c r="F27" s="294" t="s">
        <v>677</v>
      </c>
      <c r="G27" s="290" t="s">
        <v>691</v>
      </c>
      <c r="H27" s="291">
        <v>90</v>
      </c>
      <c r="I27" s="248" t="str">
        <f t="shared" si="5"/>
        <v>Desde (&gt;=):</v>
      </c>
      <c r="J27" s="248">
        <f t="shared" si="6"/>
        <v>80</v>
      </c>
      <c r="K27" s="248" t="str">
        <f t="shared" si="7"/>
        <v>Hasta (&lt;=):</v>
      </c>
      <c r="L27" s="248">
        <f t="shared" si="8"/>
        <v>90</v>
      </c>
      <c r="M27" s="248" t="str">
        <f t="shared" si="9"/>
        <v>Menor A:</v>
      </c>
      <c r="N27" s="292">
        <v>80</v>
      </c>
    </row>
    <row r="28" spans="2:14" ht="25.5">
      <c r="B28" s="558"/>
      <c r="C28" s="288" t="s">
        <v>577</v>
      </c>
      <c r="D28" s="296" t="s">
        <v>730</v>
      </c>
      <c r="E28" s="295" t="str">
        <f>'05 Prom Defen Derechos POA 2020'!E16</f>
        <v xml:space="preserve">Intervenciones adelantadas en el ejercicio del ministerio Público en defensa de los derechos </v>
      </c>
      <c r="F28" s="294" t="s">
        <v>677</v>
      </c>
      <c r="G28" s="290" t="s">
        <v>691</v>
      </c>
      <c r="H28" s="291">
        <v>90</v>
      </c>
      <c r="I28" s="248" t="str">
        <f t="shared" si="5"/>
        <v>Desde (&gt;=):</v>
      </c>
      <c r="J28" s="248">
        <f t="shared" si="6"/>
        <v>80</v>
      </c>
      <c r="K28" s="248" t="str">
        <f t="shared" si="7"/>
        <v>Hasta (&lt;=):</v>
      </c>
      <c r="L28" s="248">
        <f t="shared" si="8"/>
        <v>90</v>
      </c>
      <c r="M28" s="248" t="str">
        <f t="shared" si="9"/>
        <v>Menor A:</v>
      </c>
      <c r="N28" s="292">
        <v>80</v>
      </c>
    </row>
    <row r="29" spans="2:14" ht="25.5">
      <c r="B29" s="287">
        <v>24</v>
      </c>
      <c r="C29" s="288" t="s">
        <v>577</v>
      </c>
      <c r="D29" s="297" t="s">
        <v>713</v>
      </c>
      <c r="E29" s="295" t="str">
        <f>'05 Prom Defen Derechos POA 2020'!E17</f>
        <v>Acciones adelantadas en favor de las víctimas del conflicto armado.</v>
      </c>
      <c r="F29" s="294" t="s">
        <v>677</v>
      </c>
      <c r="G29" s="290" t="s">
        <v>691</v>
      </c>
      <c r="H29" s="291">
        <v>90</v>
      </c>
      <c r="I29" s="248" t="str">
        <f t="shared" si="5"/>
        <v>Desde (&gt;=):</v>
      </c>
      <c r="J29" s="248">
        <f t="shared" si="6"/>
        <v>80</v>
      </c>
      <c r="K29" s="248" t="str">
        <f t="shared" si="7"/>
        <v>Hasta (&lt;=):</v>
      </c>
      <c r="L29" s="248">
        <f t="shared" si="8"/>
        <v>90</v>
      </c>
      <c r="M29" s="248" t="str">
        <f t="shared" si="9"/>
        <v>Menor A:</v>
      </c>
      <c r="N29" s="292">
        <v>80</v>
      </c>
    </row>
    <row r="30" spans="2:14" ht="25.5">
      <c r="B30" s="557">
        <f t="shared" si="4"/>
        <v>25</v>
      </c>
      <c r="C30" s="288" t="s">
        <v>577</v>
      </c>
      <c r="D30" s="298" t="s">
        <v>720</v>
      </c>
      <c r="E30" s="295" t="str">
        <f>'05 Prom Defen Derechos POA 2020'!E18</f>
        <v>Requerimientos finalizados en defensa de los derechos.</v>
      </c>
      <c r="F30" s="294" t="s">
        <v>677</v>
      </c>
      <c r="G30" s="290" t="s">
        <v>691</v>
      </c>
      <c r="H30" s="291">
        <v>90</v>
      </c>
      <c r="I30" s="248" t="str">
        <f t="shared" si="5"/>
        <v>Desde (&gt;=):</v>
      </c>
      <c r="J30" s="248">
        <f t="shared" si="6"/>
        <v>80</v>
      </c>
      <c r="K30" s="248" t="str">
        <f t="shared" si="7"/>
        <v>Hasta (&lt;=):</v>
      </c>
      <c r="L30" s="248">
        <f t="shared" si="8"/>
        <v>90</v>
      </c>
      <c r="M30" s="248" t="str">
        <f t="shared" si="9"/>
        <v>Menor A:</v>
      </c>
      <c r="N30" s="292">
        <v>80</v>
      </c>
    </row>
    <row r="31" spans="2:14" ht="25.5">
      <c r="B31" s="559"/>
      <c r="C31" s="288" t="s">
        <v>577</v>
      </c>
      <c r="D31" s="298" t="s">
        <v>721</v>
      </c>
      <c r="E31" s="295" t="str">
        <f>'05 Prom Defen Derechos POA 2020'!E19</f>
        <v>Requerimientos finalizados en defensa de los derechos.</v>
      </c>
      <c r="F31" s="294" t="s">
        <v>677</v>
      </c>
      <c r="G31" s="290" t="s">
        <v>691</v>
      </c>
      <c r="H31" s="291">
        <v>90</v>
      </c>
      <c r="I31" s="248" t="str">
        <f t="shared" si="5"/>
        <v>Desde (&gt;=):</v>
      </c>
      <c r="J31" s="248">
        <f t="shared" si="6"/>
        <v>80</v>
      </c>
      <c r="K31" s="248" t="str">
        <f t="shared" si="7"/>
        <v>Hasta (&lt;=):</v>
      </c>
      <c r="L31" s="248">
        <f t="shared" si="8"/>
        <v>90</v>
      </c>
      <c r="M31" s="248" t="str">
        <f t="shared" si="9"/>
        <v>Menor A:</v>
      </c>
      <c r="N31" s="292">
        <v>80</v>
      </c>
    </row>
    <row r="32" spans="2:14" ht="25.5">
      <c r="B32" s="558"/>
      <c r="C32" s="288" t="s">
        <v>577</v>
      </c>
      <c r="D32" s="298" t="s">
        <v>731</v>
      </c>
      <c r="E32" s="295" t="str">
        <f>'05 Prom Defen Derechos POA 2020'!E20</f>
        <v>Requerimientos finalizados en defensa de los derechos.</v>
      </c>
      <c r="F32" s="294" t="s">
        <v>677</v>
      </c>
      <c r="G32" s="290" t="s">
        <v>691</v>
      </c>
      <c r="H32" s="291">
        <v>90</v>
      </c>
      <c r="I32" s="248" t="str">
        <f t="shared" si="5"/>
        <v>Desde (&gt;=):</v>
      </c>
      <c r="J32" s="248">
        <f t="shared" si="6"/>
        <v>80</v>
      </c>
      <c r="K32" s="248" t="str">
        <f t="shared" si="7"/>
        <v>Hasta (&lt;=):</v>
      </c>
      <c r="L32" s="248">
        <f t="shared" si="8"/>
        <v>90</v>
      </c>
      <c r="M32" s="248" t="str">
        <f t="shared" si="9"/>
        <v>Menor A:</v>
      </c>
      <c r="N32" s="292">
        <v>80</v>
      </c>
    </row>
    <row r="33" spans="2:14" ht="25.5">
      <c r="B33" s="287">
        <v>26</v>
      </c>
      <c r="C33" s="288" t="s">
        <v>577</v>
      </c>
      <c r="D33" s="297" t="s">
        <v>714</v>
      </c>
      <c r="E33" s="295" t="str">
        <f>'05 Prom Defen Derechos POA 2020'!E21</f>
        <v xml:space="preserve">% de Tutelas con fallos a favor. </v>
      </c>
      <c r="F33" s="294" t="s">
        <v>681</v>
      </c>
      <c r="G33" s="290" t="s">
        <v>691</v>
      </c>
      <c r="H33" s="291">
        <v>80</v>
      </c>
      <c r="I33" s="248" t="str">
        <f t="shared" si="5"/>
        <v>Desde (&gt;=):</v>
      </c>
      <c r="J33" s="248">
        <f t="shared" si="6"/>
        <v>70</v>
      </c>
      <c r="K33" s="248" t="str">
        <f t="shared" si="7"/>
        <v>Hasta (&lt;=):</v>
      </c>
      <c r="L33" s="248">
        <f t="shared" si="8"/>
        <v>80</v>
      </c>
      <c r="M33" s="248" t="str">
        <f t="shared" si="9"/>
        <v>Menor A:</v>
      </c>
      <c r="N33" s="292">
        <v>70</v>
      </c>
    </row>
    <row r="34" spans="2:14" ht="25.5">
      <c r="B34" s="287">
        <f>+B33+1</f>
        <v>27</v>
      </c>
      <c r="C34" s="288" t="s">
        <v>577</v>
      </c>
      <c r="D34" s="297" t="s">
        <v>715</v>
      </c>
      <c r="E34" s="295" t="str">
        <f>'05 Prom Defen Derechos POA 2020'!E22</f>
        <v>Solicitudes de conciliación atendidas.</v>
      </c>
      <c r="F34" s="294" t="s">
        <v>677</v>
      </c>
      <c r="G34" s="290" t="s">
        <v>691</v>
      </c>
      <c r="H34" s="291">
        <v>90</v>
      </c>
      <c r="I34" s="248" t="str">
        <f t="shared" si="5"/>
        <v>Desde (&gt;=):</v>
      </c>
      <c r="J34" s="248">
        <f t="shared" si="6"/>
        <v>80</v>
      </c>
      <c r="K34" s="248" t="str">
        <f t="shared" si="7"/>
        <v>Hasta (&lt;=):</v>
      </c>
      <c r="L34" s="248">
        <f t="shared" si="8"/>
        <v>90</v>
      </c>
      <c r="M34" s="248" t="str">
        <f t="shared" si="9"/>
        <v>Menor A:</v>
      </c>
      <c r="N34" s="292">
        <v>80</v>
      </c>
    </row>
    <row r="35" spans="2:14" ht="25.5">
      <c r="B35" s="287">
        <f t="shared" si="4"/>
        <v>28</v>
      </c>
      <c r="C35" s="288" t="s">
        <v>577</v>
      </c>
      <c r="D35" s="297" t="s">
        <v>716</v>
      </c>
      <c r="E35" s="295" t="str">
        <f>'05 Prom Defen Derechos POA 2020'!E23</f>
        <v>Informe de seguimiento a la política publica para victimas del conflicto armado.</v>
      </c>
      <c r="F35" s="294" t="s">
        <v>677</v>
      </c>
      <c r="G35" s="290" t="s">
        <v>700</v>
      </c>
      <c r="H35" s="291">
        <v>100</v>
      </c>
      <c r="I35" s="248" t="str">
        <f t="shared" si="5"/>
        <v>Desde (&gt;):</v>
      </c>
      <c r="J35" s="248">
        <f t="shared" si="6"/>
        <v>99</v>
      </c>
      <c r="K35" s="248" t="str">
        <f t="shared" si="7"/>
        <v>Hasta (&lt;):</v>
      </c>
      <c r="L35" s="248">
        <f t="shared" si="8"/>
        <v>100</v>
      </c>
      <c r="M35" s="248" t="str">
        <f t="shared" si="9"/>
        <v>Menor o Igual A:</v>
      </c>
      <c r="N35" s="292">
        <v>99</v>
      </c>
    </row>
    <row r="36" spans="2:14" ht="38.25">
      <c r="B36" s="287">
        <f t="shared" si="4"/>
        <v>29</v>
      </c>
      <c r="C36" s="288" t="s">
        <v>577</v>
      </c>
      <c r="D36" s="297" t="s">
        <v>717</v>
      </c>
      <c r="E36" s="295" t="str">
        <f>'05 Prom Defen Derechos POA 2020'!E24</f>
        <v>Informe de seguimiento sobre el cumplimiento la Política Pública de Mujeres y Equidad de Género en el Distrito Capital.</v>
      </c>
      <c r="F36" s="294" t="s">
        <v>677</v>
      </c>
      <c r="G36" s="290" t="s">
        <v>700</v>
      </c>
      <c r="H36" s="291">
        <v>100</v>
      </c>
      <c r="I36" s="248" t="str">
        <f t="shared" si="5"/>
        <v>Desde (&gt;):</v>
      </c>
      <c r="J36" s="248">
        <f t="shared" si="6"/>
        <v>99</v>
      </c>
      <c r="K36" s="248" t="str">
        <f t="shared" si="7"/>
        <v>Hasta (&lt;):</v>
      </c>
      <c r="L36" s="248">
        <f t="shared" si="8"/>
        <v>100</v>
      </c>
      <c r="M36" s="248" t="str">
        <f t="shared" si="9"/>
        <v>Menor o Igual A:</v>
      </c>
      <c r="N36" s="292">
        <v>99</v>
      </c>
    </row>
    <row r="37" spans="2:14" ht="25.5">
      <c r="B37" s="287">
        <f t="shared" si="4"/>
        <v>30</v>
      </c>
      <c r="C37" s="288" t="s">
        <v>577</v>
      </c>
      <c r="D37" s="297" t="s">
        <v>718</v>
      </c>
      <c r="E37" s="295" t="str">
        <f>'05 Prom Defen Derechos POA 2020'!E25</f>
        <v xml:space="preserve">Mecanismo de prevención de los peligros que enfrentan los jóvenes de Bogotá D.C. </v>
      </c>
      <c r="F37" s="294" t="s">
        <v>677</v>
      </c>
      <c r="G37" s="290" t="s">
        <v>691</v>
      </c>
      <c r="H37" s="291">
        <v>95</v>
      </c>
      <c r="I37" s="248" t="str">
        <f t="shared" si="5"/>
        <v>Desde (&gt;=):</v>
      </c>
      <c r="J37" s="248">
        <f t="shared" si="6"/>
        <v>85</v>
      </c>
      <c r="K37" s="248" t="str">
        <f t="shared" si="7"/>
        <v>Hasta (&lt;=):</v>
      </c>
      <c r="L37" s="248">
        <f t="shared" si="8"/>
        <v>95</v>
      </c>
      <c r="M37" s="248" t="str">
        <f t="shared" si="9"/>
        <v>Menor A:</v>
      </c>
      <c r="N37" s="292">
        <v>85</v>
      </c>
    </row>
    <row r="38" spans="2:14" ht="51">
      <c r="B38" s="287">
        <f t="shared" si="4"/>
        <v>31</v>
      </c>
      <c r="C38" s="288" t="s">
        <v>577</v>
      </c>
      <c r="D38" s="297" t="s">
        <v>719</v>
      </c>
      <c r="E38" s="295" t="str">
        <f>'05 Prom Defen Derechos POA 2020'!E26</f>
        <v xml:space="preserve">Espacios de transferencia y fortalecimiento de conocimientos realizados para la atención de personas que acuden a la Personería de Bogotá, D. C. </v>
      </c>
      <c r="F38" s="294" t="s">
        <v>677</v>
      </c>
      <c r="G38" s="290" t="s">
        <v>691</v>
      </c>
      <c r="H38" s="291">
        <v>95</v>
      </c>
      <c r="I38" s="248" t="str">
        <f t="shared" si="5"/>
        <v>Desde (&gt;=):</v>
      </c>
      <c r="J38" s="248">
        <f t="shared" si="6"/>
        <v>85</v>
      </c>
      <c r="K38" s="248" t="str">
        <f t="shared" si="7"/>
        <v>Hasta (&lt;=):</v>
      </c>
      <c r="L38" s="248">
        <f t="shared" si="8"/>
        <v>95</v>
      </c>
      <c r="M38" s="248" t="str">
        <f t="shared" si="9"/>
        <v>Menor A:</v>
      </c>
      <c r="N38" s="292">
        <v>85</v>
      </c>
    </row>
    <row r="39" spans="2:14" ht="25.5">
      <c r="B39" s="287">
        <f t="shared" si="4"/>
        <v>32</v>
      </c>
      <c r="C39" s="288" t="s">
        <v>577</v>
      </c>
      <c r="D39" s="297" t="s">
        <v>723</v>
      </c>
      <c r="E39" s="295" t="str">
        <f>'05 Prom Defen Derechos POA 2020'!E27</f>
        <v>Decisiones de fondo y de archivo verificadas</v>
      </c>
      <c r="F39" s="294" t="s">
        <v>681</v>
      </c>
      <c r="G39" s="290" t="s">
        <v>691</v>
      </c>
      <c r="H39" s="291">
        <v>90</v>
      </c>
      <c r="I39" s="248" t="str">
        <f t="shared" si="5"/>
        <v>Desde (&gt;=):</v>
      </c>
      <c r="J39" s="248">
        <f t="shared" si="6"/>
        <v>70</v>
      </c>
      <c r="K39" s="248" t="str">
        <f t="shared" si="7"/>
        <v>Hasta (&lt;=):</v>
      </c>
      <c r="L39" s="248">
        <f t="shared" si="8"/>
        <v>90</v>
      </c>
      <c r="M39" s="248" t="str">
        <f t="shared" si="9"/>
        <v>Menor A:</v>
      </c>
      <c r="N39" s="292">
        <v>70</v>
      </c>
    </row>
    <row r="40" spans="2:14" ht="25.5">
      <c r="B40" s="287">
        <f t="shared" si="4"/>
        <v>33</v>
      </c>
      <c r="C40" s="288" t="s">
        <v>577</v>
      </c>
      <c r="D40" s="287" t="s">
        <v>724</v>
      </c>
      <c r="E40" s="295" t="str">
        <f>'05 Prom Defen Derechos POA 2020'!E28</f>
        <v>Asistencia a Audiencias Públicas</v>
      </c>
      <c r="F40" s="294" t="s">
        <v>677</v>
      </c>
      <c r="G40" s="290" t="s">
        <v>691</v>
      </c>
      <c r="H40" s="291">
        <v>90</v>
      </c>
      <c r="I40" s="248" t="str">
        <f t="shared" si="5"/>
        <v>Desde (&gt;=):</v>
      </c>
      <c r="J40" s="248">
        <f t="shared" si="6"/>
        <v>70</v>
      </c>
      <c r="K40" s="248" t="str">
        <f t="shared" si="7"/>
        <v>Hasta (&lt;=):</v>
      </c>
      <c r="L40" s="248">
        <f t="shared" si="8"/>
        <v>90</v>
      </c>
      <c r="M40" s="248" t="str">
        <f t="shared" si="9"/>
        <v>Menor A:</v>
      </c>
      <c r="N40" s="292">
        <v>70</v>
      </c>
    </row>
    <row r="41" spans="2:14" ht="25.5">
      <c r="B41" s="287">
        <f t="shared" si="4"/>
        <v>34</v>
      </c>
      <c r="C41" s="288" t="s">
        <v>577</v>
      </c>
      <c r="D41" s="287" t="s">
        <v>725</v>
      </c>
      <c r="E41" s="299" t="str">
        <f>'05 Prom Defen Derechos POA 2020'!E29</f>
        <v>Sensibilizaciones realizadas en valores, derechos y  obligaciones</v>
      </c>
      <c r="F41" s="294" t="s">
        <v>677</v>
      </c>
      <c r="G41" s="290" t="s">
        <v>691</v>
      </c>
      <c r="H41" s="291">
        <v>90</v>
      </c>
      <c r="I41" s="248" t="str">
        <f t="shared" si="5"/>
        <v>Desde (&gt;=):</v>
      </c>
      <c r="J41" s="248">
        <f t="shared" si="6"/>
        <v>70</v>
      </c>
      <c r="K41" s="248" t="str">
        <f t="shared" si="7"/>
        <v>Hasta (&lt;=):</v>
      </c>
      <c r="L41" s="248">
        <f t="shared" si="8"/>
        <v>90</v>
      </c>
      <c r="M41" s="248" t="str">
        <f t="shared" si="9"/>
        <v>Menor A:</v>
      </c>
      <c r="N41" s="292">
        <v>70</v>
      </c>
    </row>
    <row r="42" spans="2:14" ht="25.5">
      <c r="B42" s="287">
        <f t="shared" si="4"/>
        <v>35</v>
      </c>
      <c r="C42" s="288" t="s">
        <v>577</v>
      </c>
      <c r="D42" s="287" t="s">
        <v>726</v>
      </c>
      <c r="E42" s="295" t="str">
        <f>'05 Prom Defen Derechos POA 2020'!E30</f>
        <v>Actividades realizadas para fortalecer y promover la participación ciudadana</v>
      </c>
      <c r="F42" s="294" t="s">
        <v>677</v>
      </c>
      <c r="G42" s="290" t="s">
        <v>691</v>
      </c>
      <c r="H42" s="291">
        <v>90</v>
      </c>
      <c r="I42" s="248" t="str">
        <f t="shared" si="5"/>
        <v>Desde (&gt;=):</v>
      </c>
      <c r="J42" s="248">
        <f t="shared" si="6"/>
        <v>70</v>
      </c>
      <c r="K42" s="248" t="str">
        <f t="shared" si="7"/>
        <v>Hasta (&lt;=):</v>
      </c>
      <c r="L42" s="248">
        <f t="shared" si="8"/>
        <v>90</v>
      </c>
      <c r="M42" s="248" t="str">
        <f t="shared" si="9"/>
        <v>Menor A:</v>
      </c>
      <c r="N42" s="292">
        <v>70</v>
      </c>
    </row>
    <row r="43" spans="2:14" ht="25.5">
      <c r="B43" s="287">
        <f t="shared" si="4"/>
        <v>36</v>
      </c>
      <c r="C43" s="288" t="s">
        <v>577</v>
      </c>
      <c r="D43" s="287" t="s">
        <v>727</v>
      </c>
      <c r="E43" s="295" t="str">
        <f>'05 Prom Defen Derechos POA 2020'!E31</f>
        <v>Sensibilización en medio ambiente</v>
      </c>
      <c r="F43" s="294" t="s">
        <v>677</v>
      </c>
      <c r="G43" s="290" t="s">
        <v>691</v>
      </c>
      <c r="H43" s="291">
        <v>90</v>
      </c>
      <c r="I43" s="248" t="str">
        <f t="shared" si="5"/>
        <v>Desde (&gt;=):</v>
      </c>
      <c r="J43" s="248">
        <f t="shared" si="6"/>
        <v>70</v>
      </c>
      <c r="K43" s="248" t="str">
        <f t="shared" si="7"/>
        <v>Hasta (&lt;=):</v>
      </c>
      <c r="L43" s="248">
        <f t="shared" si="8"/>
        <v>90</v>
      </c>
      <c r="M43" s="248" t="str">
        <f t="shared" si="9"/>
        <v>Menor A:</v>
      </c>
      <c r="N43" s="292">
        <v>70</v>
      </c>
    </row>
    <row r="44" spans="2:14" ht="25.5">
      <c r="B44" s="287">
        <f t="shared" si="4"/>
        <v>37</v>
      </c>
      <c r="C44" s="288" t="s">
        <v>577</v>
      </c>
      <c r="D44" s="287" t="s">
        <v>728</v>
      </c>
      <c r="E44" s="295" t="str">
        <f>'05 Prom Defen Derechos POA 2020'!E32</f>
        <v>Elaboración de tutelas</v>
      </c>
      <c r="F44" s="294" t="s">
        <v>677</v>
      </c>
      <c r="G44" s="290" t="s">
        <v>691</v>
      </c>
      <c r="H44" s="291">
        <v>90</v>
      </c>
      <c r="I44" s="248" t="str">
        <f t="shared" si="5"/>
        <v>Desde (&gt;=):</v>
      </c>
      <c r="J44" s="248">
        <f t="shared" si="6"/>
        <v>70</v>
      </c>
      <c r="K44" s="248" t="str">
        <f t="shared" si="7"/>
        <v>Hasta (&lt;=):</v>
      </c>
      <c r="L44" s="248">
        <f t="shared" si="8"/>
        <v>90</v>
      </c>
      <c r="M44" s="248" t="str">
        <f t="shared" si="9"/>
        <v>Menor A:</v>
      </c>
      <c r="N44" s="292">
        <v>70</v>
      </c>
    </row>
    <row r="45" spans="2:14" ht="25.5">
      <c r="B45" s="287">
        <f t="shared" si="4"/>
        <v>38</v>
      </c>
      <c r="C45" s="288" t="s">
        <v>577</v>
      </c>
      <c r="D45" s="287" t="s">
        <v>729</v>
      </c>
      <c r="E45" s="295" t="str">
        <f>'05 Prom Defen Derechos POA 2020'!E33</f>
        <v>Intervenciones realizadas (impulsos realizados)</v>
      </c>
      <c r="F45" s="294" t="s">
        <v>677</v>
      </c>
      <c r="G45" s="290" t="s">
        <v>691</v>
      </c>
      <c r="H45" s="291">
        <v>90</v>
      </c>
      <c r="I45" s="248" t="str">
        <f t="shared" si="5"/>
        <v>Desde (&gt;=):</v>
      </c>
      <c r="J45" s="248">
        <f t="shared" si="6"/>
        <v>70</v>
      </c>
      <c r="K45" s="248" t="str">
        <f t="shared" si="7"/>
        <v>Hasta (&lt;=):</v>
      </c>
      <c r="L45" s="248">
        <f t="shared" si="8"/>
        <v>90</v>
      </c>
      <c r="M45" s="248" t="str">
        <f t="shared" si="9"/>
        <v>Menor A:</v>
      </c>
      <c r="N45" s="292">
        <v>70</v>
      </c>
    </row>
    <row r="46" spans="2:14" ht="25.5">
      <c r="B46" s="287">
        <f t="shared" si="4"/>
        <v>39</v>
      </c>
      <c r="C46" s="300" t="s">
        <v>692</v>
      </c>
      <c r="D46" s="287" t="s">
        <v>732</v>
      </c>
      <c r="E46" s="295" t="str">
        <f>'06 Prev Ctrl Func Públ POA 2020'!E13</f>
        <v xml:space="preserve">Audiencias  y mesas de trabajo realizadas 
</v>
      </c>
      <c r="F46" s="294" t="s">
        <v>677</v>
      </c>
      <c r="G46" s="290" t="s">
        <v>691</v>
      </c>
      <c r="H46" s="291">
        <v>90</v>
      </c>
      <c r="I46" s="248" t="str">
        <f t="shared" si="5"/>
        <v>Desde (&gt;=):</v>
      </c>
      <c r="J46" s="248">
        <f t="shared" si="6"/>
        <v>69</v>
      </c>
      <c r="K46" s="248" t="str">
        <f t="shared" si="7"/>
        <v>Hasta (&lt;=):</v>
      </c>
      <c r="L46" s="248">
        <f t="shared" si="8"/>
        <v>90</v>
      </c>
      <c r="M46" s="248" t="str">
        <f t="shared" si="9"/>
        <v>Menor A:</v>
      </c>
      <c r="N46" s="292">
        <v>69</v>
      </c>
    </row>
    <row r="47" spans="2:14" ht="25.5">
      <c r="B47" s="287">
        <f t="shared" si="4"/>
        <v>40</v>
      </c>
      <c r="C47" s="300" t="s">
        <v>692</v>
      </c>
      <c r="D47" s="287" t="s">
        <v>617</v>
      </c>
      <c r="E47" s="295" t="str">
        <f>'06 Prev Ctrl Func Públ POA 2020'!E14</f>
        <v>Acciones de prevención y control a la función pública realizadas</v>
      </c>
      <c r="F47" s="294" t="s">
        <v>677</v>
      </c>
      <c r="G47" s="290" t="s">
        <v>691</v>
      </c>
      <c r="H47" s="291">
        <v>90</v>
      </c>
      <c r="I47" s="248" t="str">
        <f t="shared" si="5"/>
        <v>Desde (&gt;=):</v>
      </c>
      <c r="J47" s="248">
        <f t="shared" si="6"/>
        <v>69</v>
      </c>
      <c r="K47" s="248" t="str">
        <f t="shared" si="7"/>
        <v>Hasta (&lt;=):</v>
      </c>
      <c r="L47" s="248">
        <f t="shared" si="8"/>
        <v>90</v>
      </c>
      <c r="M47" s="248" t="str">
        <f t="shared" si="9"/>
        <v>Menor A:</v>
      </c>
      <c r="N47" s="292">
        <v>69</v>
      </c>
    </row>
    <row r="48" spans="2:14" ht="25.5">
      <c r="B48" s="287">
        <f t="shared" si="4"/>
        <v>41</v>
      </c>
      <c r="C48" s="300" t="s">
        <v>692</v>
      </c>
      <c r="D48" s="287" t="s">
        <v>618</v>
      </c>
      <c r="E48" s="295" t="str">
        <f>'06 Prev Ctrl Func Públ POA 2020'!E15</f>
        <v>Seguimientos realizados</v>
      </c>
      <c r="F48" s="294" t="s">
        <v>677</v>
      </c>
      <c r="G48" s="290" t="s">
        <v>691</v>
      </c>
      <c r="H48" s="291">
        <v>90</v>
      </c>
      <c r="I48" s="248" t="str">
        <f t="shared" si="5"/>
        <v>Desde (&gt;=):</v>
      </c>
      <c r="J48" s="248">
        <f t="shared" si="6"/>
        <v>69</v>
      </c>
      <c r="K48" s="248" t="str">
        <f t="shared" si="7"/>
        <v>Hasta (&lt;=):</v>
      </c>
      <c r="L48" s="248">
        <f t="shared" si="8"/>
        <v>90</v>
      </c>
      <c r="M48" s="248" t="str">
        <f t="shared" si="9"/>
        <v>Menor A:</v>
      </c>
      <c r="N48" s="292">
        <v>69</v>
      </c>
    </row>
    <row r="49" spans="2:14" ht="25.5">
      <c r="B49" s="287">
        <f t="shared" si="4"/>
        <v>42</v>
      </c>
      <c r="C49" s="300" t="s">
        <v>692</v>
      </c>
      <c r="D49" s="287" t="s">
        <v>620</v>
      </c>
      <c r="E49" s="295" t="str">
        <f>'06 Prev Ctrl Func Públ POA 2020'!E16</f>
        <v>Seguimiento presupuestal</v>
      </c>
      <c r="F49" s="294" t="s">
        <v>677</v>
      </c>
      <c r="G49" s="290" t="s">
        <v>691</v>
      </c>
      <c r="H49" s="291">
        <v>90</v>
      </c>
      <c r="I49" s="248" t="str">
        <f t="shared" si="5"/>
        <v>Desde (&gt;=):</v>
      </c>
      <c r="J49" s="248">
        <f t="shared" si="6"/>
        <v>70</v>
      </c>
      <c r="K49" s="248" t="str">
        <f t="shared" si="7"/>
        <v>Hasta (&lt;=):</v>
      </c>
      <c r="L49" s="248">
        <f t="shared" si="8"/>
        <v>90</v>
      </c>
      <c r="M49" s="248" t="str">
        <f t="shared" si="9"/>
        <v>Menor A:</v>
      </c>
      <c r="N49" s="292">
        <v>70</v>
      </c>
    </row>
    <row r="50" spans="2:14" ht="25.5">
      <c r="B50" s="287">
        <f t="shared" si="4"/>
        <v>43</v>
      </c>
      <c r="C50" s="300" t="s">
        <v>692</v>
      </c>
      <c r="D50" s="287" t="s">
        <v>621</v>
      </c>
      <c r="E50" s="295" t="str">
        <f>'06 Prev Ctrl Func Públ POA 2020'!E17</f>
        <v>Porcentaje de contratos revisados a petición de parte</v>
      </c>
      <c r="F50" s="294" t="s">
        <v>677</v>
      </c>
      <c r="G50" s="290" t="s">
        <v>691</v>
      </c>
      <c r="H50" s="291">
        <v>90</v>
      </c>
      <c r="I50" s="248" t="str">
        <f t="shared" si="5"/>
        <v>Desde (&gt;=):</v>
      </c>
      <c r="J50" s="248">
        <f t="shared" si="6"/>
        <v>70</v>
      </c>
      <c r="K50" s="248" t="str">
        <f t="shared" si="7"/>
        <v>Hasta (&lt;=):</v>
      </c>
      <c r="L50" s="248">
        <f t="shared" si="8"/>
        <v>90</v>
      </c>
      <c r="M50" s="248" t="str">
        <f t="shared" si="9"/>
        <v>Menor A:</v>
      </c>
      <c r="N50" s="292">
        <v>70</v>
      </c>
    </row>
    <row r="51" spans="2:14" ht="25.5">
      <c r="B51" s="287">
        <f t="shared" si="4"/>
        <v>44</v>
      </c>
      <c r="C51" s="300" t="s">
        <v>692</v>
      </c>
      <c r="D51" s="287" t="s">
        <v>619</v>
      </c>
      <c r="E51" s="295" t="str">
        <f>'06 Prev Ctrl Func Públ POA 2020'!E18</f>
        <v>Contratos revisados de oficio</v>
      </c>
      <c r="F51" s="294" t="s">
        <v>677</v>
      </c>
      <c r="G51" s="290" t="s">
        <v>691</v>
      </c>
      <c r="H51" s="291">
        <v>90</v>
      </c>
      <c r="I51" s="248" t="str">
        <f t="shared" si="5"/>
        <v>Desde (&gt;=):</v>
      </c>
      <c r="J51" s="248">
        <f t="shared" si="6"/>
        <v>70</v>
      </c>
      <c r="K51" s="248" t="str">
        <f t="shared" si="7"/>
        <v>Hasta (&lt;=):</v>
      </c>
      <c r="L51" s="248">
        <f t="shared" si="8"/>
        <v>90</v>
      </c>
      <c r="M51" s="248" t="str">
        <f t="shared" si="9"/>
        <v>Menor A:</v>
      </c>
      <c r="N51" s="292">
        <v>70</v>
      </c>
    </row>
    <row r="52" spans="2:14">
      <c r="B52" s="287">
        <f t="shared" si="4"/>
        <v>45</v>
      </c>
      <c r="C52" s="301" t="s">
        <v>579</v>
      </c>
      <c r="D52" s="287" t="s">
        <v>623</v>
      </c>
      <c r="E52" s="295" t="str">
        <f>'07 Potestad Discip POA 2020'!E13</f>
        <v>Citaciones a audiencia emitidas</v>
      </c>
      <c r="F52" s="294" t="s">
        <v>677</v>
      </c>
      <c r="G52" s="290" t="s">
        <v>700</v>
      </c>
      <c r="H52" s="291">
        <v>90</v>
      </c>
      <c r="I52" s="248" t="str">
        <f t="shared" si="5"/>
        <v>Desde (&gt;):</v>
      </c>
      <c r="J52" s="248">
        <f t="shared" si="6"/>
        <v>69</v>
      </c>
      <c r="K52" s="248" t="str">
        <f t="shared" si="7"/>
        <v>Hasta (&lt;):</v>
      </c>
      <c r="L52" s="248">
        <f t="shared" si="8"/>
        <v>90</v>
      </c>
      <c r="M52" s="248" t="str">
        <f t="shared" si="9"/>
        <v>Menor o Igual A:</v>
      </c>
      <c r="N52" s="292">
        <v>69</v>
      </c>
    </row>
    <row r="53" spans="2:14" ht="25.5">
      <c r="B53" s="287">
        <f t="shared" si="4"/>
        <v>46</v>
      </c>
      <c r="C53" s="301" t="s">
        <v>579</v>
      </c>
      <c r="D53" s="287" t="s">
        <v>624</v>
      </c>
      <c r="E53" s="295" t="str">
        <f>'07 Potestad Discip POA 2020'!E14</f>
        <v>Número de citaciones a audiencia emitidas que terminan con fallo</v>
      </c>
      <c r="F53" s="294" t="s">
        <v>677</v>
      </c>
      <c r="G53" s="290" t="s">
        <v>700</v>
      </c>
      <c r="H53" s="291">
        <v>90</v>
      </c>
      <c r="I53" s="248" t="str">
        <f t="shared" si="5"/>
        <v>Desde (&gt;):</v>
      </c>
      <c r="J53" s="248">
        <f t="shared" si="6"/>
        <v>69</v>
      </c>
      <c r="K53" s="248" t="str">
        <f t="shared" si="7"/>
        <v>Hasta (&lt;):</v>
      </c>
      <c r="L53" s="248">
        <f t="shared" si="8"/>
        <v>90</v>
      </c>
      <c r="M53" s="248" t="str">
        <f t="shared" si="9"/>
        <v>Menor o Igual A:</v>
      </c>
      <c r="N53" s="292">
        <v>69</v>
      </c>
    </row>
    <row r="54" spans="2:14">
      <c r="B54" s="287">
        <f t="shared" si="4"/>
        <v>47</v>
      </c>
      <c r="C54" s="301" t="s">
        <v>579</v>
      </c>
      <c r="D54" s="287" t="s">
        <v>625</v>
      </c>
      <c r="E54" s="295" t="str">
        <f>'07 Potestad Discip POA 2020'!E15</f>
        <v>Fallos proferidos</v>
      </c>
      <c r="F54" s="294" t="s">
        <v>677</v>
      </c>
      <c r="G54" s="290" t="s">
        <v>700</v>
      </c>
      <c r="H54" s="291">
        <v>90</v>
      </c>
      <c r="I54" s="248" t="str">
        <f t="shared" si="5"/>
        <v>Desde (&gt;):</v>
      </c>
      <c r="J54" s="248">
        <f t="shared" si="6"/>
        <v>69</v>
      </c>
      <c r="K54" s="248" t="str">
        <f t="shared" si="7"/>
        <v>Hasta (&lt;):</v>
      </c>
      <c r="L54" s="248">
        <f t="shared" si="8"/>
        <v>90</v>
      </c>
      <c r="M54" s="248" t="str">
        <f t="shared" si="9"/>
        <v>Menor o Igual A:</v>
      </c>
      <c r="N54" s="292">
        <v>69</v>
      </c>
    </row>
    <row r="55" spans="2:14">
      <c r="B55" s="287">
        <f t="shared" si="4"/>
        <v>48</v>
      </c>
      <c r="C55" s="301" t="s">
        <v>579</v>
      </c>
      <c r="D55" s="287" t="s">
        <v>626</v>
      </c>
      <c r="E55" s="295" t="str">
        <f>'07 Potestad Discip POA 2020'!E16</f>
        <v>Decisiones de fondo</v>
      </c>
      <c r="F55" s="294" t="s">
        <v>677</v>
      </c>
      <c r="G55" s="290" t="s">
        <v>700</v>
      </c>
      <c r="H55" s="291">
        <v>90</v>
      </c>
      <c r="I55" s="248" t="str">
        <f t="shared" si="5"/>
        <v>Desde (&gt;):</v>
      </c>
      <c r="J55" s="248">
        <f t="shared" si="6"/>
        <v>69</v>
      </c>
      <c r="K55" s="248" t="str">
        <f t="shared" si="7"/>
        <v>Hasta (&lt;):</v>
      </c>
      <c r="L55" s="248">
        <f t="shared" si="8"/>
        <v>90</v>
      </c>
      <c r="M55" s="248" t="str">
        <f t="shared" si="9"/>
        <v>Menor o Igual A:</v>
      </c>
      <c r="N55" s="292">
        <v>69</v>
      </c>
    </row>
    <row r="56" spans="2:14" ht="25.5">
      <c r="B56" s="287">
        <f t="shared" si="4"/>
        <v>49</v>
      </c>
      <c r="C56" s="302" t="s">
        <v>581</v>
      </c>
      <c r="D56" s="287" t="s">
        <v>733</v>
      </c>
      <c r="E56" s="295" t="str">
        <f>'08 Gestión Talento Hum POA 2020'!E13</f>
        <v>Porcentaje de novedades y situaciones administrativas gestionadas</v>
      </c>
      <c r="F56" s="294" t="s">
        <v>677</v>
      </c>
      <c r="G56" s="290" t="s">
        <v>700</v>
      </c>
      <c r="H56" s="291">
        <v>90</v>
      </c>
      <c r="I56" s="248" t="str">
        <f t="shared" si="5"/>
        <v>Desde (&gt;):</v>
      </c>
      <c r="J56" s="248">
        <f t="shared" si="6"/>
        <v>70</v>
      </c>
      <c r="K56" s="248" t="str">
        <f t="shared" si="7"/>
        <v>Hasta (&lt;):</v>
      </c>
      <c r="L56" s="248">
        <f t="shared" si="8"/>
        <v>90</v>
      </c>
      <c r="M56" s="248" t="str">
        <f t="shared" si="9"/>
        <v>Menor o Igual A:</v>
      </c>
      <c r="N56" s="292">
        <v>70</v>
      </c>
    </row>
    <row r="57" spans="2:14" ht="25.5">
      <c r="B57" s="287">
        <f t="shared" si="4"/>
        <v>50</v>
      </c>
      <c r="C57" s="302" t="s">
        <v>581</v>
      </c>
      <c r="D57" s="287" t="s">
        <v>628</v>
      </c>
      <c r="E57" s="295" t="str">
        <f>'08 Gestión Talento Hum POA 2020'!E14</f>
        <v xml:space="preserve">Porcentaje de incapacidades susceptibles de cobro gestionadas  </v>
      </c>
      <c r="F57" s="294" t="s">
        <v>677</v>
      </c>
      <c r="G57" s="290" t="s">
        <v>691</v>
      </c>
      <c r="H57" s="291">
        <v>90</v>
      </c>
      <c r="I57" s="248" t="str">
        <f t="shared" si="5"/>
        <v>Desde (&gt;=):</v>
      </c>
      <c r="J57" s="248">
        <f t="shared" si="6"/>
        <v>80</v>
      </c>
      <c r="K57" s="248" t="str">
        <f t="shared" si="7"/>
        <v>Hasta (&lt;=):</v>
      </c>
      <c r="L57" s="248">
        <f t="shared" si="8"/>
        <v>90</v>
      </c>
      <c r="M57" s="248" t="str">
        <f t="shared" si="9"/>
        <v>Menor A:</v>
      </c>
      <c r="N57" s="292">
        <v>80</v>
      </c>
    </row>
    <row r="58" spans="2:14" ht="38.25">
      <c r="B58" s="287">
        <f t="shared" si="4"/>
        <v>51</v>
      </c>
      <c r="C58" s="302" t="s">
        <v>581</v>
      </c>
      <c r="D58" s="287" t="s">
        <v>629</v>
      </c>
      <c r="E58" s="295" t="str">
        <f>'08 Gestión Talento Hum POA 2020'!E15</f>
        <v xml:space="preserve">Documentos de las historias laborales actualizados
</v>
      </c>
      <c r="F58" s="294" t="s">
        <v>677</v>
      </c>
      <c r="G58" s="290" t="s">
        <v>700</v>
      </c>
      <c r="H58" s="291">
        <v>90</v>
      </c>
      <c r="I58" s="248" t="str">
        <f t="shared" si="5"/>
        <v>Desde (&gt;):</v>
      </c>
      <c r="J58" s="248">
        <f t="shared" si="6"/>
        <v>80</v>
      </c>
      <c r="K58" s="248" t="str">
        <f t="shared" si="7"/>
        <v>Hasta (&lt;):</v>
      </c>
      <c r="L58" s="248">
        <f t="shared" si="8"/>
        <v>90</v>
      </c>
      <c r="M58" s="248" t="str">
        <f t="shared" si="9"/>
        <v>Menor o Igual A:</v>
      </c>
      <c r="N58" s="292">
        <v>80</v>
      </c>
    </row>
    <row r="59" spans="2:14" ht="25.5">
      <c r="B59" s="287">
        <f t="shared" si="4"/>
        <v>52</v>
      </c>
      <c r="C59" s="302" t="s">
        <v>581</v>
      </c>
      <c r="D59" s="287" t="s">
        <v>630</v>
      </c>
      <c r="E59" s="295" t="str">
        <f>'08 Gestión Talento Hum POA 2020'!E16</f>
        <v>Historias laborales en préstamo con documentos actualizados</v>
      </c>
      <c r="F59" s="294" t="s">
        <v>677</v>
      </c>
      <c r="G59" s="290" t="s">
        <v>700</v>
      </c>
      <c r="H59" s="291">
        <v>90</v>
      </c>
      <c r="I59" s="248" t="str">
        <f t="shared" si="5"/>
        <v>Desde (&gt;):</v>
      </c>
      <c r="J59" s="248">
        <f t="shared" si="6"/>
        <v>80</v>
      </c>
      <c r="K59" s="248" t="str">
        <f t="shared" si="7"/>
        <v>Hasta (&lt;):</v>
      </c>
      <c r="L59" s="248">
        <f t="shared" si="8"/>
        <v>90</v>
      </c>
      <c r="M59" s="248" t="str">
        <f t="shared" si="9"/>
        <v>Menor o Igual A:</v>
      </c>
      <c r="N59" s="292">
        <v>80</v>
      </c>
    </row>
    <row r="60" spans="2:14" ht="38.25">
      <c r="B60" s="287">
        <f t="shared" si="4"/>
        <v>53</v>
      </c>
      <c r="C60" s="302" t="s">
        <v>581</v>
      </c>
      <c r="D60" s="287" t="s">
        <v>631</v>
      </c>
      <c r="E60" s="295" t="str">
        <f>'08 Gestión Talento Hum POA 2020'!E17</f>
        <v xml:space="preserve">Solicitudes de certificaciones laborales y de bono pensional gestionadas
</v>
      </c>
      <c r="F60" s="294" t="s">
        <v>677</v>
      </c>
      <c r="G60" s="290" t="s">
        <v>700</v>
      </c>
      <c r="H60" s="291">
        <v>90</v>
      </c>
      <c r="I60" s="248" t="str">
        <f t="shared" si="5"/>
        <v>Desde (&gt;):</v>
      </c>
      <c r="J60" s="248">
        <f t="shared" si="6"/>
        <v>80</v>
      </c>
      <c r="K60" s="248" t="str">
        <f t="shared" si="7"/>
        <v>Hasta (&lt;):</v>
      </c>
      <c r="L60" s="248">
        <f t="shared" si="8"/>
        <v>90</v>
      </c>
      <c r="M60" s="248" t="str">
        <f t="shared" si="9"/>
        <v>Menor o Igual A:</v>
      </c>
      <c r="N60" s="292">
        <v>80</v>
      </c>
    </row>
    <row r="61" spans="2:14" ht="25.5">
      <c r="B61" s="287">
        <f t="shared" si="4"/>
        <v>54</v>
      </c>
      <c r="C61" s="302" t="s">
        <v>581</v>
      </c>
      <c r="D61" s="287" t="s">
        <v>632</v>
      </c>
      <c r="E61" s="295" t="str">
        <f>'08 Gestión Talento Hum POA 2020'!E18</f>
        <v xml:space="preserve">Oportunidad en trámite de certificaciones
</v>
      </c>
      <c r="F61" s="294" t="s">
        <v>677</v>
      </c>
      <c r="G61" s="290" t="s">
        <v>700</v>
      </c>
      <c r="H61" s="291">
        <v>100</v>
      </c>
      <c r="I61" s="248" t="str">
        <f t="shared" si="5"/>
        <v>Desde (&gt;):</v>
      </c>
      <c r="J61" s="248">
        <f t="shared" si="6"/>
        <v>97</v>
      </c>
      <c r="K61" s="248" t="str">
        <f t="shared" si="7"/>
        <v>Hasta (&lt;):</v>
      </c>
      <c r="L61" s="248">
        <f t="shared" si="8"/>
        <v>100</v>
      </c>
      <c r="M61" s="248" t="str">
        <f t="shared" si="9"/>
        <v>Menor o Igual A:</v>
      </c>
      <c r="N61" s="292">
        <v>97</v>
      </c>
    </row>
    <row r="62" spans="2:14" ht="25.5">
      <c r="B62" s="287">
        <f t="shared" si="4"/>
        <v>55</v>
      </c>
      <c r="C62" s="302" t="s">
        <v>581</v>
      </c>
      <c r="D62" s="287" t="s">
        <v>633</v>
      </c>
      <c r="E62" s="295" t="str">
        <f>'08 Gestión Talento Hum POA 2020'!E19</f>
        <v>Plan Institucional de Capacitación formulado y ejecutado</v>
      </c>
      <c r="F62" s="294" t="s">
        <v>677</v>
      </c>
      <c r="G62" s="290" t="s">
        <v>700</v>
      </c>
      <c r="H62" s="291">
        <v>90</v>
      </c>
      <c r="I62" s="248" t="str">
        <f t="shared" si="5"/>
        <v>Desde (&gt;):</v>
      </c>
      <c r="J62" s="248">
        <f t="shared" si="6"/>
        <v>69</v>
      </c>
      <c r="K62" s="248" t="str">
        <f t="shared" si="7"/>
        <v>Hasta (&lt;):</v>
      </c>
      <c r="L62" s="248">
        <f t="shared" si="8"/>
        <v>90</v>
      </c>
      <c r="M62" s="248" t="str">
        <f t="shared" si="9"/>
        <v>Menor o Igual A:</v>
      </c>
      <c r="N62" s="292">
        <v>69</v>
      </c>
    </row>
    <row r="63" spans="2:14" ht="25.5">
      <c r="B63" s="287">
        <f t="shared" si="4"/>
        <v>56</v>
      </c>
      <c r="C63" s="302" t="s">
        <v>581</v>
      </c>
      <c r="D63" s="287" t="s">
        <v>634</v>
      </c>
      <c r="E63" s="295" t="str">
        <f>'08 Gestión Talento Hum POA 2020'!E20</f>
        <v>Plan Institucional de Bienestar formulado y ejecutado</v>
      </c>
      <c r="F63" s="294" t="s">
        <v>677</v>
      </c>
      <c r="G63" s="290" t="s">
        <v>700</v>
      </c>
      <c r="H63" s="291">
        <v>90</v>
      </c>
      <c r="I63" s="248" t="str">
        <f t="shared" si="5"/>
        <v>Desde (&gt;):</v>
      </c>
      <c r="J63" s="248">
        <f t="shared" si="6"/>
        <v>69</v>
      </c>
      <c r="K63" s="248" t="str">
        <f t="shared" si="7"/>
        <v>Hasta (&lt;):</v>
      </c>
      <c r="L63" s="248">
        <f t="shared" si="8"/>
        <v>90</v>
      </c>
      <c r="M63" s="248" t="str">
        <f t="shared" si="9"/>
        <v>Menor o Igual A:</v>
      </c>
      <c r="N63" s="292">
        <v>69</v>
      </c>
    </row>
    <row r="64" spans="2:14" ht="25.5">
      <c r="B64" s="287">
        <f t="shared" si="4"/>
        <v>57</v>
      </c>
      <c r="C64" s="302" t="s">
        <v>581</v>
      </c>
      <c r="D64" s="287" t="s">
        <v>635</v>
      </c>
      <c r="E64" s="295" t="str">
        <f>'08 Gestión Talento Hum POA 2020'!E21</f>
        <v>Plan Institucional de Incentivos formulado y ejecutado</v>
      </c>
      <c r="F64" s="294" t="s">
        <v>677</v>
      </c>
      <c r="G64" s="290" t="s">
        <v>700</v>
      </c>
      <c r="H64" s="291">
        <v>90</v>
      </c>
      <c r="I64" s="248" t="str">
        <f t="shared" si="5"/>
        <v>Desde (&gt;):</v>
      </c>
      <c r="J64" s="248">
        <f t="shared" si="6"/>
        <v>69</v>
      </c>
      <c r="K64" s="248" t="str">
        <f t="shared" si="7"/>
        <v>Hasta (&lt;):</v>
      </c>
      <c r="L64" s="248">
        <f t="shared" si="8"/>
        <v>90</v>
      </c>
      <c r="M64" s="248" t="str">
        <f t="shared" si="9"/>
        <v>Menor o Igual A:</v>
      </c>
      <c r="N64" s="292">
        <v>69</v>
      </c>
    </row>
    <row r="65" spans="2:14" ht="38.25">
      <c r="B65" s="287">
        <f t="shared" si="4"/>
        <v>58</v>
      </c>
      <c r="C65" s="302" t="s">
        <v>581</v>
      </c>
      <c r="D65" s="287" t="s">
        <v>636</v>
      </c>
      <c r="E65" s="295" t="str">
        <f>'08 Gestión Talento Hum POA 2020'!E22</f>
        <v>Plan Anual de Trabajo del Sistema de Gestión de Seguridad y Salud en el Trabajo SG-SST formulado y ejecutado</v>
      </c>
      <c r="F65" s="294" t="s">
        <v>677</v>
      </c>
      <c r="G65" s="290" t="s">
        <v>700</v>
      </c>
      <c r="H65" s="291">
        <v>90</v>
      </c>
      <c r="I65" s="248" t="str">
        <f t="shared" si="5"/>
        <v>Desde (&gt;):</v>
      </c>
      <c r="J65" s="248">
        <f t="shared" si="6"/>
        <v>69</v>
      </c>
      <c r="K65" s="248" t="str">
        <f t="shared" si="7"/>
        <v>Hasta (&lt;):</v>
      </c>
      <c r="L65" s="248">
        <f t="shared" si="8"/>
        <v>90</v>
      </c>
      <c r="M65" s="248" t="str">
        <f t="shared" si="9"/>
        <v>Menor o Igual A:</v>
      </c>
      <c r="N65" s="292">
        <v>69</v>
      </c>
    </row>
    <row r="66" spans="2:14" ht="51">
      <c r="B66" s="287">
        <f t="shared" si="4"/>
        <v>59</v>
      </c>
      <c r="C66" s="302" t="s">
        <v>581</v>
      </c>
      <c r="D66" s="287" t="s">
        <v>734</v>
      </c>
      <c r="E66" s="295" t="str">
        <f>'08 Gestión Talento Hum POA 2020'!E23</f>
        <v xml:space="preserve">Dependencias con seguimiento y/o capacitación a los  sistemas de gestión y Evaluación del Desempeño Laboral de la Personería de Bogotá, D.C. </v>
      </c>
      <c r="F66" s="294" t="s">
        <v>677</v>
      </c>
      <c r="G66" s="290" t="s">
        <v>700</v>
      </c>
      <c r="H66" s="291">
        <v>90</v>
      </c>
      <c r="I66" s="248" t="str">
        <f t="shared" si="5"/>
        <v>Desde (&gt;):</v>
      </c>
      <c r="J66" s="248">
        <f t="shared" si="6"/>
        <v>70</v>
      </c>
      <c r="K66" s="248" t="str">
        <f t="shared" si="7"/>
        <v>Hasta (&lt;):</v>
      </c>
      <c r="L66" s="248">
        <f t="shared" si="8"/>
        <v>90</v>
      </c>
      <c r="M66" s="248" t="str">
        <f t="shared" si="9"/>
        <v>Menor o Igual A:</v>
      </c>
      <c r="N66" s="292">
        <v>70</v>
      </c>
    </row>
    <row r="67" spans="2:14" ht="25.5">
      <c r="B67" s="287">
        <f t="shared" si="4"/>
        <v>60</v>
      </c>
      <c r="C67" s="302" t="s">
        <v>581</v>
      </c>
      <c r="D67" s="287" t="s">
        <v>637</v>
      </c>
      <c r="E67" s="295" t="str">
        <f>'08 Gestión Talento Hum POA 2020'!E24</f>
        <v xml:space="preserve">Novedades incluidas en nómina liquidada y pagada oportunamente </v>
      </c>
      <c r="F67" s="294" t="s">
        <v>677</v>
      </c>
      <c r="G67" s="290" t="s">
        <v>700</v>
      </c>
      <c r="H67" s="291">
        <v>90</v>
      </c>
      <c r="I67" s="248" t="str">
        <f t="shared" si="5"/>
        <v>Desde (&gt;):</v>
      </c>
      <c r="J67" s="248">
        <f t="shared" si="6"/>
        <v>80</v>
      </c>
      <c r="K67" s="248" t="str">
        <f t="shared" si="7"/>
        <v>Hasta (&lt;):</v>
      </c>
      <c r="L67" s="248">
        <f t="shared" si="8"/>
        <v>90</v>
      </c>
      <c r="M67" s="248" t="str">
        <f t="shared" si="9"/>
        <v>Menor o Igual A:</v>
      </c>
      <c r="N67" s="292">
        <v>80</v>
      </c>
    </row>
    <row r="68" spans="2:14" ht="51">
      <c r="B68" s="287">
        <f t="shared" si="4"/>
        <v>61</v>
      </c>
      <c r="C68" s="302" t="s">
        <v>581</v>
      </c>
      <c r="D68" s="287" t="s">
        <v>735</v>
      </c>
      <c r="E68" s="295" t="str">
        <f>'08 Gestión Talento Hum POA 2020'!E25</f>
        <v>Porcentaje de incapacidades superiores a 360 días de radicadas, que no han sido pagadas por las EPS, radicadas y gestionadas ante la instancia correspondiente.</v>
      </c>
      <c r="F68" s="294" t="s">
        <v>677</v>
      </c>
      <c r="G68" s="290" t="s">
        <v>700</v>
      </c>
      <c r="H68" s="291">
        <v>90</v>
      </c>
      <c r="I68" s="248" t="str">
        <f t="shared" si="5"/>
        <v>Desde (&gt;):</v>
      </c>
      <c r="J68" s="248">
        <f t="shared" si="6"/>
        <v>80</v>
      </c>
      <c r="K68" s="248" t="str">
        <f t="shared" si="7"/>
        <v>Hasta (&lt;):</v>
      </c>
      <c r="L68" s="248">
        <f t="shared" si="8"/>
        <v>90</v>
      </c>
      <c r="M68" s="248" t="str">
        <f t="shared" si="9"/>
        <v>Menor o Igual A:</v>
      </c>
      <c r="N68" s="292">
        <v>80</v>
      </c>
    </row>
    <row r="69" spans="2:14" ht="25.5">
      <c r="B69" s="287">
        <f t="shared" ref="B69:B109" si="10">1+B68</f>
        <v>62</v>
      </c>
      <c r="C69" s="301" t="s">
        <v>582</v>
      </c>
      <c r="D69" s="287" t="s">
        <v>639</v>
      </c>
      <c r="E69" s="295" t="str">
        <f>'09 Gestión Admin POA 2020'!E13</f>
        <v>Servicios de mantenimiento de bienes e instalaciones atendidos satisfactoriamente</v>
      </c>
      <c r="F69" s="294" t="s">
        <v>677</v>
      </c>
      <c r="G69" s="290" t="s">
        <v>700</v>
      </c>
      <c r="H69" s="291">
        <v>90</v>
      </c>
      <c r="I69" s="248" t="str">
        <f t="shared" si="5"/>
        <v>Desde (&gt;):</v>
      </c>
      <c r="J69" s="248">
        <f t="shared" si="6"/>
        <v>70</v>
      </c>
      <c r="K69" s="248" t="str">
        <f t="shared" si="7"/>
        <v>Hasta (&lt;):</v>
      </c>
      <c r="L69" s="248">
        <f t="shared" si="8"/>
        <v>90</v>
      </c>
      <c r="M69" s="248" t="str">
        <f t="shared" si="9"/>
        <v>Menor o Igual A:</v>
      </c>
      <c r="N69" s="292">
        <v>70</v>
      </c>
    </row>
    <row r="70" spans="2:14" ht="25.5">
      <c r="B70" s="287">
        <f t="shared" si="10"/>
        <v>63</v>
      </c>
      <c r="C70" s="301" t="s">
        <v>582</v>
      </c>
      <c r="D70" s="287" t="s">
        <v>736</v>
      </c>
      <c r="E70" s="295" t="str">
        <f>'09 Gestión Admin POA 2020'!E14</f>
        <v>Pedidos de almacén atendidos satisfactoriamente</v>
      </c>
      <c r="F70" s="294" t="s">
        <v>677</v>
      </c>
      <c r="G70" s="290" t="s">
        <v>700</v>
      </c>
      <c r="H70" s="291">
        <v>90</v>
      </c>
      <c r="I70" s="248" t="str">
        <f t="shared" ref="I70:I109" si="11">IF(OR($G70="Mayor A:",$G70="Menor A:"),"Desde (&gt;=):",
IF(OR($G70="Mayor o Igual A:",$G70="Menor o Igual A:"),"Desde (&gt;):",
IF($G70="Igual A:","No Aplica",
IF($G70="",""))))</f>
        <v>Desde (&gt;):</v>
      </c>
      <c r="J70" s="248">
        <f t="shared" ref="J70:J99" si="12">IF(H70&gt;N70,N70,
IF(H70&lt;N70,H70,
IF(H70=N70,"No Aplica","")))</f>
        <v>70</v>
      </c>
      <c r="K70" s="248" t="str">
        <f t="shared" ref="K70:K109" si="13">IF(OR($G70="Mayor A:",$G70="Menor A:"),"Hasta (&lt;=):",
IF(OR($G70="Mayor o Igual A:",$G70="Menor o Igual A:"),"Hasta (&lt;):",
IF($G70="Igual A:","No Aplica",
IF($G70="",""))))</f>
        <v>Hasta (&lt;):</v>
      </c>
      <c r="L70" s="248">
        <f t="shared" ref="L70:L99" si="14">IF(H70&gt;N70,H70,
IF(H70&lt;N70,N70,
IF(H70=N70,"No Aplica","")))</f>
        <v>90</v>
      </c>
      <c r="M70" s="248" t="str">
        <f t="shared" ref="M70:M109" si="15">IF($G70="Mayor A:","Menor A:",
IF($G70="Menor A:","Mayor A:",
IF($G70="Mayor o Igual A:","Menor o Igual A:",
IF($G70="Menor o Igual A:","Mayor o Igual A:",
IF($G70="Igual A:","Igual A:",
IF($G70="",""))))))</f>
        <v>Menor o Igual A:</v>
      </c>
      <c r="N70" s="292">
        <v>70</v>
      </c>
    </row>
    <row r="71" spans="2:14" ht="25.5">
      <c r="B71" s="287">
        <f t="shared" si="10"/>
        <v>64</v>
      </c>
      <c r="C71" s="301" t="s">
        <v>582</v>
      </c>
      <c r="D71" s="287" t="s">
        <v>737</v>
      </c>
      <c r="E71" s="295" t="str">
        <f>'09 Gestión Admin POA 2020'!E15</f>
        <v>Servicios de transporte atendidos satisfactoriamente</v>
      </c>
      <c r="F71" s="294" t="s">
        <v>677</v>
      </c>
      <c r="G71" s="290" t="s">
        <v>700</v>
      </c>
      <c r="H71" s="291">
        <v>90</v>
      </c>
      <c r="I71" s="248" t="str">
        <f t="shared" si="11"/>
        <v>Desde (&gt;):</v>
      </c>
      <c r="J71" s="248">
        <f t="shared" si="12"/>
        <v>70</v>
      </c>
      <c r="K71" s="248" t="str">
        <f t="shared" si="13"/>
        <v>Hasta (&lt;):</v>
      </c>
      <c r="L71" s="248">
        <f t="shared" si="14"/>
        <v>90</v>
      </c>
      <c r="M71" s="248" t="str">
        <f t="shared" si="15"/>
        <v>Menor o Igual A:</v>
      </c>
      <c r="N71" s="292">
        <v>70</v>
      </c>
    </row>
    <row r="72" spans="2:14" ht="25.5">
      <c r="B72" s="287">
        <f t="shared" si="10"/>
        <v>65</v>
      </c>
      <c r="C72" s="301" t="s">
        <v>582</v>
      </c>
      <c r="D72" s="287" t="s">
        <v>738</v>
      </c>
      <c r="E72" s="295" t="str">
        <f>'09 Gestión Admin POA 2020'!E16</f>
        <v>Servicios de aseo y cafetería ejecutados satisfactoriamente</v>
      </c>
      <c r="F72" s="294" t="s">
        <v>677</v>
      </c>
      <c r="G72" s="290" t="s">
        <v>700</v>
      </c>
      <c r="H72" s="291">
        <v>90</v>
      </c>
      <c r="I72" s="248" t="str">
        <f t="shared" si="11"/>
        <v>Desde (&gt;):</v>
      </c>
      <c r="J72" s="248">
        <f t="shared" si="12"/>
        <v>70</v>
      </c>
      <c r="K72" s="248" t="str">
        <f t="shared" si="13"/>
        <v>Hasta (&lt;):</v>
      </c>
      <c r="L72" s="248">
        <f t="shared" si="14"/>
        <v>90</v>
      </c>
      <c r="M72" s="248" t="str">
        <f t="shared" si="15"/>
        <v>Menor o Igual A:</v>
      </c>
      <c r="N72" s="292">
        <v>70</v>
      </c>
    </row>
    <row r="73" spans="2:14">
      <c r="B73" s="287">
        <f t="shared" si="10"/>
        <v>66</v>
      </c>
      <c r="C73" s="301" t="s">
        <v>582</v>
      </c>
      <c r="D73" s="287" t="s">
        <v>739</v>
      </c>
      <c r="E73" s="295" t="str">
        <f>'09 Gestión Admin POA 2020'!E17</f>
        <v>Cumplimiento del plan de acción PESV</v>
      </c>
      <c r="F73" s="294" t="s">
        <v>677</v>
      </c>
      <c r="G73" s="290" t="s">
        <v>700</v>
      </c>
      <c r="H73" s="291">
        <v>90</v>
      </c>
      <c r="I73" s="248" t="str">
        <f t="shared" si="11"/>
        <v>Desde (&gt;):</v>
      </c>
      <c r="J73" s="248">
        <f t="shared" si="12"/>
        <v>70</v>
      </c>
      <c r="K73" s="248" t="str">
        <f t="shared" si="13"/>
        <v>Hasta (&lt;):</v>
      </c>
      <c r="L73" s="248">
        <f t="shared" si="14"/>
        <v>90</v>
      </c>
      <c r="M73" s="248" t="str">
        <f t="shared" si="15"/>
        <v>Menor o Igual A:</v>
      </c>
      <c r="N73" s="292">
        <v>70</v>
      </c>
    </row>
    <row r="74" spans="2:14" ht="38.25">
      <c r="B74" s="287">
        <f t="shared" si="10"/>
        <v>67</v>
      </c>
      <c r="C74" s="301" t="s">
        <v>582</v>
      </c>
      <c r="D74" s="287" t="s">
        <v>740</v>
      </c>
      <c r="E74" s="295" t="str">
        <f>'09 Gestión Admin POA 2020'!E18</f>
        <v xml:space="preserve">Cumplimiento de las actividades relacionadas con la ejecución de contratos de bienes y servicios </v>
      </c>
      <c r="F74" s="294" t="s">
        <v>677</v>
      </c>
      <c r="G74" s="290" t="s">
        <v>700</v>
      </c>
      <c r="H74" s="291">
        <v>100</v>
      </c>
      <c r="I74" s="248" t="str">
        <f t="shared" si="11"/>
        <v>Desde (&gt;):</v>
      </c>
      <c r="J74" s="248">
        <f t="shared" si="12"/>
        <v>70</v>
      </c>
      <c r="K74" s="248" t="str">
        <f t="shared" si="13"/>
        <v>Hasta (&lt;):</v>
      </c>
      <c r="L74" s="248">
        <f t="shared" si="14"/>
        <v>100</v>
      </c>
      <c r="M74" s="248" t="str">
        <f t="shared" si="15"/>
        <v>Menor o Igual A:</v>
      </c>
      <c r="N74" s="292">
        <v>70</v>
      </c>
    </row>
    <row r="75" spans="2:14">
      <c r="B75" s="287">
        <f t="shared" si="10"/>
        <v>68</v>
      </c>
      <c r="C75" s="302" t="s">
        <v>583</v>
      </c>
      <c r="D75" s="287" t="s">
        <v>641</v>
      </c>
      <c r="E75" s="295" t="str">
        <f>'10 Gestión Financiera POA 2020'!E13</f>
        <v>Porcentaje de pagos realizados en el mes</v>
      </c>
      <c r="F75" s="294" t="s">
        <v>677</v>
      </c>
      <c r="G75" s="290" t="s">
        <v>700</v>
      </c>
      <c r="H75" s="291">
        <v>99</v>
      </c>
      <c r="I75" s="248" t="str">
        <f t="shared" si="11"/>
        <v>Desde (&gt;):</v>
      </c>
      <c r="J75" s="248">
        <f t="shared" si="12"/>
        <v>95</v>
      </c>
      <c r="K75" s="248" t="str">
        <f t="shared" si="13"/>
        <v>Hasta (&lt;):</v>
      </c>
      <c r="L75" s="248">
        <f t="shared" si="14"/>
        <v>99</v>
      </c>
      <c r="M75" s="248" t="str">
        <f t="shared" si="15"/>
        <v>Menor o Igual A:</v>
      </c>
      <c r="N75" s="292">
        <v>95</v>
      </c>
    </row>
    <row r="76" spans="2:14" ht="33.75" customHeight="1">
      <c r="B76" s="287">
        <f t="shared" si="10"/>
        <v>69</v>
      </c>
      <c r="C76" s="301" t="s">
        <v>584</v>
      </c>
      <c r="D76" s="287" t="s">
        <v>741</v>
      </c>
      <c r="E76" s="303" t="str">
        <f>'11 Gestión Contractual POA 2020'!E13</f>
        <v>Porcentaje de ejecución del PAA correspondiente a gastos generales</v>
      </c>
      <c r="F76" s="294" t="s">
        <v>677</v>
      </c>
      <c r="G76" s="290" t="s">
        <v>700</v>
      </c>
      <c r="H76" s="291">
        <v>95</v>
      </c>
      <c r="I76" s="248" t="str">
        <f t="shared" si="11"/>
        <v>Desde (&gt;):</v>
      </c>
      <c r="J76" s="248">
        <f t="shared" si="12"/>
        <v>90</v>
      </c>
      <c r="K76" s="248" t="str">
        <f t="shared" si="13"/>
        <v>Hasta (&lt;):</v>
      </c>
      <c r="L76" s="248">
        <f t="shared" si="14"/>
        <v>95</v>
      </c>
      <c r="M76" s="248" t="str">
        <f t="shared" si="15"/>
        <v>Menor o Igual A:</v>
      </c>
      <c r="N76" s="292">
        <v>90</v>
      </c>
    </row>
    <row r="77" spans="2:14" ht="63.75">
      <c r="B77" s="287">
        <f t="shared" si="10"/>
        <v>70</v>
      </c>
      <c r="C77" s="302" t="s">
        <v>585</v>
      </c>
      <c r="D77" s="287" t="s">
        <v>644</v>
      </c>
      <c r="E77" s="289" t="str">
        <f>'12 Gestión Documental POA 2020'!E13</f>
        <v>Porcentaje de metros lineales de documentación recibida en el archivo central durante la vigencia, en atención al cronograma de transferencias y las solicitudes de las dependencia</v>
      </c>
      <c r="F77" s="294" t="s">
        <v>677</v>
      </c>
      <c r="G77" s="290" t="s">
        <v>700</v>
      </c>
      <c r="H77" s="291">
        <v>100</v>
      </c>
      <c r="I77" s="248" t="str">
        <f t="shared" si="11"/>
        <v>Desde (&gt;):</v>
      </c>
      <c r="J77" s="248">
        <f t="shared" si="12"/>
        <v>95</v>
      </c>
      <c r="K77" s="248" t="str">
        <f t="shared" si="13"/>
        <v>Hasta (&lt;):</v>
      </c>
      <c r="L77" s="248">
        <f t="shared" si="14"/>
        <v>100</v>
      </c>
      <c r="M77" s="248" t="str">
        <f t="shared" si="15"/>
        <v>Menor o Igual A:</v>
      </c>
      <c r="N77" s="292">
        <v>95</v>
      </c>
    </row>
    <row r="78" spans="2:14" ht="38.25">
      <c r="B78" s="287">
        <f t="shared" si="10"/>
        <v>71</v>
      </c>
      <c r="C78" s="302" t="s">
        <v>585</v>
      </c>
      <c r="D78" s="287" t="s">
        <v>742</v>
      </c>
      <c r="E78" s="289" t="str">
        <f>'12 Gestión Documental POA 2020'!E14</f>
        <v>Actividades de diseño o ajuste de instrumentos archivísticos establecidos por ley, desarrolladas en el periodo.</v>
      </c>
      <c r="F78" s="294" t="s">
        <v>677</v>
      </c>
      <c r="G78" s="290" t="s">
        <v>700</v>
      </c>
      <c r="H78" s="291">
        <v>90</v>
      </c>
      <c r="I78" s="248" t="str">
        <f t="shared" si="11"/>
        <v>Desde (&gt;):</v>
      </c>
      <c r="J78" s="248">
        <f t="shared" si="12"/>
        <v>79</v>
      </c>
      <c r="K78" s="248" t="str">
        <f t="shared" si="13"/>
        <v>Hasta (&lt;):</v>
      </c>
      <c r="L78" s="248">
        <f t="shared" si="14"/>
        <v>90</v>
      </c>
      <c r="M78" s="248" t="str">
        <f t="shared" si="15"/>
        <v>Menor o Igual A:</v>
      </c>
      <c r="N78" s="292">
        <v>79</v>
      </c>
    </row>
    <row r="79" spans="2:14" ht="38.25">
      <c r="B79" s="287">
        <f t="shared" si="10"/>
        <v>72</v>
      </c>
      <c r="C79" s="302" t="s">
        <v>585</v>
      </c>
      <c r="D79" s="287" t="s">
        <v>743</v>
      </c>
      <c r="E79" s="289" t="str">
        <f>'12 Gestión Documental POA 2020'!E15</f>
        <v>Actividades de implementación de instrumentos archivísticos establecidos por ley, desarrolladas en el periodo.</v>
      </c>
      <c r="F79" s="294" t="s">
        <v>677</v>
      </c>
      <c r="G79" s="290" t="s">
        <v>700</v>
      </c>
      <c r="H79" s="291">
        <v>90</v>
      </c>
      <c r="I79" s="248" t="str">
        <f t="shared" si="11"/>
        <v>Desde (&gt;):</v>
      </c>
      <c r="J79" s="248">
        <f t="shared" si="12"/>
        <v>79</v>
      </c>
      <c r="K79" s="248" t="str">
        <f t="shared" si="13"/>
        <v>Hasta (&lt;):</v>
      </c>
      <c r="L79" s="248">
        <f t="shared" si="14"/>
        <v>90</v>
      </c>
      <c r="M79" s="248" t="str">
        <f t="shared" si="15"/>
        <v>Menor o Igual A:</v>
      </c>
      <c r="N79" s="292">
        <v>79</v>
      </c>
    </row>
    <row r="80" spans="2:14" ht="25.5">
      <c r="B80" s="287">
        <f t="shared" si="10"/>
        <v>73</v>
      </c>
      <c r="C80" s="301" t="s">
        <v>586</v>
      </c>
      <c r="D80" s="287" t="s">
        <v>744</v>
      </c>
      <c r="E80" s="289" t="str">
        <f>'13 Gestión Jurídica POA 2020 '!E13</f>
        <v>Porcentaje de intervención oportuna en defensa judicial de la Entidad (Vinculada)</v>
      </c>
      <c r="F80" s="294" t="s">
        <v>677</v>
      </c>
      <c r="G80" s="290" t="s">
        <v>700</v>
      </c>
      <c r="H80" s="291">
        <v>100</v>
      </c>
      <c r="I80" s="248" t="str">
        <f t="shared" si="11"/>
        <v>Desde (&gt;):</v>
      </c>
      <c r="J80" s="248">
        <f t="shared" si="12"/>
        <v>90</v>
      </c>
      <c r="K80" s="248" t="str">
        <f t="shared" si="13"/>
        <v>Hasta (&lt;):</v>
      </c>
      <c r="L80" s="248">
        <f t="shared" si="14"/>
        <v>100</v>
      </c>
      <c r="M80" s="248" t="str">
        <f t="shared" si="15"/>
        <v>Menor o Igual A:</v>
      </c>
      <c r="N80" s="292">
        <v>90</v>
      </c>
    </row>
    <row r="81" spans="2:14" ht="25.5">
      <c r="B81" s="287">
        <f t="shared" si="10"/>
        <v>74</v>
      </c>
      <c r="C81" s="301" t="s">
        <v>586</v>
      </c>
      <c r="D81" s="287" t="s">
        <v>745</v>
      </c>
      <c r="E81" s="289" t="str">
        <f>'13 Gestión Jurídica POA 2020 '!E14</f>
        <v>Porcentaje de intervención oportuna en defensa judicial de la Entidad por acciones de tutela</v>
      </c>
      <c r="F81" s="294" t="s">
        <v>677</v>
      </c>
      <c r="G81" s="290" t="s">
        <v>700</v>
      </c>
      <c r="H81" s="291">
        <v>100</v>
      </c>
      <c r="I81" s="248" t="str">
        <f t="shared" si="11"/>
        <v>Desde (&gt;):</v>
      </c>
      <c r="J81" s="248">
        <f t="shared" si="12"/>
        <v>90</v>
      </c>
      <c r="K81" s="248" t="str">
        <f t="shared" si="13"/>
        <v>Hasta (&lt;):</v>
      </c>
      <c r="L81" s="248">
        <f t="shared" si="14"/>
        <v>100</v>
      </c>
      <c r="M81" s="248" t="str">
        <f t="shared" si="15"/>
        <v>Menor o Igual A:</v>
      </c>
      <c r="N81" s="292">
        <v>90</v>
      </c>
    </row>
    <row r="82" spans="2:14" ht="25.5">
      <c r="B82" s="287">
        <f t="shared" si="10"/>
        <v>75</v>
      </c>
      <c r="C82" s="301" t="s">
        <v>586</v>
      </c>
      <c r="D82" s="287" t="s">
        <v>746</v>
      </c>
      <c r="E82" s="289" t="str">
        <f>'13 Gestión Jurídica POA 2020 '!E15</f>
        <v>Porcentaje de actualización de la base de datos de acciones en las que se inician y/o intervine</v>
      </c>
      <c r="F82" s="294" t="s">
        <v>677</v>
      </c>
      <c r="G82" s="290" t="s">
        <v>700</v>
      </c>
      <c r="H82" s="291">
        <v>100</v>
      </c>
      <c r="I82" s="248" t="str">
        <f t="shared" si="11"/>
        <v>Desde (&gt;):</v>
      </c>
      <c r="J82" s="248">
        <f t="shared" si="12"/>
        <v>90</v>
      </c>
      <c r="K82" s="248" t="str">
        <f t="shared" si="13"/>
        <v>Hasta (&lt;):</v>
      </c>
      <c r="L82" s="248">
        <f t="shared" si="14"/>
        <v>100</v>
      </c>
      <c r="M82" s="248" t="str">
        <f t="shared" si="15"/>
        <v>Menor o Igual A:</v>
      </c>
      <c r="N82" s="292">
        <v>90</v>
      </c>
    </row>
    <row r="83" spans="2:14" ht="25.5">
      <c r="B83" s="287">
        <f t="shared" si="10"/>
        <v>76</v>
      </c>
      <c r="C83" s="301" t="s">
        <v>586</v>
      </c>
      <c r="D83" s="287" t="s">
        <v>747</v>
      </c>
      <c r="E83" s="289" t="str">
        <f>'13 Gestión Jurídica POA 2020 '!E16</f>
        <v>Porcentaje de actualización de base de datos de sanciones disciplinarias</v>
      </c>
      <c r="F83" s="294" t="s">
        <v>677</v>
      </c>
      <c r="G83" s="290" t="s">
        <v>700</v>
      </c>
      <c r="H83" s="291">
        <v>100</v>
      </c>
      <c r="I83" s="248" t="str">
        <f t="shared" si="11"/>
        <v>Desde (&gt;):</v>
      </c>
      <c r="J83" s="248">
        <f t="shared" si="12"/>
        <v>90</v>
      </c>
      <c r="K83" s="248" t="str">
        <f t="shared" si="13"/>
        <v>Hasta (&lt;):</v>
      </c>
      <c r="L83" s="248">
        <f t="shared" si="14"/>
        <v>100</v>
      </c>
      <c r="M83" s="248" t="str">
        <f t="shared" si="15"/>
        <v>Menor o Igual A:</v>
      </c>
      <c r="N83" s="292">
        <v>90</v>
      </c>
    </row>
    <row r="84" spans="2:14" ht="25.5">
      <c r="B84" s="287">
        <f t="shared" si="10"/>
        <v>77</v>
      </c>
      <c r="C84" s="301" t="s">
        <v>586</v>
      </c>
      <c r="D84" s="287" t="s">
        <v>748</v>
      </c>
      <c r="E84" s="289" t="str">
        <f>'13 Gestión Jurídica POA 2020 '!E17</f>
        <v xml:space="preserve">Porcentaje de emisión oportuna de conceptos jurídicos </v>
      </c>
      <c r="F84" s="294" t="s">
        <v>677</v>
      </c>
      <c r="G84" s="290" t="s">
        <v>700</v>
      </c>
      <c r="H84" s="291">
        <v>100</v>
      </c>
      <c r="I84" s="248" t="str">
        <f t="shared" si="11"/>
        <v>Desde (&gt;):</v>
      </c>
      <c r="J84" s="248">
        <f t="shared" si="12"/>
        <v>90</v>
      </c>
      <c r="K84" s="248" t="str">
        <f t="shared" si="13"/>
        <v>Hasta (&lt;):</v>
      </c>
      <c r="L84" s="248">
        <f t="shared" si="14"/>
        <v>100</v>
      </c>
      <c r="M84" s="248" t="str">
        <f t="shared" si="15"/>
        <v>Menor o Igual A:</v>
      </c>
      <c r="N84" s="292">
        <v>90</v>
      </c>
    </row>
    <row r="85" spans="2:14">
      <c r="B85" s="287">
        <f t="shared" si="10"/>
        <v>78</v>
      </c>
      <c r="C85" s="302" t="s">
        <v>574</v>
      </c>
      <c r="D85" s="287" t="s">
        <v>749</v>
      </c>
      <c r="E85" s="289" t="str">
        <f>'14 Servicio al Usuario POA 2020'!E13</f>
        <v>Lineamientos mínimos requeridos</v>
      </c>
      <c r="F85" s="294" t="s">
        <v>677</v>
      </c>
      <c r="G85" s="290" t="s">
        <v>700</v>
      </c>
      <c r="H85" s="291">
        <v>90</v>
      </c>
      <c r="I85" s="248" t="str">
        <f t="shared" si="11"/>
        <v>Desde (&gt;):</v>
      </c>
      <c r="J85" s="248">
        <f t="shared" si="12"/>
        <v>70</v>
      </c>
      <c r="K85" s="248" t="str">
        <f t="shared" si="13"/>
        <v>Hasta (&lt;):</v>
      </c>
      <c r="L85" s="248">
        <f t="shared" si="14"/>
        <v>90</v>
      </c>
      <c r="M85" s="248" t="str">
        <f t="shared" si="15"/>
        <v>Menor o Igual A:</v>
      </c>
      <c r="N85" s="292">
        <v>70</v>
      </c>
    </row>
    <row r="86" spans="2:14" ht="25.5">
      <c r="B86" s="287">
        <f t="shared" si="10"/>
        <v>79</v>
      </c>
      <c r="C86" s="302" t="s">
        <v>574</v>
      </c>
      <c r="D86" s="287" t="s">
        <v>750</v>
      </c>
      <c r="E86" s="289" t="str">
        <f>'14 Servicio al Usuario POA 2020'!E14</f>
        <v>Eficacia de la implementación de los lineamientos</v>
      </c>
      <c r="F86" s="294" t="s">
        <v>677</v>
      </c>
      <c r="G86" s="290" t="s">
        <v>700</v>
      </c>
      <c r="H86" s="291">
        <v>90</v>
      </c>
      <c r="I86" s="248" t="str">
        <f t="shared" si="11"/>
        <v>Desde (&gt;):</v>
      </c>
      <c r="J86" s="248">
        <f t="shared" si="12"/>
        <v>70</v>
      </c>
      <c r="K86" s="248" t="str">
        <f t="shared" si="13"/>
        <v>Hasta (&lt;):</v>
      </c>
      <c r="L86" s="248">
        <f t="shared" si="14"/>
        <v>90</v>
      </c>
      <c r="M86" s="248" t="str">
        <f t="shared" si="15"/>
        <v>Menor o Igual A:</v>
      </c>
      <c r="N86" s="292">
        <v>70</v>
      </c>
    </row>
    <row r="87" spans="2:14">
      <c r="B87" s="287">
        <f t="shared" si="10"/>
        <v>80</v>
      </c>
      <c r="C87" s="302" t="s">
        <v>574</v>
      </c>
      <c r="D87" s="287" t="s">
        <v>751</v>
      </c>
      <c r="E87" s="289" t="str">
        <f>'14 Servicio al Usuario POA 2020'!E15</f>
        <v>Medición de la satisfacción de los usuarios</v>
      </c>
      <c r="F87" s="294" t="s">
        <v>677</v>
      </c>
      <c r="G87" s="290" t="s">
        <v>700</v>
      </c>
      <c r="H87" s="291">
        <v>90</v>
      </c>
      <c r="I87" s="248" t="str">
        <f t="shared" si="11"/>
        <v>Desde (&gt;):</v>
      </c>
      <c r="J87" s="248">
        <f t="shared" si="12"/>
        <v>70</v>
      </c>
      <c r="K87" s="248" t="str">
        <f t="shared" si="13"/>
        <v>Hasta (&lt;):</v>
      </c>
      <c r="L87" s="248">
        <f t="shared" si="14"/>
        <v>90</v>
      </c>
      <c r="M87" s="248" t="str">
        <f t="shared" si="15"/>
        <v>Menor o Igual A:</v>
      </c>
      <c r="N87" s="292">
        <v>70</v>
      </c>
    </row>
    <row r="88" spans="2:14">
      <c r="B88" s="287">
        <f t="shared" si="10"/>
        <v>81</v>
      </c>
      <c r="C88" s="301" t="s">
        <v>588</v>
      </c>
      <c r="D88" s="287" t="s">
        <v>647</v>
      </c>
      <c r="E88" s="289" t="str">
        <f>'15 Ctr Disc Interno POA 2020'!E13</f>
        <v>Citaciones a audiencia emitidas</v>
      </c>
      <c r="F88" s="294" t="s">
        <v>677</v>
      </c>
      <c r="G88" s="290" t="s">
        <v>700</v>
      </c>
      <c r="H88" s="291">
        <v>90</v>
      </c>
      <c r="I88" s="248" t="str">
        <f t="shared" si="11"/>
        <v>Desde (&gt;):</v>
      </c>
      <c r="J88" s="248">
        <f t="shared" si="12"/>
        <v>69</v>
      </c>
      <c r="K88" s="248" t="str">
        <f t="shared" si="13"/>
        <v>Hasta (&lt;):</v>
      </c>
      <c r="L88" s="248">
        <f t="shared" si="14"/>
        <v>90</v>
      </c>
      <c r="M88" s="248" t="str">
        <f t="shared" si="15"/>
        <v>Menor o Igual A:</v>
      </c>
      <c r="N88" s="292">
        <v>69</v>
      </c>
    </row>
    <row r="89" spans="2:14" ht="25.5">
      <c r="B89" s="287">
        <f t="shared" si="10"/>
        <v>82</v>
      </c>
      <c r="C89" s="301" t="s">
        <v>588</v>
      </c>
      <c r="D89" s="287" t="s">
        <v>648</v>
      </c>
      <c r="E89" s="289" t="str">
        <f>'15 Ctr Disc Interno POA 2020'!E14</f>
        <v>Citaciones a audiencia emitidas que terminan con fallo</v>
      </c>
      <c r="F89" s="294" t="s">
        <v>677</v>
      </c>
      <c r="G89" s="290" t="s">
        <v>700</v>
      </c>
      <c r="H89" s="291">
        <v>90</v>
      </c>
      <c r="I89" s="248" t="str">
        <f t="shared" si="11"/>
        <v>Desde (&gt;):</v>
      </c>
      <c r="J89" s="248">
        <f t="shared" si="12"/>
        <v>69</v>
      </c>
      <c r="K89" s="248" t="str">
        <f t="shared" si="13"/>
        <v>Hasta (&lt;):</v>
      </c>
      <c r="L89" s="248">
        <f t="shared" si="14"/>
        <v>90</v>
      </c>
      <c r="M89" s="248" t="str">
        <f t="shared" si="15"/>
        <v>Menor o Igual A:</v>
      </c>
      <c r="N89" s="292">
        <v>69</v>
      </c>
    </row>
    <row r="90" spans="2:14">
      <c r="B90" s="287">
        <f t="shared" si="10"/>
        <v>83</v>
      </c>
      <c r="C90" s="301" t="s">
        <v>588</v>
      </c>
      <c r="D90" s="287" t="s">
        <v>649</v>
      </c>
      <c r="E90" s="289" t="str">
        <f>'15 Ctr Disc Interno POA 2020'!E15</f>
        <v>Fallos proferidos</v>
      </c>
      <c r="F90" s="294" t="s">
        <v>677</v>
      </c>
      <c r="G90" s="290" t="s">
        <v>700</v>
      </c>
      <c r="H90" s="291">
        <v>90</v>
      </c>
      <c r="I90" s="248" t="str">
        <f t="shared" si="11"/>
        <v>Desde (&gt;):</v>
      </c>
      <c r="J90" s="248">
        <f t="shared" si="12"/>
        <v>69</v>
      </c>
      <c r="K90" s="248" t="str">
        <f t="shared" si="13"/>
        <v>Hasta (&lt;):</v>
      </c>
      <c r="L90" s="248">
        <f t="shared" si="14"/>
        <v>90</v>
      </c>
      <c r="M90" s="248" t="str">
        <f t="shared" si="15"/>
        <v>Menor o Igual A:</v>
      </c>
      <c r="N90" s="292">
        <v>69</v>
      </c>
    </row>
    <row r="91" spans="2:14">
      <c r="B91" s="287">
        <f t="shared" si="10"/>
        <v>84</v>
      </c>
      <c r="C91" s="301" t="s">
        <v>588</v>
      </c>
      <c r="D91" s="287" t="s">
        <v>650</v>
      </c>
      <c r="E91" s="289" t="str">
        <f>'15 Ctr Disc Interno POA 2020'!E16</f>
        <v>Decisiones de fondo</v>
      </c>
      <c r="F91" s="294" t="s">
        <v>677</v>
      </c>
      <c r="G91" s="290" t="s">
        <v>700</v>
      </c>
      <c r="H91" s="291">
        <v>90</v>
      </c>
      <c r="I91" s="248" t="str">
        <f t="shared" si="11"/>
        <v>Desde (&gt;):</v>
      </c>
      <c r="J91" s="248">
        <f t="shared" si="12"/>
        <v>69</v>
      </c>
      <c r="K91" s="248" t="str">
        <f t="shared" si="13"/>
        <v>Hasta (&lt;):</v>
      </c>
      <c r="L91" s="248">
        <f t="shared" si="14"/>
        <v>90</v>
      </c>
      <c r="M91" s="248" t="str">
        <f t="shared" si="15"/>
        <v>Menor o Igual A:</v>
      </c>
      <c r="N91" s="292">
        <v>69</v>
      </c>
    </row>
    <row r="92" spans="2:14" ht="36" customHeight="1">
      <c r="B92" s="287">
        <f t="shared" si="10"/>
        <v>85</v>
      </c>
      <c r="C92" s="302" t="s">
        <v>589</v>
      </c>
      <c r="D92" s="287" t="s">
        <v>652</v>
      </c>
      <c r="E92" s="289" t="str">
        <f>'16 Evaluacion y Segto POA 2020'!E13</f>
        <v xml:space="preserve">Auditorias realizadas a los procesos de la Entidad </v>
      </c>
      <c r="F92" s="294" t="s">
        <v>677</v>
      </c>
      <c r="G92" s="290" t="s">
        <v>700</v>
      </c>
      <c r="H92" s="291">
        <v>90</v>
      </c>
      <c r="I92" s="248" t="str">
        <f t="shared" si="11"/>
        <v>Desde (&gt;):</v>
      </c>
      <c r="J92" s="248">
        <f t="shared" si="12"/>
        <v>69</v>
      </c>
      <c r="K92" s="248" t="str">
        <f t="shared" si="13"/>
        <v>Hasta (&lt;):</v>
      </c>
      <c r="L92" s="248">
        <f t="shared" si="14"/>
        <v>90</v>
      </c>
      <c r="M92" s="248" t="str">
        <f t="shared" si="15"/>
        <v>Menor o Igual A:</v>
      </c>
      <c r="N92" s="292">
        <v>69</v>
      </c>
    </row>
    <row r="93" spans="2:14" ht="15" customHeight="1">
      <c r="B93" s="287">
        <f t="shared" si="10"/>
        <v>86</v>
      </c>
      <c r="C93" s="302" t="s">
        <v>589</v>
      </c>
      <c r="D93" s="287" t="s">
        <v>653</v>
      </c>
      <c r="E93" s="289" t="str">
        <f>'16 Evaluacion y Segto POA 2020'!E14</f>
        <v>Auditorias Especiales realizadas</v>
      </c>
      <c r="F93" s="294" t="s">
        <v>677</v>
      </c>
      <c r="G93" s="290" t="s">
        <v>700</v>
      </c>
      <c r="H93" s="291">
        <v>90</v>
      </c>
      <c r="I93" s="248" t="str">
        <f t="shared" si="11"/>
        <v>Desde (&gt;):</v>
      </c>
      <c r="J93" s="248">
        <f t="shared" si="12"/>
        <v>69</v>
      </c>
      <c r="K93" s="248" t="str">
        <f t="shared" si="13"/>
        <v>Hasta (&lt;):</v>
      </c>
      <c r="L93" s="248">
        <f t="shared" si="14"/>
        <v>90</v>
      </c>
      <c r="M93" s="248" t="str">
        <f t="shared" si="15"/>
        <v>Menor o Igual A:</v>
      </c>
      <c r="N93" s="292">
        <v>69</v>
      </c>
    </row>
    <row r="94" spans="2:14" ht="25.5">
      <c r="B94" s="287">
        <f t="shared" si="10"/>
        <v>87</v>
      </c>
      <c r="C94" s="302" t="s">
        <v>589</v>
      </c>
      <c r="D94" s="287" t="s">
        <v>752</v>
      </c>
      <c r="E94" s="289" t="str">
        <f>'16 Evaluacion y Segto POA 2020'!E15</f>
        <v>Dependencias de la Entidad evaluadas en su gestión</v>
      </c>
      <c r="F94" s="294" t="s">
        <v>677</v>
      </c>
      <c r="G94" s="290" t="s">
        <v>700</v>
      </c>
      <c r="H94" s="291">
        <v>90</v>
      </c>
      <c r="I94" s="248" t="str">
        <f t="shared" si="11"/>
        <v>Desde (&gt;):</v>
      </c>
      <c r="J94" s="248">
        <f t="shared" si="12"/>
        <v>69</v>
      </c>
      <c r="K94" s="248" t="str">
        <f t="shared" si="13"/>
        <v>Hasta (&lt;):</v>
      </c>
      <c r="L94" s="248">
        <f t="shared" si="14"/>
        <v>90</v>
      </c>
      <c r="M94" s="248" t="str">
        <f t="shared" si="15"/>
        <v>Menor o Igual A:</v>
      </c>
      <c r="N94" s="292">
        <v>69</v>
      </c>
    </row>
    <row r="95" spans="2:14" ht="25.5">
      <c r="B95" s="287">
        <f t="shared" si="10"/>
        <v>88</v>
      </c>
      <c r="C95" s="302" t="s">
        <v>589</v>
      </c>
      <c r="D95" s="287" t="s">
        <v>654</v>
      </c>
      <c r="E95" s="289" t="str">
        <f>'16 Evaluacion y Segto POA 2020'!E16</f>
        <v>Evaluaciones  realizadas sobre la efectividad del manejo de los Riesgos  Institucionales</v>
      </c>
      <c r="F95" s="294" t="s">
        <v>677</v>
      </c>
      <c r="G95" s="290" t="s">
        <v>700</v>
      </c>
      <c r="H95" s="291">
        <v>90</v>
      </c>
      <c r="I95" s="248" t="str">
        <f t="shared" si="11"/>
        <v>Desde (&gt;):</v>
      </c>
      <c r="J95" s="248">
        <f t="shared" si="12"/>
        <v>69</v>
      </c>
      <c r="K95" s="248" t="str">
        <f t="shared" si="13"/>
        <v>Hasta (&lt;):</v>
      </c>
      <c r="L95" s="248">
        <f t="shared" si="14"/>
        <v>90</v>
      </c>
      <c r="M95" s="248" t="str">
        <f t="shared" si="15"/>
        <v>Menor o Igual A:</v>
      </c>
      <c r="N95" s="292">
        <v>69</v>
      </c>
    </row>
    <row r="96" spans="2:14" ht="38.25">
      <c r="B96" s="287">
        <f t="shared" si="10"/>
        <v>89</v>
      </c>
      <c r="C96" s="302" t="s">
        <v>589</v>
      </c>
      <c r="D96" s="287" t="s">
        <v>655</v>
      </c>
      <c r="E96" s="289" t="str">
        <f>'16 Evaluacion y Segto POA 2020'!E17</f>
        <v>Seguimientos semestrales  realizados  al Plan de Mejoramiento suscrito con la Contraloría de Bogotá D.C.</v>
      </c>
      <c r="F96" s="294" t="s">
        <v>677</v>
      </c>
      <c r="G96" s="290" t="s">
        <v>700</v>
      </c>
      <c r="H96" s="291">
        <v>90</v>
      </c>
      <c r="I96" s="248" t="str">
        <f t="shared" si="11"/>
        <v>Desde (&gt;):</v>
      </c>
      <c r="J96" s="248">
        <f t="shared" si="12"/>
        <v>69</v>
      </c>
      <c r="K96" s="248" t="str">
        <f t="shared" si="13"/>
        <v>Hasta (&lt;):</v>
      </c>
      <c r="L96" s="248">
        <f t="shared" si="14"/>
        <v>90</v>
      </c>
      <c r="M96" s="248" t="str">
        <f t="shared" si="15"/>
        <v>Menor o Igual A:</v>
      </c>
      <c r="N96" s="292">
        <v>69</v>
      </c>
    </row>
    <row r="97" spans="2:14" ht="25.5">
      <c r="B97" s="287">
        <f t="shared" si="10"/>
        <v>90</v>
      </c>
      <c r="C97" s="302" t="s">
        <v>589</v>
      </c>
      <c r="D97" s="287" t="s">
        <v>656</v>
      </c>
      <c r="E97" s="289" t="str">
        <f>'16 Evaluacion y Segto POA 2020'!E18</f>
        <v xml:space="preserve">Informes presentados a entes externos y los requeridos por Ley </v>
      </c>
      <c r="F97" s="294" t="s">
        <v>677</v>
      </c>
      <c r="G97" s="290" t="s">
        <v>700</v>
      </c>
      <c r="H97" s="291">
        <v>90</v>
      </c>
      <c r="I97" s="248" t="str">
        <f t="shared" si="11"/>
        <v>Desde (&gt;):</v>
      </c>
      <c r="J97" s="248">
        <f t="shared" si="12"/>
        <v>69</v>
      </c>
      <c r="K97" s="248" t="str">
        <f t="shared" si="13"/>
        <v>Hasta (&lt;):</v>
      </c>
      <c r="L97" s="248">
        <f t="shared" si="14"/>
        <v>90</v>
      </c>
      <c r="M97" s="248" t="str">
        <f t="shared" si="15"/>
        <v>Menor o Igual A:</v>
      </c>
      <c r="N97" s="292">
        <v>69</v>
      </c>
    </row>
    <row r="98" spans="2:14" ht="25.5">
      <c r="B98" s="287">
        <f t="shared" si="10"/>
        <v>91</v>
      </c>
      <c r="C98" s="302" t="s">
        <v>589</v>
      </c>
      <c r="D98" s="287" t="s">
        <v>657</v>
      </c>
      <c r="E98" s="289" t="str">
        <f>'16 Evaluacion y Segto POA 2020'!E19</f>
        <v>Sensibilización  a Directivos y referentes de proceso sobre la séptima dimensión del MIPG</v>
      </c>
      <c r="F98" s="294" t="s">
        <v>677</v>
      </c>
      <c r="G98" s="290" t="s">
        <v>700</v>
      </c>
      <c r="H98" s="291">
        <v>90</v>
      </c>
      <c r="I98" s="248" t="str">
        <f t="shared" si="11"/>
        <v>Desde (&gt;):</v>
      </c>
      <c r="J98" s="248">
        <f t="shared" si="12"/>
        <v>69</v>
      </c>
      <c r="K98" s="248" t="str">
        <f t="shared" si="13"/>
        <v>Hasta (&lt;):</v>
      </c>
      <c r="L98" s="248">
        <f t="shared" si="14"/>
        <v>90</v>
      </c>
      <c r="M98" s="248" t="str">
        <f t="shared" si="15"/>
        <v>Menor o Igual A:</v>
      </c>
      <c r="N98" s="292">
        <v>69</v>
      </c>
    </row>
    <row r="99" spans="2:14" ht="25.5">
      <c r="B99" s="287">
        <f t="shared" si="10"/>
        <v>92</v>
      </c>
      <c r="C99" s="302" t="s">
        <v>589</v>
      </c>
      <c r="D99" s="287" t="s">
        <v>658</v>
      </c>
      <c r="E99" s="289" t="str">
        <f>'16 Evaluacion y Segto POA 2020'!E20</f>
        <v>Estrategia de sensibilización  acerca de la cultura del control</v>
      </c>
      <c r="F99" s="294" t="s">
        <v>677</v>
      </c>
      <c r="G99" s="290" t="s">
        <v>700</v>
      </c>
      <c r="H99" s="291">
        <v>90</v>
      </c>
      <c r="I99" s="248" t="str">
        <f t="shared" si="11"/>
        <v>Desde (&gt;):</v>
      </c>
      <c r="J99" s="248">
        <f t="shared" si="12"/>
        <v>69</v>
      </c>
      <c r="K99" s="248" t="str">
        <f t="shared" si="13"/>
        <v>Hasta (&lt;):</v>
      </c>
      <c r="L99" s="248">
        <f t="shared" si="14"/>
        <v>90</v>
      </c>
      <c r="M99" s="248" t="str">
        <f t="shared" si="15"/>
        <v>Menor o Igual A:</v>
      </c>
      <c r="N99" s="292">
        <v>69</v>
      </c>
    </row>
    <row r="100" spans="2:14">
      <c r="B100" s="287">
        <f t="shared" si="10"/>
        <v>93</v>
      </c>
      <c r="C100" s="304"/>
      <c r="D100" s="287"/>
      <c r="E100" s="289"/>
      <c r="F100" s="287"/>
      <c r="G100" s="290" t="s">
        <v>662</v>
      </c>
      <c r="H100" s="291"/>
      <c r="I100" s="248" t="str">
        <f t="shared" si="11"/>
        <v>No Aplica</v>
      </c>
      <c r="J100" s="248" t="str">
        <f t="shared" ref="J100:J109" si="16">IF(H100&gt;N100,N100,
IF(H100&lt;N100,H100,
IF(H100=N100,"No Aplica","")))</f>
        <v>No Aplica</v>
      </c>
      <c r="K100" s="248" t="str">
        <f t="shared" si="13"/>
        <v>No Aplica</v>
      </c>
      <c r="L100" s="248" t="str">
        <f t="shared" ref="L100:L109" si="17">IF(H100&gt;N100,H100,
IF(H100&lt;N100,N100,
IF(H100=N100,"No Aplica","")))</f>
        <v>No Aplica</v>
      </c>
      <c r="M100" s="248" t="str">
        <f t="shared" si="15"/>
        <v>Igual A:</v>
      </c>
      <c r="N100" s="292"/>
    </row>
    <row r="101" spans="2:14">
      <c r="B101" s="287">
        <f t="shared" si="10"/>
        <v>94</v>
      </c>
      <c r="C101" s="304"/>
      <c r="D101" s="287"/>
      <c r="E101" s="289"/>
      <c r="F101" s="287"/>
      <c r="G101" s="290" t="s">
        <v>662</v>
      </c>
      <c r="H101" s="291"/>
      <c r="I101" s="248" t="str">
        <f t="shared" si="11"/>
        <v>No Aplica</v>
      </c>
      <c r="J101" s="248" t="str">
        <f t="shared" si="16"/>
        <v>No Aplica</v>
      </c>
      <c r="K101" s="248" t="str">
        <f t="shared" si="13"/>
        <v>No Aplica</v>
      </c>
      <c r="L101" s="248" t="str">
        <f t="shared" si="17"/>
        <v>No Aplica</v>
      </c>
      <c r="M101" s="248" t="str">
        <f t="shared" si="15"/>
        <v>Igual A:</v>
      </c>
      <c r="N101" s="292"/>
    </row>
    <row r="102" spans="2:14">
      <c r="B102" s="287">
        <f t="shared" si="10"/>
        <v>95</v>
      </c>
      <c r="C102" s="304"/>
      <c r="D102" s="287"/>
      <c r="E102" s="289"/>
      <c r="F102" s="287"/>
      <c r="G102" s="290" t="s">
        <v>662</v>
      </c>
      <c r="H102" s="291"/>
      <c r="I102" s="248" t="str">
        <f t="shared" si="11"/>
        <v>No Aplica</v>
      </c>
      <c r="J102" s="248" t="str">
        <f t="shared" si="16"/>
        <v>No Aplica</v>
      </c>
      <c r="K102" s="248" t="str">
        <f t="shared" si="13"/>
        <v>No Aplica</v>
      </c>
      <c r="L102" s="248" t="str">
        <f t="shared" si="17"/>
        <v>No Aplica</v>
      </c>
      <c r="M102" s="248" t="str">
        <f t="shared" si="15"/>
        <v>Igual A:</v>
      </c>
      <c r="N102" s="292"/>
    </row>
    <row r="103" spans="2:14">
      <c r="B103" s="287">
        <f t="shared" si="10"/>
        <v>96</v>
      </c>
      <c r="C103" s="304"/>
      <c r="D103" s="287"/>
      <c r="E103" s="289"/>
      <c r="F103" s="287"/>
      <c r="G103" s="290" t="s">
        <v>662</v>
      </c>
      <c r="H103" s="291"/>
      <c r="I103" s="248" t="str">
        <f t="shared" si="11"/>
        <v>No Aplica</v>
      </c>
      <c r="J103" s="248" t="str">
        <f t="shared" si="16"/>
        <v>No Aplica</v>
      </c>
      <c r="K103" s="248" t="str">
        <f t="shared" si="13"/>
        <v>No Aplica</v>
      </c>
      <c r="L103" s="248" t="str">
        <f t="shared" si="17"/>
        <v>No Aplica</v>
      </c>
      <c r="M103" s="248" t="str">
        <f t="shared" si="15"/>
        <v>Igual A:</v>
      </c>
      <c r="N103" s="292"/>
    </row>
    <row r="104" spans="2:14">
      <c r="B104" s="287">
        <f t="shared" si="10"/>
        <v>97</v>
      </c>
      <c r="C104" s="304"/>
      <c r="D104" s="287"/>
      <c r="E104" s="289"/>
      <c r="F104" s="287"/>
      <c r="G104" s="290" t="s">
        <v>662</v>
      </c>
      <c r="H104" s="291"/>
      <c r="I104" s="248" t="str">
        <f t="shared" si="11"/>
        <v>No Aplica</v>
      </c>
      <c r="J104" s="248" t="str">
        <f t="shared" si="16"/>
        <v>No Aplica</v>
      </c>
      <c r="K104" s="248" t="str">
        <f t="shared" si="13"/>
        <v>No Aplica</v>
      </c>
      <c r="L104" s="248" t="str">
        <f t="shared" si="17"/>
        <v>No Aplica</v>
      </c>
      <c r="M104" s="248" t="str">
        <f t="shared" si="15"/>
        <v>Igual A:</v>
      </c>
      <c r="N104" s="292"/>
    </row>
    <row r="105" spans="2:14">
      <c r="B105" s="287">
        <f t="shared" si="10"/>
        <v>98</v>
      </c>
      <c r="C105" s="304"/>
      <c r="D105" s="287"/>
      <c r="E105" s="289"/>
      <c r="F105" s="287"/>
      <c r="G105" s="290" t="s">
        <v>662</v>
      </c>
      <c r="H105" s="291"/>
      <c r="I105" s="248" t="str">
        <f t="shared" si="11"/>
        <v>No Aplica</v>
      </c>
      <c r="J105" s="248" t="str">
        <f t="shared" si="16"/>
        <v>No Aplica</v>
      </c>
      <c r="K105" s="248" t="str">
        <f t="shared" si="13"/>
        <v>No Aplica</v>
      </c>
      <c r="L105" s="248" t="str">
        <f t="shared" si="17"/>
        <v>No Aplica</v>
      </c>
      <c r="M105" s="248" t="str">
        <f t="shared" si="15"/>
        <v>Igual A:</v>
      </c>
      <c r="N105" s="292"/>
    </row>
    <row r="106" spans="2:14">
      <c r="B106" s="287">
        <f t="shared" si="10"/>
        <v>99</v>
      </c>
      <c r="C106" s="304"/>
      <c r="D106" s="287"/>
      <c r="E106" s="289"/>
      <c r="F106" s="287"/>
      <c r="G106" s="290" t="s">
        <v>662</v>
      </c>
      <c r="H106" s="291"/>
      <c r="I106" s="248" t="str">
        <f t="shared" si="11"/>
        <v>No Aplica</v>
      </c>
      <c r="J106" s="248" t="str">
        <f t="shared" si="16"/>
        <v>No Aplica</v>
      </c>
      <c r="K106" s="248" t="str">
        <f t="shared" si="13"/>
        <v>No Aplica</v>
      </c>
      <c r="L106" s="248" t="str">
        <f t="shared" si="17"/>
        <v>No Aplica</v>
      </c>
      <c r="M106" s="248" t="str">
        <f t="shared" si="15"/>
        <v>Igual A:</v>
      </c>
      <c r="N106" s="292"/>
    </row>
    <row r="107" spans="2:14">
      <c r="B107" s="287">
        <f t="shared" si="10"/>
        <v>100</v>
      </c>
      <c r="C107" s="304"/>
      <c r="D107" s="287"/>
      <c r="E107" s="289"/>
      <c r="F107" s="287"/>
      <c r="G107" s="290" t="s">
        <v>662</v>
      </c>
      <c r="H107" s="291"/>
      <c r="I107" s="248" t="str">
        <f t="shared" si="11"/>
        <v>No Aplica</v>
      </c>
      <c r="J107" s="248" t="str">
        <f t="shared" si="16"/>
        <v>No Aplica</v>
      </c>
      <c r="K107" s="248" t="str">
        <f t="shared" si="13"/>
        <v>No Aplica</v>
      </c>
      <c r="L107" s="248" t="str">
        <f t="shared" si="17"/>
        <v>No Aplica</v>
      </c>
      <c r="M107" s="248" t="str">
        <f t="shared" si="15"/>
        <v>Igual A:</v>
      </c>
      <c r="N107" s="292"/>
    </row>
    <row r="108" spans="2:14">
      <c r="B108" s="287">
        <f t="shared" si="10"/>
        <v>101</v>
      </c>
      <c r="C108" s="304"/>
      <c r="D108" s="287"/>
      <c r="E108" s="289"/>
      <c r="F108" s="287"/>
      <c r="G108" s="290" t="s">
        <v>662</v>
      </c>
      <c r="H108" s="291"/>
      <c r="I108" s="248" t="str">
        <f t="shared" si="11"/>
        <v>No Aplica</v>
      </c>
      <c r="J108" s="248" t="str">
        <f t="shared" si="16"/>
        <v>No Aplica</v>
      </c>
      <c r="K108" s="248" t="str">
        <f t="shared" si="13"/>
        <v>No Aplica</v>
      </c>
      <c r="L108" s="248" t="str">
        <f t="shared" si="17"/>
        <v>No Aplica</v>
      </c>
      <c r="M108" s="248" t="str">
        <f t="shared" si="15"/>
        <v>Igual A:</v>
      </c>
      <c r="N108" s="292"/>
    </row>
    <row r="109" spans="2:14">
      <c r="B109" s="287">
        <f t="shared" si="10"/>
        <v>102</v>
      </c>
      <c r="C109" s="304"/>
      <c r="D109" s="287"/>
      <c r="E109" s="289"/>
      <c r="F109" s="287"/>
      <c r="G109" s="290" t="s">
        <v>662</v>
      </c>
      <c r="H109" s="291"/>
      <c r="I109" s="248" t="str">
        <f t="shared" si="11"/>
        <v>No Aplica</v>
      </c>
      <c r="J109" s="248" t="str">
        <f t="shared" si="16"/>
        <v>No Aplica</v>
      </c>
      <c r="K109" s="248" t="str">
        <f t="shared" si="13"/>
        <v>No Aplica</v>
      </c>
      <c r="L109" s="248" t="str">
        <f t="shared" si="17"/>
        <v>No Aplica</v>
      </c>
      <c r="M109" s="248" t="str">
        <f t="shared" si="15"/>
        <v>Igual A:</v>
      </c>
      <c r="N109" s="292"/>
    </row>
  </sheetData>
  <sheetProtection algorithmName="SHA-512" hashValue="kVxyPSg3j20oxEQeK2CNz7IY/D7yWqhhLEmLk7LfKcUV7F50KaTsZ0GzrRDoE2V7F8CG1wT2faa5j8PXMPKkxg==" saltValue="r/XJ6rPFvphC3ukO4SdpeQ==" spinCount="100000" sheet="1" selectLockedCells="1"/>
  <autoFilter ref="B4:N109" xr:uid="{00000000-0009-0000-0000-000001000000}">
    <filterColumn colId="5" showButton="0"/>
    <filterColumn colId="7" showButton="0"/>
    <filterColumn colId="8" showButton="0"/>
    <filterColumn colId="9" showButton="0"/>
    <filterColumn colId="11" showButton="0"/>
  </autoFilter>
  <mergeCells count="7">
    <mergeCell ref="B27:B28"/>
    <mergeCell ref="B30:B32"/>
    <mergeCell ref="G3:N3"/>
    <mergeCell ref="B2:N2"/>
    <mergeCell ref="I4:L4"/>
    <mergeCell ref="G4:H4"/>
    <mergeCell ref="M4:N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Listas!$H$2:$H$6</xm:f>
          </x14:formula1>
          <xm:sqref>G5:G109</xm:sqref>
        </x14:dataValidation>
        <x14:dataValidation type="list" allowBlank="1" showInputMessage="1" showErrorMessage="1" xr:uid="{00000000-0002-0000-0100-000001000000}">
          <x14:formula1>
            <xm:f>Listas!$A$2:$A$17</xm:f>
          </x14:formula1>
          <xm:sqref>C5:C109</xm:sqref>
        </x14:dataValidation>
        <x14:dataValidation type="list" allowBlank="1" showInputMessage="1" showErrorMessage="1" xr:uid="{00000000-0002-0000-0100-000002000000}">
          <x14:formula1>
            <xm:f>Listas!$D$2:$D$4</xm:f>
          </x14:formula1>
          <xm:sqref>F5:F109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B1:AS28"/>
  <sheetViews>
    <sheetView showGridLines="0" zoomScale="55" zoomScaleNormal="55" workbookViewId="0">
      <selection activeCell="F9" sqref="F9:F12"/>
    </sheetView>
  </sheetViews>
  <sheetFormatPr baseColWidth="10" defaultColWidth="17.28515625" defaultRowHeight="15" customHeight="1"/>
  <cols>
    <col min="1" max="1" width="4.28515625" style="1" customWidth="1"/>
    <col min="2" max="2" width="28.42578125" style="5" customWidth="1"/>
    <col min="3" max="3" width="28.5703125" style="5" customWidth="1"/>
    <col min="4" max="4" width="21.42578125" style="10" customWidth="1"/>
    <col min="5" max="5" width="24.28515625" style="5" customWidth="1"/>
    <col min="6" max="6" width="23.7109375" style="5" customWidth="1"/>
    <col min="7" max="7" width="24.5703125" style="5" customWidth="1"/>
    <col min="8" max="8" width="28.5703125" style="5" customWidth="1"/>
    <col min="9" max="9" width="50" style="5" customWidth="1"/>
    <col min="10" max="10" width="28.5703125" style="7" customWidth="1"/>
    <col min="11" max="42" width="14.28515625" style="1" customWidth="1"/>
    <col min="43" max="45" width="19.7109375" style="1" customWidth="1"/>
    <col min="46" max="16384" width="17.28515625" style="1"/>
  </cols>
  <sheetData>
    <row r="1" spans="2:45" ht="15" customHeight="1" thickBot="1"/>
    <row r="2" spans="2:45" ht="16.5" customHeight="1">
      <c r="B2" s="734"/>
      <c r="C2" s="737" t="s">
        <v>59</v>
      </c>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8"/>
      <c r="AP2" s="738"/>
      <c r="AQ2" s="739"/>
      <c r="AR2" s="746" t="s">
        <v>39</v>
      </c>
      <c r="AS2" s="747"/>
    </row>
    <row r="3" spans="2:45" ht="16.5" customHeight="1">
      <c r="B3" s="735"/>
      <c r="C3" s="86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2"/>
      <c r="AR3" s="81" t="s">
        <v>36</v>
      </c>
      <c r="AS3" s="82" t="s">
        <v>37</v>
      </c>
    </row>
    <row r="4" spans="2:45" ht="16.5" customHeight="1">
      <c r="B4" s="735"/>
      <c r="C4" s="861"/>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2"/>
      <c r="AR4" s="20">
        <v>3</v>
      </c>
      <c r="AS4" s="21" t="s">
        <v>102</v>
      </c>
    </row>
    <row r="5" spans="2:45" ht="16.5" customHeight="1">
      <c r="B5" s="735"/>
      <c r="C5" s="86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2"/>
      <c r="AR5" s="862" t="s">
        <v>38</v>
      </c>
      <c r="AS5" s="863"/>
    </row>
    <row r="6" spans="2:45" ht="16.5" customHeight="1" thickBot="1">
      <c r="B6" s="736"/>
      <c r="C6" s="743"/>
      <c r="D6" s="744"/>
      <c r="E6" s="744"/>
      <c r="F6" s="744"/>
      <c r="G6" s="744"/>
      <c r="H6" s="744"/>
      <c r="I6" s="744"/>
      <c r="J6" s="744"/>
      <c r="K6" s="744"/>
      <c r="L6" s="744"/>
      <c r="M6" s="744"/>
      <c r="N6" s="744"/>
      <c r="O6" s="744"/>
      <c r="P6" s="744"/>
      <c r="Q6" s="744"/>
      <c r="R6" s="744"/>
      <c r="S6" s="744"/>
      <c r="T6" s="744"/>
      <c r="U6" s="744"/>
      <c r="V6" s="744"/>
      <c r="W6" s="744"/>
      <c r="X6" s="744"/>
      <c r="Y6" s="744"/>
      <c r="Z6" s="744"/>
      <c r="AA6" s="744"/>
      <c r="AB6" s="744"/>
      <c r="AC6" s="744"/>
      <c r="AD6" s="744"/>
      <c r="AE6" s="744"/>
      <c r="AF6" s="744"/>
      <c r="AG6" s="744"/>
      <c r="AH6" s="744"/>
      <c r="AI6" s="744"/>
      <c r="AJ6" s="744"/>
      <c r="AK6" s="744"/>
      <c r="AL6" s="744"/>
      <c r="AM6" s="744"/>
      <c r="AN6" s="744"/>
      <c r="AO6" s="744"/>
      <c r="AP6" s="744"/>
      <c r="AQ6" s="745"/>
      <c r="AR6" s="750" t="s">
        <v>100</v>
      </c>
      <c r="AS6" s="751"/>
    </row>
    <row r="7" spans="2:45" ht="14.25" customHeight="1">
      <c r="B7" s="2"/>
      <c r="C7" s="2"/>
      <c r="D7" s="8"/>
      <c r="E7" s="2"/>
      <c r="F7" s="2"/>
      <c r="G7" s="2"/>
      <c r="H7" s="2"/>
      <c r="I7" s="2"/>
      <c r="J7" s="6"/>
      <c r="AR7" s="656"/>
      <c r="AS7" s="657"/>
    </row>
    <row r="8" spans="2:45" ht="15" customHeight="1">
      <c r="B8" s="13"/>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752"/>
      <c r="AR8" s="753"/>
      <c r="AS8" s="754"/>
    </row>
    <row r="9" spans="2:45" ht="22.5" customHeight="1">
      <c r="B9" s="651" t="s">
        <v>35</v>
      </c>
      <c r="C9" s="860" t="s">
        <v>34</v>
      </c>
      <c r="D9" s="860" t="s">
        <v>63</v>
      </c>
      <c r="E9" s="860" t="s">
        <v>66</v>
      </c>
      <c r="F9" s="860" t="s">
        <v>67</v>
      </c>
      <c r="G9" s="860" t="s">
        <v>31</v>
      </c>
      <c r="H9" s="860" t="s">
        <v>25</v>
      </c>
      <c r="I9" s="860" t="s">
        <v>95</v>
      </c>
      <c r="J9" s="860"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654" t="s">
        <v>6</v>
      </c>
      <c r="AR9" s="655" t="s">
        <v>7</v>
      </c>
      <c r="AS9" s="655" t="s">
        <v>24</v>
      </c>
    </row>
    <row r="10" spans="2:45" ht="22.5" customHeight="1">
      <c r="B10" s="651"/>
      <c r="C10" s="860"/>
      <c r="D10" s="860"/>
      <c r="E10" s="860"/>
      <c r="F10" s="860"/>
      <c r="G10" s="860"/>
      <c r="H10" s="860"/>
      <c r="I10" s="860"/>
      <c r="J10" s="860"/>
      <c r="K10" s="640" t="s">
        <v>26</v>
      </c>
      <c r="L10" s="640"/>
      <c r="M10" s="640"/>
      <c r="N10" s="640"/>
      <c r="O10" s="640"/>
      <c r="P10" s="640"/>
      <c r="Q10" s="640"/>
      <c r="R10" s="640"/>
      <c r="S10" s="640" t="s">
        <v>27</v>
      </c>
      <c r="T10" s="640"/>
      <c r="U10" s="640"/>
      <c r="V10" s="640"/>
      <c r="W10" s="640"/>
      <c r="X10" s="640"/>
      <c r="Y10" s="640"/>
      <c r="Z10" s="640"/>
      <c r="AA10" s="640" t="s">
        <v>28</v>
      </c>
      <c r="AB10" s="640"/>
      <c r="AC10" s="640"/>
      <c r="AD10" s="640"/>
      <c r="AE10" s="640"/>
      <c r="AF10" s="640"/>
      <c r="AG10" s="640"/>
      <c r="AH10" s="640"/>
      <c r="AI10" s="640" t="s">
        <v>29</v>
      </c>
      <c r="AJ10" s="640"/>
      <c r="AK10" s="640"/>
      <c r="AL10" s="640"/>
      <c r="AM10" s="640"/>
      <c r="AN10" s="640"/>
      <c r="AO10" s="640"/>
      <c r="AP10" s="640"/>
      <c r="AQ10" s="654"/>
      <c r="AR10" s="655"/>
      <c r="AS10" s="655"/>
    </row>
    <row r="11" spans="2:45" ht="22.5" customHeight="1">
      <c r="B11" s="651"/>
      <c r="C11" s="860"/>
      <c r="D11" s="860"/>
      <c r="E11" s="860"/>
      <c r="F11" s="860"/>
      <c r="G11" s="860"/>
      <c r="H11" s="860"/>
      <c r="I11" s="860"/>
      <c r="J11" s="860"/>
      <c r="K11" s="640" t="s">
        <v>8</v>
      </c>
      <c r="L11" s="640"/>
      <c r="M11" s="640" t="s">
        <v>9</v>
      </c>
      <c r="N11" s="640"/>
      <c r="O11" s="646" t="s">
        <v>10</v>
      </c>
      <c r="P11" s="647"/>
      <c r="Q11" s="630" t="s">
        <v>11</v>
      </c>
      <c r="R11" s="631"/>
      <c r="S11" s="640" t="s">
        <v>33</v>
      </c>
      <c r="T11" s="640"/>
      <c r="U11" s="640" t="s">
        <v>12</v>
      </c>
      <c r="V11" s="640"/>
      <c r="W11" s="640" t="s">
        <v>13</v>
      </c>
      <c r="X11" s="640"/>
      <c r="Y11" s="630" t="s">
        <v>11</v>
      </c>
      <c r="Z11" s="631"/>
      <c r="AA11" s="640" t="s">
        <v>14</v>
      </c>
      <c r="AB11" s="640"/>
      <c r="AC11" s="640" t="s">
        <v>15</v>
      </c>
      <c r="AD11" s="640"/>
      <c r="AE11" s="640" t="s">
        <v>16</v>
      </c>
      <c r="AF11" s="640"/>
      <c r="AG11" s="630" t="s">
        <v>11</v>
      </c>
      <c r="AH11" s="631"/>
      <c r="AI11" s="640" t="s">
        <v>17</v>
      </c>
      <c r="AJ11" s="640"/>
      <c r="AK11" s="640" t="s">
        <v>18</v>
      </c>
      <c r="AL11" s="640"/>
      <c r="AM11" s="640" t="s">
        <v>19</v>
      </c>
      <c r="AN11" s="640"/>
      <c r="AO11" s="630" t="s">
        <v>11</v>
      </c>
      <c r="AP11" s="631"/>
      <c r="AQ11" s="654"/>
      <c r="AR11" s="655"/>
      <c r="AS11" s="655"/>
    </row>
    <row r="12" spans="2:45" ht="22.5" customHeight="1">
      <c r="B12" s="652"/>
      <c r="C12" s="778"/>
      <c r="D12" s="778"/>
      <c r="E12" s="778"/>
      <c r="F12" s="778"/>
      <c r="G12" s="778"/>
      <c r="H12" s="778"/>
      <c r="I12" s="778"/>
      <c r="J12" s="778"/>
      <c r="K12" s="75" t="s">
        <v>20</v>
      </c>
      <c r="L12" s="76" t="s">
        <v>21</v>
      </c>
      <c r="M12" s="75" t="s">
        <v>20</v>
      </c>
      <c r="N12" s="76" t="s">
        <v>21</v>
      </c>
      <c r="O12" s="75" t="s">
        <v>20</v>
      </c>
      <c r="P12" s="76" t="s">
        <v>21</v>
      </c>
      <c r="Q12" s="77" t="s">
        <v>20</v>
      </c>
      <c r="R12" s="78" t="s">
        <v>21</v>
      </c>
      <c r="S12" s="75" t="s">
        <v>20</v>
      </c>
      <c r="T12" s="76" t="s">
        <v>21</v>
      </c>
      <c r="U12" s="75" t="s">
        <v>20</v>
      </c>
      <c r="V12" s="76" t="s">
        <v>21</v>
      </c>
      <c r="W12" s="75" t="s">
        <v>20</v>
      </c>
      <c r="X12" s="76" t="s">
        <v>21</v>
      </c>
      <c r="Y12" s="77" t="s">
        <v>20</v>
      </c>
      <c r="Z12" s="78" t="s">
        <v>21</v>
      </c>
      <c r="AA12" s="75" t="s">
        <v>20</v>
      </c>
      <c r="AB12" s="76" t="s">
        <v>21</v>
      </c>
      <c r="AC12" s="75" t="s">
        <v>20</v>
      </c>
      <c r="AD12" s="76" t="s">
        <v>21</v>
      </c>
      <c r="AE12" s="75" t="s">
        <v>20</v>
      </c>
      <c r="AF12" s="76" t="s">
        <v>21</v>
      </c>
      <c r="AG12" s="77" t="s">
        <v>20</v>
      </c>
      <c r="AH12" s="78" t="s">
        <v>21</v>
      </c>
      <c r="AI12" s="75" t="s">
        <v>20</v>
      </c>
      <c r="AJ12" s="76" t="s">
        <v>21</v>
      </c>
      <c r="AK12" s="75" t="s">
        <v>20</v>
      </c>
      <c r="AL12" s="76" t="s">
        <v>21</v>
      </c>
      <c r="AM12" s="75" t="s">
        <v>20</v>
      </c>
      <c r="AN12" s="76" t="s">
        <v>21</v>
      </c>
      <c r="AO12" s="77" t="s">
        <v>20</v>
      </c>
      <c r="AP12" s="78" t="s">
        <v>21</v>
      </c>
      <c r="AQ12" s="654"/>
      <c r="AR12" s="655"/>
      <c r="AS12" s="655"/>
    </row>
    <row r="13" spans="2:45" ht="178.5" customHeight="1">
      <c r="B13" s="852" t="s">
        <v>380</v>
      </c>
      <c r="C13" s="99" t="s">
        <v>434</v>
      </c>
      <c r="D13" s="212">
        <v>1</v>
      </c>
      <c r="E13" s="276" t="s">
        <v>502</v>
      </c>
      <c r="F13" s="101" t="s">
        <v>381</v>
      </c>
      <c r="G13" s="102" t="s">
        <v>310</v>
      </c>
      <c r="H13" s="276" t="s">
        <v>382</v>
      </c>
      <c r="I13" s="109" t="s">
        <v>565</v>
      </c>
      <c r="J13" s="104" t="s">
        <v>383</v>
      </c>
      <c r="K13" s="139">
        <v>0</v>
      </c>
      <c r="L13" s="139">
        <v>0</v>
      </c>
      <c r="M13" s="139">
        <v>0</v>
      </c>
      <c r="N13" s="139">
        <v>0</v>
      </c>
      <c r="O13" s="139">
        <v>0.5</v>
      </c>
      <c r="P13" s="139">
        <v>0.5</v>
      </c>
      <c r="Q13" s="140">
        <f t="shared" ref="Q13:R15" si="0">K13+M13+O13</f>
        <v>0.5</v>
      </c>
      <c r="R13" s="140">
        <f t="shared" si="0"/>
        <v>0.5</v>
      </c>
      <c r="S13" s="139">
        <v>0</v>
      </c>
      <c r="T13" s="139">
        <v>0</v>
      </c>
      <c r="U13" s="139">
        <v>0</v>
      </c>
      <c r="V13" s="139">
        <v>0</v>
      </c>
      <c r="W13" s="139">
        <v>0.5</v>
      </c>
      <c r="X13" s="139">
        <v>0.4</v>
      </c>
      <c r="Y13" s="140">
        <f t="shared" ref="Y13:Z15" si="1">S13+U13+W13</f>
        <v>0.5</v>
      </c>
      <c r="Z13" s="140">
        <f t="shared" si="1"/>
        <v>0.4</v>
      </c>
      <c r="AA13" s="139">
        <v>0</v>
      </c>
      <c r="AB13" s="139">
        <v>0</v>
      </c>
      <c r="AC13" s="139">
        <v>0</v>
      </c>
      <c r="AD13" s="139">
        <v>0</v>
      </c>
      <c r="AE13" s="139">
        <v>0</v>
      </c>
      <c r="AF13" s="139">
        <v>0.1</v>
      </c>
      <c r="AG13" s="140">
        <f t="shared" ref="AG13:AH15" si="2">AA13+AC13+AE13</f>
        <v>0</v>
      </c>
      <c r="AH13" s="140">
        <f t="shared" si="2"/>
        <v>0.1</v>
      </c>
      <c r="AI13" s="139">
        <v>0</v>
      </c>
      <c r="AJ13" s="139">
        <v>0</v>
      </c>
      <c r="AK13" s="139">
        <v>0</v>
      </c>
      <c r="AL13" s="139">
        <v>0</v>
      </c>
      <c r="AM13" s="139">
        <v>0</v>
      </c>
      <c r="AN13" s="139">
        <v>0</v>
      </c>
      <c r="AO13" s="140">
        <f t="shared" ref="AO13:AP15" si="3">AI13+AK13+AM13</f>
        <v>0</v>
      </c>
      <c r="AP13" s="140">
        <f t="shared" si="3"/>
        <v>0</v>
      </c>
      <c r="AQ13" s="244">
        <f t="shared" ref="AQ13:AR15" si="4">Q13+Y13+AG13+AO13</f>
        <v>1</v>
      </c>
      <c r="AR13" s="140">
        <f t="shared" si="4"/>
        <v>1</v>
      </c>
      <c r="AS13" s="244">
        <f>IF(AND(AR13&gt;0,AQ13&gt;0),AR13/AQ13,0)</f>
        <v>1</v>
      </c>
    </row>
    <row r="14" spans="2:45" ht="120.75" customHeight="1">
      <c r="B14" s="633"/>
      <c r="C14" s="99" t="s">
        <v>435</v>
      </c>
      <c r="D14" s="212">
        <v>1</v>
      </c>
      <c r="E14" s="99" t="s">
        <v>387</v>
      </c>
      <c r="F14" s="101" t="s">
        <v>381</v>
      </c>
      <c r="G14" s="102" t="s">
        <v>384</v>
      </c>
      <c r="H14" s="276" t="s">
        <v>385</v>
      </c>
      <c r="I14" s="109" t="s">
        <v>503</v>
      </c>
      <c r="J14" s="104" t="s">
        <v>383</v>
      </c>
      <c r="K14" s="139">
        <v>0</v>
      </c>
      <c r="L14" s="139">
        <v>0</v>
      </c>
      <c r="M14" s="139">
        <v>0</v>
      </c>
      <c r="N14" s="139">
        <v>0</v>
      </c>
      <c r="O14" s="139">
        <v>0</v>
      </c>
      <c r="P14" s="139">
        <v>0</v>
      </c>
      <c r="Q14" s="140">
        <f t="shared" si="0"/>
        <v>0</v>
      </c>
      <c r="R14" s="140">
        <f t="shared" si="0"/>
        <v>0</v>
      </c>
      <c r="S14" s="139">
        <v>0</v>
      </c>
      <c r="T14" s="139">
        <v>0</v>
      </c>
      <c r="U14" s="139">
        <v>0</v>
      </c>
      <c r="V14" s="139">
        <v>0</v>
      </c>
      <c r="W14" s="139">
        <v>0.5</v>
      </c>
      <c r="X14" s="139">
        <v>0.5</v>
      </c>
      <c r="Y14" s="140">
        <f t="shared" si="1"/>
        <v>0.5</v>
      </c>
      <c r="Z14" s="140">
        <f t="shared" si="1"/>
        <v>0.5</v>
      </c>
      <c r="AA14" s="139">
        <v>0</v>
      </c>
      <c r="AB14" s="139">
        <v>0</v>
      </c>
      <c r="AC14" s="139">
        <v>0</v>
      </c>
      <c r="AD14" s="139">
        <v>0</v>
      </c>
      <c r="AE14" s="139">
        <v>0.5</v>
      </c>
      <c r="AF14" s="139">
        <v>0.5</v>
      </c>
      <c r="AG14" s="140">
        <f t="shared" si="2"/>
        <v>0.5</v>
      </c>
      <c r="AH14" s="140">
        <f t="shared" si="2"/>
        <v>0.5</v>
      </c>
      <c r="AI14" s="139">
        <v>0</v>
      </c>
      <c r="AJ14" s="139">
        <v>0</v>
      </c>
      <c r="AK14" s="139">
        <v>0</v>
      </c>
      <c r="AL14" s="139">
        <v>0</v>
      </c>
      <c r="AM14" s="139">
        <v>0</v>
      </c>
      <c r="AN14" s="139">
        <v>0</v>
      </c>
      <c r="AO14" s="140">
        <f t="shared" si="3"/>
        <v>0</v>
      </c>
      <c r="AP14" s="140">
        <f t="shared" si="3"/>
        <v>0</v>
      </c>
      <c r="AQ14" s="244">
        <f t="shared" si="4"/>
        <v>1</v>
      </c>
      <c r="AR14" s="140">
        <f t="shared" si="4"/>
        <v>1</v>
      </c>
      <c r="AS14" s="244">
        <f>IF(AND(AR14&gt;0,AQ14&gt;0),AR14/AQ14,0)</f>
        <v>1</v>
      </c>
    </row>
    <row r="15" spans="2:45" ht="134.25" customHeight="1">
      <c r="B15" s="779"/>
      <c r="C15" s="99" t="s">
        <v>436</v>
      </c>
      <c r="D15" s="213">
        <v>1</v>
      </c>
      <c r="E15" s="99" t="s">
        <v>504</v>
      </c>
      <c r="F15" s="101" t="s">
        <v>381</v>
      </c>
      <c r="G15" s="102" t="s">
        <v>384</v>
      </c>
      <c r="H15" s="103" t="s">
        <v>386</v>
      </c>
      <c r="I15" s="109" t="s">
        <v>505</v>
      </c>
      <c r="J15" s="104" t="s">
        <v>383</v>
      </c>
      <c r="K15" s="139">
        <v>0.01</v>
      </c>
      <c r="L15" s="139">
        <v>0.01</v>
      </c>
      <c r="M15" s="139">
        <v>0.02</v>
      </c>
      <c r="N15" s="139">
        <v>0.02</v>
      </c>
      <c r="O15" s="139">
        <v>0.02</v>
      </c>
      <c r="P15" s="139">
        <v>0.02</v>
      </c>
      <c r="Q15" s="140">
        <f t="shared" si="0"/>
        <v>0.05</v>
      </c>
      <c r="R15" s="140">
        <f t="shared" si="0"/>
        <v>0.05</v>
      </c>
      <c r="S15" s="139">
        <v>0.01</v>
      </c>
      <c r="T15" s="139">
        <v>0.01</v>
      </c>
      <c r="U15" s="139">
        <v>0.02</v>
      </c>
      <c r="V15" s="139">
        <v>0.02</v>
      </c>
      <c r="W15" s="139">
        <v>0.02</v>
      </c>
      <c r="X15" s="139">
        <v>0.02</v>
      </c>
      <c r="Y15" s="140">
        <f t="shared" si="1"/>
        <v>0.05</v>
      </c>
      <c r="Z15" s="140">
        <f t="shared" si="1"/>
        <v>0.05</v>
      </c>
      <c r="AA15" s="139">
        <v>0.41</v>
      </c>
      <c r="AB15" s="139">
        <v>0.41</v>
      </c>
      <c r="AC15" s="139">
        <v>0.22</v>
      </c>
      <c r="AD15" s="139">
        <v>0.22</v>
      </c>
      <c r="AE15" s="256">
        <v>0.22</v>
      </c>
      <c r="AF15" s="256">
        <v>0.22</v>
      </c>
      <c r="AG15" s="140">
        <f t="shared" si="2"/>
        <v>0.85</v>
      </c>
      <c r="AH15" s="140">
        <f t="shared" si="2"/>
        <v>0.85</v>
      </c>
      <c r="AI15" s="139">
        <v>0.01</v>
      </c>
      <c r="AJ15" s="139">
        <v>0.01</v>
      </c>
      <c r="AK15" s="139">
        <v>0.02</v>
      </c>
      <c r="AL15" s="139">
        <v>0.02</v>
      </c>
      <c r="AM15" s="139">
        <v>0.02</v>
      </c>
      <c r="AN15" s="139">
        <v>0.02</v>
      </c>
      <c r="AO15" s="140">
        <f t="shared" si="3"/>
        <v>0.05</v>
      </c>
      <c r="AP15" s="140">
        <f t="shared" si="3"/>
        <v>0.05</v>
      </c>
      <c r="AQ15" s="244">
        <f t="shared" si="4"/>
        <v>1</v>
      </c>
      <c r="AR15" s="140">
        <f t="shared" si="4"/>
        <v>1</v>
      </c>
      <c r="AS15" s="244">
        <f>IF(AND(AR15&gt;0,AQ15&gt;0),AR15/AQ15,0)</f>
        <v>1</v>
      </c>
    </row>
    <row r="16" spans="2:45" ht="23.25">
      <c r="B16" s="634" t="s">
        <v>23</v>
      </c>
      <c r="C16" s="635"/>
      <c r="D16" s="635"/>
      <c r="E16" s="635"/>
      <c r="F16" s="635"/>
      <c r="G16" s="635"/>
      <c r="H16" s="635"/>
      <c r="I16" s="635"/>
      <c r="J16" s="635"/>
      <c r="K16" s="635"/>
      <c r="L16" s="635"/>
      <c r="M16" s="635"/>
      <c r="N16" s="635"/>
      <c r="O16" s="635"/>
      <c r="P16" s="635"/>
      <c r="Q16" s="635"/>
      <c r="R16" s="635"/>
      <c r="S16" s="635"/>
      <c r="T16" s="635"/>
      <c r="U16" s="635"/>
      <c r="V16" s="635"/>
      <c r="W16" s="635"/>
      <c r="X16" s="635"/>
      <c r="Y16" s="635"/>
      <c r="Z16" s="635"/>
      <c r="AA16" s="635"/>
      <c r="AB16" s="635"/>
      <c r="AC16" s="635"/>
      <c r="AD16" s="635"/>
      <c r="AE16" s="635"/>
      <c r="AF16" s="635"/>
      <c r="AG16" s="635"/>
      <c r="AH16" s="635"/>
      <c r="AI16" s="635"/>
      <c r="AJ16" s="635"/>
      <c r="AK16" s="635"/>
      <c r="AL16" s="635"/>
      <c r="AM16" s="635"/>
      <c r="AN16" s="635"/>
      <c r="AO16" s="635"/>
      <c r="AP16" s="635"/>
      <c r="AQ16" s="635"/>
      <c r="AR16" s="636"/>
      <c r="AS16" s="245">
        <f>AVERAGE(AS13:AS15)</f>
        <v>1</v>
      </c>
    </row>
    <row r="17" spans="2:10" ht="17.25">
      <c r="B17" s="3"/>
      <c r="C17" s="3"/>
      <c r="D17" s="9"/>
      <c r="E17" s="3"/>
      <c r="F17" s="3"/>
      <c r="G17" s="3"/>
      <c r="H17" s="3"/>
      <c r="I17" s="3"/>
      <c r="J17" s="4"/>
    </row>
    <row r="18" spans="2:10" ht="30.75" customHeight="1">
      <c r="B18" s="83" t="s">
        <v>4</v>
      </c>
      <c r="C18" s="853"/>
      <c r="D18" s="854"/>
      <c r="E18" s="854"/>
      <c r="F18" s="854"/>
      <c r="G18" s="854"/>
      <c r="H18" s="854"/>
      <c r="I18" s="854"/>
      <c r="J18" s="855"/>
    </row>
    <row r="19" spans="2:10" ht="17.25">
      <c r="B19" s="3"/>
      <c r="C19" s="763"/>
      <c r="D19" s="763"/>
      <c r="E19" s="763"/>
      <c r="F19" s="763"/>
      <c r="G19" s="763"/>
      <c r="H19" s="763"/>
      <c r="I19" s="763"/>
      <c r="J19" s="763"/>
    </row>
    <row r="20" spans="2:10" ht="30" customHeight="1">
      <c r="B20" s="84" t="s">
        <v>32</v>
      </c>
      <c r="C20" s="856">
        <v>43812</v>
      </c>
      <c r="D20" s="857"/>
      <c r="E20" s="3"/>
      <c r="F20" s="3"/>
      <c r="G20" s="85" t="s">
        <v>22</v>
      </c>
      <c r="H20" s="858" t="s">
        <v>894</v>
      </c>
      <c r="I20" s="859"/>
      <c r="J20" s="859"/>
    </row>
    <row r="21" spans="2:10" ht="13.5" customHeight="1">
      <c r="B21" s="3"/>
      <c r="C21" s="3"/>
      <c r="D21" s="9"/>
      <c r="E21" s="3"/>
      <c r="F21" s="3"/>
      <c r="G21" s="3"/>
      <c r="H21" s="3"/>
      <c r="I21" s="3"/>
      <c r="J21" s="4"/>
    </row>
    <row r="22" spans="2:10" ht="15" customHeight="1">
      <c r="B22" s="3"/>
      <c r="C22" s="3"/>
      <c r="D22" s="9"/>
      <c r="E22" s="3"/>
      <c r="F22" s="3"/>
      <c r="G22" s="3"/>
      <c r="H22" s="3"/>
      <c r="I22" s="3"/>
      <c r="J22" s="4"/>
    </row>
    <row r="23" spans="2:10" ht="17.25">
      <c r="B23" s="3"/>
      <c r="C23" s="3"/>
      <c r="D23" s="9"/>
      <c r="E23" s="3"/>
      <c r="F23" s="3"/>
      <c r="G23" s="3"/>
      <c r="H23" s="3"/>
      <c r="I23" s="3"/>
      <c r="J23" s="4"/>
    </row>
    <row r="24" spans="2:10" ht="15" customHeight="1">
      <c r="B24" s="3"/>
      <c r="C24" s="3"/>
      <c r="D24" s="9"/>
      <c r="E24" s="759"/>
      <c r="F24" s="759"/>
      <c r="G24" s="759"/>
      <c r="H24" s="759"/>
      <c r="I24" s="119"/>
      <c r="J24" s="3"/>
    </row>
    <row r="25" spans="2:10" ht="15" customHeight="1">
      <c r="B25" s="3"/>
      <c r="C25" s="3"/>
      <c r="D25" s="9"/>
      <c r="E25" s="3"/>
      <c r="F25" s="3"/>
      <c r="G25" s="4"/>
      <c r="H25" s="3"/>
      <c r="I25" s="3"/>
      <c r="J25" s="3"/>
    </row>
    <row r="26" spans="2:10" ht="15" customHeight="1">
      <c r="B26" s="3"/>
      <c r="C26" s="3"/>
      <c r="D26" s="9"/>
      <c r="E26" s="759"/>
      <c r="F26" s="759"/>
      <c r="G26" s="759"/>
      <c r="H26" s="759"/>
      <c r="I26" s="119"/>
      <c r="J26" s="3"/>
    </row>
    <row r="27" spans="2:10" ht="15" customHeight="1">
      <c r="B27" s="3"/>
      <c r="C27" s="3"/>
      <c r="D27" s="9"/>
      <c r="E27" s="3"/>
      <c r="F27" s="3"/>
      <c r="G27" s="4"/>
      <c r="H27" s="3"/>
      <c r="I27" s="3"/>
      <c r="J27" s="3"/>
    </row>
    <row r="28" spans="2:10" ht="15" customHeight="1">
      <c r="B28" s="3"/>
      <c r="C28" s="3"/>
      <c r="D28" s="9"/>
      <c r="E28" s="759"/>
      <c r="F28" s="759"/>
      <c r="G28" s="759"/>
      <c r="H28" s="759"/>
      <c r="I28" s="119"/>
      <c r="J28" s="3"/>
    </row>
  </sheetData>
  <sheetProtection algorithmName="SHA-512" hashValue="8y6RZS8pbBwUaipWLbtVLaMxy4ndAiBl9vL6Nuu9D/AsuoXmvthOnfp3xijtt7rILD9VH9r5fp/G00SXn7qpbg==" saltValue="FthjHJSqrPGyMCXt5kGTVw=="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AO11:AP11"/>
    <mergeCell ref="AA11:AB11"/>
    <mergeCell ref="AC11:AD11"/>
    <mergeCell ref="AE11:AF11"/>
    <mergeCell ref="AG11:AH11"/>
    <mergeCell ref="AI11:AJ11"/>
    <mergeCell ref="E28:H28"/>
    <mergeCell ref="B16:AR16"/>
    <mergeCell ref="C18:J18"/>
    <mergeCell ref="C19:J19"/>
    <mergeCell ref="C20:D20"/>
    <mergeCell ref="H20:J20"/>
    <mergeCell ref="AM11:AN11"/>
    <mergeCell ref="AK11:AL11"/>
    <mergeCell ref="B13:B15"/>
    <mergeCell ref="E24:H24"/>
    <mergeCell ref="E26:H2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B1:AS29"/>
  <sheetViews>
    <sheetView showGridLines="0" zoomScale="55" zoomScaleNormal="55" workbookViewId="0">
      <selection activeCell="C21" sqref="C21:D21"/>
    </sheetView>
  </sheetViews>
  <sheetFormatPr baseColWidth="10" defaultColWidth="17.28515625" defaultRowHeight="15" customHeight="1"/>
  <cols>
    <col min="1" max="1" width="4.28515625" style="89" customWidth="1"/>
    <col min="2" max="2" width="28.42578125" style="86" customWidth="1"/>
    <col min="3" max="3" width="28.5703125" style="86" customWidth="1"/>
    <col min="4" max="4" width="29" style="87" customWidth="1"/>
    <col min="5" max="5" width="24.5703125" style="86" customWidth="1"/>
    <col min="6" max="6" width="23.42578125" style="86" customWidth="1"/>
    <col min="7" max="7" width="24.28515625" style="86" customWidth="1"/>
    <col min="8" max="8" width="28.5703125" style="86" customWidth="1"/>
    <col min="9" max="9" width="50" style="86" customWidth="1"/>
    <col min="10" max="10" width="28.5703125" style="88" customWidth="1"/>
    <col min="11" max="42" width="14.28515625" style="89" customWidth="1"/>
    <col min="43" max="45" width="20.7109375" style="89" customWidth="1"/>
    <col min="46" max="16384" width="17.28515625" style="89"/>
  </cols>
  <sheetData>
    <row r="1" spans="2:45" ht="18" thickBot="1"/>
    <row r="2" spans="2:45" ht="15.75">
      <c r="B2" s="658"/>
      <c r="C2" s="661" t="s">
        <v>59</v>
      </c>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3"/>
      <c r="AR2" s="670" t="s">
        <v>39</v>
      </c>
      <c r="AS2" s="671"/>
    </row>
    <row r="3" spans="2:45" ht="15.75">
      <c r="B3" s="659"/>
      <c r="C3" s="726"/>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6"/>
      <c r="AR3" s="90" t="s">
        <v>36</v>
      </c>
      <c r="AS3" s="533" t="s">
        <v>37</v>
      </c>
    </row>
    <row r="4" spans="2:45">
      <c r="B4" s="659"/>
      <c r="C4" s="726"/>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6"/>
      <c r="AR4" s="92">
        <v>3</v>
      </c>
      <c r="AS4" s="93" t="s">
        <v>102</v>
      </c>
    </row>
    <row r="5" spans="2:45" ht="15.75">
      <c r="B5" s="659"/>
      <c r="C5" s="726"/>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c r="AR5" s="724" t="s">
        <v>38</v>
      </c>
      <c r="AS5" s="725"/>
    </row>
    <row r="6" spans="2:45" ht="15.75" thickBot="1">
      <c r="B6" s="660"/>
      <c r="C6" s="667"/>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c r="AR6" s="674" t="s">
        <v>100</v>
      </c>
      <c r="AS6" s="675"/>
    </row>
    <row r="7" spans="2:45" ht="17.25">
      <c r="B7" s="94"/>
      <c r="C7" s="94"/>
      <c r="D7" s="95"/>
      <c r="E7" s="94"/>
      <c r="F7" s="94"/>
      <c r="G7" s="94"/>
      <c r="H7" s="94"/>
      <c r="I7" s="94"/>
      <c r="J7" s="96"/>
      <c r="AR7" s="730"/>
      <c r="AS7" s="731"/>
    </row>
    <row r="8" spans="2:45" ht="13.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5.75">
      <c r="B9" s="718" t="s">
        <v>35</v>
      </c>
      <c r="C9" s="718" t="s">
        <v>34</v>
      </c>
      <c r="D9" s="718" t="s">
        <v>63</v>
      </c>
      <c r="E9" s="718" t="s">
        <v>66</v>
      </c>
      <c r="F9" s="718" t="s">
        <v>67</v>
      </c>
      <c r="G9" s="718" t="s">
        <v>31</v>
      </c>
      <c r="H9" s="718" t="s">
        <v>25</v>
      </c>
      <c r="I9" s="718" t="s">
        <v>95</v>
      </c>
      <c r="J9" s="718"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716" t="s">
        <v>6</v>
      </c>
      <c r="AR9" s="717" t="s">
        <v>7</v>
      </c>
      <c r="AS9" s="717" t="s">
        <v>24</v>
      </c>
    </row>
    <row r="10" spans="2:45" ht="15.75">
      <c r="B10" s="718"/>
      <c r="C10" s="718"/>
      <c r="D10" s="718"/>
      <c r="E10" s="718"/>
      <c r="F10" s="718"/>
      <c r="G10" s="718"/>
      <c r="H10" s="718"/>
      <c r="I10" s="718"/>
      <c r="J10" s="718"/>
      <c r="K10" s="719" t="s">
        <v>26</v>
      </c>
      <c r="L10" s="719"/>
      <c r="M10" s="719"/>
      <c r="N10" s="719"/>
      <c r="O10" s="719"/>
      <c r="P10" s="719"/>
      <c r="Q10" s="719"/>
      <c r="R10" s="719"/>
      <c r="S10" s="719" t="s">
        <v>27</v>
      </c>
      <c r="T10" s="719"/>
      <c r="U10" s="719"/>
      <c r="V10" s="719"/>
      <c r="W10" s="719"/>
      <c r="X10" s="719"/>
      <c r="Y10" s="719"/>
      <c r="Z10" s="719"/>
      <c r="AA10" s="719" t="s">
        <v>28</v>
      </c>
      <c r="AB10" s="719"/>
      <c r="AC10" s="719"/>
      <c r="AD10" s="719"/>
      <c r="AE10" s="719"/>
      <c r="AF10" s="719"/>
      <c r="AG10" s="719"/>
      <c r="AH10" s="719"/>
      <c r="AI10" s="719" t="s">
        <v>29</v>
      </c>
      <c r="AJ10" s="719"/>
      <c r="AK10" s="719"/>
      <c r="AL10" s="719"/>
      <c r="AM10" s="719"/>
      <c r="AN10" s="719"/>
      <c r="AO10" s="719"/>
      <c r="AP10" s="719"/>
      <c r="AQ10" s="716"/>
      <c r="AR10" s="717"/>
      <c r="AS10" s="717"/>
    </row>
    <row r="11" spans="2:45" ht="15.75" customHeight="1">
      <c r="B11" s="718"/>
      <c r="C11" s="718"/>
      <c r="D11" s="718"/>
      <c r="E11" s="718"/>
      <c r="F11" s="718"/>
      <c r="G11" s="718"/>
      <c r="H11" s="718"/>
      <c r="I11" s="718"/>
      <c r="J11" s="718"/>
      <c r="K11" s="719" t="s">
        <v>8</v>
      </c>
      <c r="L11" s="719"/>
      <c r="M11" s="719" t="s">
        <v>9</v>
      </c>
      <c r="N11" s="719"/>
      <c r="O11" s="732" t="s">
        <v>10</v>
      </c>
      <c r="P11" s="733"/>
      <c r="Q11" s="720" t="s">
        <v>11</v>
      </c>
      <c r="R11" s="721"/>
      <c r="S11" s="719" t="s">
        <v>33</v>
      </c>
      <c r="T11" s="719"/>
      <c r="U11" s="719" t="s">
        <v>12</v>
      </c>
      <c r="V11" s="719"/>
      <c r="W11" s="719" t="s">
        <v>13</v>
      </c>
      <c r="X11" s="719"/>
      <c r="Y11" s="720" t="s">
        <v>11</v>
      </c>
      <c r="Z11" s="721"/>
      <c r="AA11" s="719" t="s">
        <v>14</v>
      </c>
      <c r="AB11" s="719"/>
      <c r="AC11" s="719" t="s">
        <v>15</v>
      </c>
      <c r="AD11" s="719"/>
      <c r="AE11" s="719" t="s">
        <v>16</v>
      </c>
      <c r="AF11" s="719"/>
      <c r="AG11" s="720" t="s">
        <v>11</v>
      </c>
      <c r="AH11" s="721"/>
      <c r="AI11" s="719" t="s">
        <v>17</v>
      </c>
      <c r="AJ11" s="719"/>
      <c r="AK11" s="719" t="s">
        <v>18</v>
      </c>
      <c r="AL11" s="719"/>
      <c r="AM11" s="719" t="s">
        <v>19</v>
      </c>
      <c r="AN11" s="719"/>
      <c r="AO11" s="720" t="s">
        <v>11</v>
      </c>
      <c r="AP11" s="721"/>
      <c r="AQ11" s="716"/>
      <c r="AR11" s="717"/>
      <c r="AS11" s="717"/>
    </row>
    <row r="12" spans="2:45" ht="13.5">
      <c r="B12" s="652"/>
      <c r="C12" s="652"/>
      <c r="D12" s="652"/>
      <c r="E12" s="652"/>
      <c r="F12" s="652"/>
      <c r="G12" s="652"/>
      <c r="H12" s="652"/>
      <c r="I12" s="652"/>
      <c r="J12" s="652"/>
      <c r="K12" s="22" t="s">
        <v>20</v>
      </c>
      <c r="L12" s="23" t="s">
        <v>21</v>
      </c>
      <c r="M12" s="22" t="s">
        <v>20</v>
      </c>
      <c r="N12" s="23" t="s">
        <v>21</v>
      </c>
      <c r="O12" s="22" t="s">
        <v>20</v>
      </c>
      <c r="P12" s="23" t="s">
        <v>21</v>
      </c>
      <c r="Q12" s="24" t="s">
        <v>20</v>
      </c>
      <c r="R12" s="25" t="s">
        <v>21</v>
      </c>
      <c r="S12" s="22" t="s">
        <v>20</v>
      </c>
      <c r="T12" s="23" t="s">
        <v>21</v>
      </c>
      <c r="U12" s="22" t="s">
        <v>20</v>
      </c>
      <c r="V12" s="23" t="s">
        <v>21</v>
      </c>
      <c r="W12" s="22" t="s">
        <v>20</v>
      </c>
      <c r="X12" s="23" t="s">
        <v>21</v>
      </c>
      <c r="Y12" s="24" t="s">
        <v>20</v>
      </c>
      <c r="Z12" s="25" t="s">
        <v>21</v>
      </c>
      <c r="AA12" s="22" t="s">
        <v>20</v>
      </c>
      <c r="AB12" s="23" t="s">
        <v>21</v>
      </c>
      <c r="AC12" s="22" t="s">
        <v>20</v>
      </c>
      <c r="AD12" s="23" t="s">
        <v>21</v>
      </c>
      <c r="AE12" s="22" t="s">
        <v>20</v>
      </c>
      <c r="AF12" s="23" t="s">
        <v>21</v>
      </c>
      <c r="AG12" s="24" t="s">
        <v>20</v>
      </c>
      <c r="AH12" s="25" t="s">
        <v>21</v>
      </c>
      <c r="AI12" s="22" t="s">
        <v>20</v>
      </c>
      <c r="AJ12" s="23" t="s">
        <v>21</v>
      </c>
      <c r="AK12" s="22" t="s">
        <v>20</v>
      </c>
      <c r="AL12" s="23" t="s">
        <v>21</v>
      </c>
      <c r="AM12" s="22" t="s">
        <v>20</v>
      </c>
      <c r="AN12" s="23" t="s">
        <v>21</v>
      </c>
      <c r="AO12" s="24" t="s">
        <v>20</v>
      </c>
      <c r="AP12" s="25" t="s">
        <v>21</v>
      </c>
      <c r="AQ12" s="716"/>
      <c r="AR12" s="717"/>
      <c r="AS12" s="717"/>
    </row>
    <row r="13" spans="2:45" ht="71.25" customHeight="1">
      <c r="B13" s="632" t="s">
        <v>217</v>
      </c>
      <c r="C13" s="632" t="s">
        <v>437</v>
      </c>
      <c r="D13" s="535">
        <v>2</v>
      </c>
      <c r="E13" s="172" t="s">
        <v>200</v>
      </c>
      <c r="F13" s="173" t="s">
        <v>201</v>
      </c>
      <c r="G13" s="174">
        <v>8</v>
      </c>
      <c r="H13" s="173" t="s">
        <v>202</v>
      </c>
      <c r="I13" s="175" t="s">
        <v>203</v>
      </c>
      <c r="J13" s="176" t="s">
        <v>537</v>
      </c>
      <c r="K13" s="105">
        <v>0</v>
      </c>
      <c r="L13" s="105">
        <v>0</v>
      </c>
      <c r="M13" s="105">
        <v>0</v>
      </c>
      <c r="N13" s="105">
        <v>0</v>
      </c>
      <c r="O13" s="105">
        <v>0</v>
      </c>
      <c r="P13" s="105">
        <v>0</v>
      </c>
      <c r="Q13" s="61">
        <f>K13+M13+O13</f>
        <v>0</v>
      </c>
      <c r="R13" s="61">
        <f>L13+N13+P13</f>
        <v>0</v>
      </c>
      <c r="S13" s="128">
        <v>0</v>
      </c>
      <c r="T13" s="128">
        <v>0</v>
      </c>
      <c r="U13" s="128">
        <v>0</v>
      </c>
      <c r="V13" s="128">
        <v>0</v>
      </c>
      <c r="W13" s="128">
        <v>0</v>
      </c>
      <c r="X13" s="128">
        <v>0</v>
      </c>
      <c r="Y13" s="61">
        <f>S13+U13+W13</f>
        <v>0</v>
      </c>
      <c r="Z13" s="61">
        <f>T13+V13+X13</f>
        <v>0</v>
      </c>
      <c r="AA13" s="128">
        <v>0</v>
      </c>
      <c r="AB13" s="128">
        <v>0</v>
      </c>
      <c r="AC13" s="128">
        <v>0</v>
      </c>
      <c r="AD13" s="128">
        <v>0</v>
      </c>
      <c r="AE13" s="128">
        <v>0</v>
      </c>
      <c r="AF13" s="128">
        <v>0</v>
      </c>
      <c r="AG13" s="61">
        <f>AA13+AC13+AE13</f>
        <v>0</v>
      </c>
      <c r="AH13" s="61">
        <f>AB13+AD13+AF13</f>
        <v>0</v>
      </c>
      <c r="AI13" s="128">
        <v>0</v>
      </c>
      <c r="AJ13" s="128">
        <v>0</v>
      </c>
      <c r="AK13" s="128">
        <v>1</v>
      </c>
      <c r="AL13" s="128">
        <v>1</v>
      </c>
      <c r="AM13" s="128">
        <v>0</v>
      </c>
      <c r="AN13" s="128">
        <v>0</v>
      </c>
      <c r="AO13" s="61">
        <f>AI13+AK13+AM13</f>
        <v>1</v>
      </c>
      <c r="AP13" s="61">
        <f>AJ13+AL13+AN13</f>
        <v>1</v>
      </c>
      <c r="AQ13" s="17">
        <f>Q13+Y13+AG13+AO13</f>
        <v>1</v>
      </c>
      <c r="AR13" s="65">
        <f>R13+Z13+AH13+AP13</f>
        <v>1</v>
      </c>
      <c r="AS13" s="249">
        <f>IF(AND(AR13&gt;0,AQ13&gt;0),AR13/AQ13,0)</f>
        <v>1</v>
      </c>
    </row>
    <row r="14" spans="2:45" ht="45">
      <c r="B14" s="864"/>
      <c r="C14" s="779"/>
      <c r="D14" s="535">
        <v>2</v>
      </c>
      <c r="E14" s="172" t="s">
        <v>552</v>
      </c>
      <c r="F14" s="173" t="s">
        <v>205</v>
      </c>
      <c r="G14" s="174">
        <v>4</v>
      </c>
      <c r="H14" s="173" t="s">
        <v>206</v>
      </c>
      <c r="I14" s="175" t="s">
        <v>207</v>
      </c>
      <c r="J14" s="176" t="s">
        <v>537</v>
      </c>
      <c r="K14" s="105">
        <v>0</v>
      </c>
      <c r="L14" s="105">
        <v>0</v>
      </c>
      <c r="M14" s="105">
        <v>0</v>
      </c>
      <c r="N14" s="105">
        <v>0</v>
      </c>
      <c r="O14" s="105">
        <v>0</v>
      </c>
      <c r="P14" s="105">
        <v>0</v>
      </c>
      <c r="Q14" s="61">
        <f t="shared" ref="Q14:R16" si="0">K14+M14+O14</f>
        <v>0</v>
      </c>
      <c r="R14" s="61">
        <f t="shared" si="0"/>
        <v>0</v>
      </c>
      <c r="S14" s="128">
        <v>0</v>
      </c>
      <c r="T14" s="128">
        <v>0</v>
      </c>
      <c r="U14" s="128">
        <v>0</v>
      </c>
      <c r="V14" s="128">
        <v>0</v>
      </c>
      <c r="W14" s="128">
        <v>0</v>
      </c>
      <c r="X14" s="128">
        <v>0</v>
      </c>
      <c r="Y14" s="61">
        <f t="shared" ref="Y14:Z16" si="1">S14+U14+W14</f>
        <v>0</v>
      </c>
      <c r="Z14" s="61">
        <f t="shared" si="1"/>
        <v>0</v>
      </c>
      <c r="AA14" s="128">
        <v>0</v>
      </c>
      <c r="AB14" s="128">
        <v>0</v>
      </c>
      <c r="AC14" s="128">
        <v>0</v>
      </c>
      <c r="AD14" s="128">
        <v>0</v>
      </c>
      <c r="AE14" s="128">
        <v>0</v>
      </c>
      <c r="AF14" s="128">
        <v>0</v>
      </c>
      <c r="AG14" s="61">
        <f t="shared" ref="AG14:AH16" si="2">AA14+AC14+AE14</f>
        <v>0</v>
      </c>
      <c r="AH14" s="61">
        <f t="shared" si="2"/>
        <v>0</v>
      </c>
      <c r="AI14" s="128">
        <v>0</v>
      </c>
      <c r="AJ14" s="128">
        <v>0</v>
      </c>
      <c r="AK14" s="128">
        <v>1</v>
      </c>
      <c r="AL14" s="128">
        <v>0</v>
      </c>
      <c r="AM14" s="128">
        <v>1</v>
      </c>
      <c r="AN14" s="128">
        <v>3</v>
      </c>
      <c r="AO14" s="61">
        <f t="shared" ref="AO14:AP16" si="3">AI14+AK14+AM14</f>
        <v>2</v>
      </c>
      <c r="AP14" s="61">
        <f t="shared" si="3"/>
        <v>3</v>
      </c>
      <c r="AQ14" s="17">
        <f t="shared" ref="AQ14:AR16" si="4">Q14+Y14+AG14+AO14</f>
        <v>2</v>
      </c>
      <c r="AR14" s="65">
        <f t="shared" si="4"/>
        <v>3</v>
      </c>
      <c r="AS14" s="249">
        <f>IF(AND(AR14&gt;0,AQ14&gt;0),AR14/AQ14,0)</f>
        <v>1.5</v>
      </c>
    </row>
    <row r="15" spans="2:45" ht="99.75">
      <c r="B15" s="864"/>
      <c r="C15" s="161" t="s">
        <v>438</v>
      </c>
      <c r="D15" s="535">
        <v>4</v>
      </c>
      <c r="E15" s="172" t="s">
        <v>208</v>
      </c>
      <c r="F15" s="173" t="s">
        <v>209</v>
      </c>
      <c r="G15" s="174">
        <v>8</v>
      </c>
      <c r="H15" s="173" t="s">
        <v>210</v>
      </c>
      <c r="I15" s="175" t="s">
        <v>211</v>
      </c>
      <c r="J15" s="176" t="s">
        <v>537</v>
      </c>
      <c r="K15" s="105">
        <v>0</v>
      </c>
      <c r="L15" s="105">
        <v>0</v>
      </c>
      <c r="M15" s="105">
        <v>0</v>
      </c>
      <c r="N15" s="105">
        <v>0</v>
      </c>
      <c r="O15" s="105">
        <v>0</v>
      </c>
      <c r="P15" s="105">
        <v>0</v>
      </c>
      <c r="Q15" s="61">
        <f t="shared" si="0"/>
        <v>0</v>
      </c>
      <c r="R15" s="61">
        <f t="shared" si="0"/>
        <v>0</v>
      </c>
      <c r="S15" s="128">
        <v>0</v>
      </c>
      <c r="T15" s="128">
        <v>0</v>
      </c>
      <c r="U15" s="128">
        <v>0</v>
      </c>
      <c r="V15" s="128">
        <v>0</v>
      </c>
      <c r="W15" s="128">
        <v>0</v>
      </c>
      <c r="X15" s="128">
        <v>0</v>
      </c>
      <c r="Y15" s="61">
        <f t="shared" si="1"/>
        <v>0</v>
      </c>
      <c r="Z15" s="61">
        <f t="shared" si="1"/>
        <v>0</v>
      </c>
      <c r="AA15" s="128">
        <v>0</v>
      </c>
      <c r="AB15" s="128">
        <v>0</v>
      </c>
      <c r="AC15" s="128">
        <v>0</v>
      </c>
      <c r="AD15" s="128">
        <v>0</v>
      </c>
      <c r="AE15" s="128">
        <v>0</v>
      </c>
      <c r="AF15" s="128">
        <v>0</v>
      </c>
      <c r="AG15" s="61">
        <f t="shared" si="2"/>
        <v>0</v>
      </c>
      <c r="AH15" s="61">
        <f t="shared" si="2"/>
        <v>0</v>
      </c>
      <c r="AI15" s="128">
        <v>0</v>
      </c>
      <c r="AJ15" s="128">
        <v>0</v>
      </c>
      <c r="AK15" s="128">
        <v>2</v>
      </c>
      <c r="AL15" s="128">
        <v>2</v>
      </c>
      <c r="AM15" s="128">
        <v>2</v>
      </c>
      <c r="AN15" s="128">
        <v>2</v>
      </c>
      <c r="AO15" s="61">
        <f t="shared" si="3"/>
        <v>4</v>
      </c>
      <c r="AP15" s="61">
        <f t="shared" si="3"/>
        <v>4</v>
      </c>
      <c r="AQ15" s="17">
        <f t="shared" si="4"/>
        <v>4</v>
      </c>
      <c r="AR15" s="65">
        <f t="shared" si="4"/>
        <v>4</v>
      </c>
      <c r="AS15" s="249">
        <f>IF(AND(AR15&gt;0,AQ15&gt;0),AR15/AQ15,0)</f>
        <v>1</v>
      </c>
    </row>
    <row r="16" spans="2:45" ht="128.25">
      <c r="B16" s="779"/>
      <c r="C16" s="161" t="s">
        <v>439</v>
      </c>
      <c r="D16" s="535">
        <v>115</v>
      </c>
      <c r="E16" s="172" t="s">
        <v>212</v>
      </c>
      <c r="F16" s="173" t="s">
        <v>213</v>
      </c>
      <c r="G16" s="174">
        <v>200</v>
      </c>
      <c r="H16" s="173" t="s">
        <v>214</v>
      </c>
      <c r="I16" s="175" t="s">
        <v>215</v>
      </c>
      <c r="J16" s="176" t="s">
        <v>537</v>
      </c>
      <c r="K16" s="105">
        <v>5</v>
      </c>
      <c r="L16" s="105">
        <v>11</v>
      </c>
      <c r="M16" s="105">
        <v>10</v>
      </c>
      <c r="N16" s="105">
        <v>2</v>
      </c>
      <c r="O16" s="105">
        <v>12</v>
      </c>
      <c r="P16" s="105">
        <v>14</v>
      </c>
      <c r="Q16" s="63">
        <f t="shared" si="0"/>
        <v>27</v>
      </c>
      <c r="R16" s="63">
        <f t="shared" si="0"/>
        <v>27</v>
      </c>
      <c r="S16" s="128">
        <v>0</v>
      </c>
      <c r="T16" s="128">
        <v>0</v>
      </c>
      <c r="U16" s="128">
        <v>0</v>
      </c>
      <c r="V16" s="128">
        <v>0</v>
      </c>
      <c r="W16" s="128">
        <v>0</v>
      </c>
      <c r="X16" s="128">
        <v>0</v>
      </c>
      <c r="Y16" s="63">
        <f t="shared" si="1"/>
        <v>0</v>
      </c>
      <c r="Z16" s="63">
        <f t="shared" si="1"/>
        <v>0</v>
      </c>
      <c r="AA16" s="128">
        <v>0</v>
      </c>
      <c r="AB16" s="128">
        <v>0</v>
      </c>
      <c r="AC16" s="128">
        <v>0</v>
      </c>
      <c r="AD16" s="128">
        <v>0</v>
      </c>
      <c r="AE16" s="128">
        <v>0</v>
      </c>
      <c r="AF16" s="128">
        <v>0</v>
      </c>
      <c r="AG16" s="63">
        <f t="shared" si="2"/>
        <v>0</v>
      </c>
      <c r="AH16" s="63">
        <f t="shared" si="2"/>
        <v>0</v>
      </c>
      <c r="AI16" s="128">
        <v>30</v>
      </c>
      <c r="AJ16" s="128">
        <v>33</v>
      </c>
      <c r="AK16" s="128">
        <v>30</v>
      </c>
      <c r="AL16" s="128">
        <v>30</v>
      </c>
      <c r="AM16" s="128">
        <v>28</v>
      </c>
      <c r="AN16" s="128">
        <v>36</v>
      </c>
      <c r="AO16" s="63">
        <f t="shared" si="3"/>
        <v>88</v>
      </c>
      <c r="AP16" s="63">
        <f t="shared" si="3"/>
        <v>99</v>
      </c>
      <c r="AQ16" s="15">
        <f t="shared" si="4"/>
        <v>115</v>
      </c>
      <c r="AR16" s="66">
        <f t="shared" si="4"/>
        <v>126</v>
      </c>
      <c r="AS16" s="249">
        <f>IF(AND(AR16&gt;0,AQ16&gt;0),AR16/AQ16,0)</f>
        <v>1.0956521739130434</v>
      </c>
    </row>
    <row r="17" spans="2:45" ht="23.25">
      <c r="B17" s="713" t="s">
        <v>23</v>
      </c>
      <c r="C17" s="714"/>
      <c r="D17" s="714"/>
      <c r="E17" s="714"/>
      <c r="F17" s="714"/>
      <c r="G17" s="714"/>
      <c r="H17" s="714"/>
      <c r="I17" s="714"/>
      <c r="J17" s="714"/>
      <c r="K17" s="714"/>
      <c r="L17" s="714"/>
      <c r="M17" s="714"/>
      <c r="N17" s="714"/>
      <c r="O17" s="714"/>
      <c r="P17" s="714"/>
      <c r="Q17" s="714"/>
      <c r="R17" s="714"/>
      <c r="S17" s="714"/>
      <c r="T17" s="714"/>
      <c r="U17" s="714"/>
      <c r="V17" s="714"/>
      <c r="W17" s="714"/>
      <c r="X17" s="714"/>
      <c r="Y17" s="714"/>
      <c r="Z17" s="714"/>
      <c r="AA17" s="714"/>
      <c r="AB17" s="714"/>
      <c r="AC17" s="714"/>
      <c r="AD17" s="714"/>
      <c r="AE17" s="714"/>
      <c r="AF17" s="714"/>
      <c r="AG17" s="714"/>
      <c r="AH17" s="714"/>
      <c r="AI17" s="714"/>
      <c r="AJ17" s="714"/>
      <c r="AK17" s="714"/>
      <c r="AL17" s="714"/>
      <c r="AM17" s="714"/>
      <c r="AN17" s="714"/>
      <c r="AO17" s="714"/>
      <c r="AP17" s="714"/>
      <c r="AQ17" s="714"/>
      <c r="AR17" s="715"/>
      <c r="AS17" s="317">
        <f>AVERAGE(AS13:AS16)</f>
        <v>1.1489130434782608</v>
      </c>
    </row>
    <row r="18" spans="2:45" ht="17.25">
      <c r="B18" s="112"/>
      <c r="C18" s="112"/>
      <c r="D18" s="113"/>
      <c r="E18" s="112"/>
      <c r="F18" s="112"/>
      <c r="G18" s="112"/>
      <c r="H18" s="112"/>
      <c r="I18" s="112"/>
      <c r="J18" s="114"/>
    </row>
    <row r="19" spans="2:45" ht="15.75">
      <c r="B19" s="54" t="s">
        <v>4</v>
      </c>
      <c r="C19" s="780"/>
      <c r="D19" s="728"/>
      <c r="E19" s="728"/>
      <c r="F19" s="728"/>
      <c r="G19" s="728"/>
      <c r="H19" s="728"/>
      <c r="I19" s="728"/>
      <c r="J19" s="729"/>
    </row>
    <row r="20" spans="2:45" ht="17.25">
      <c r="B20" s="112"/>
      <c r="C20" s="645"/>
      <c r="D20" s="645"/>
      <c r="E20" s="645"/>
      <c r="F20" s="645"/>
      <c r="G20" s="645"/>
      <c r="H20" s="645"/>
      <c r="I20" s="645"/>
      <c r="J20" s="645"/>
    </row>
    <row r="21" spans="2:45" ht="90" customHeight="1">
      <c r="B21" s="55" t="s">
        <v>32</v>
      </c>
      <c r="C21" s="702" t="s">
        <v>902</v>
      </c>
      <c r="D21" s="703"/>
      <c r="E21" s="112"/>
      <c r="F21" s="112"/>
      <c r="G21" s="534" t="s">
        <v>22</v>
      </c>
      <c r="H21" s="627" t="s">
        <v>896</v>
      </c>
      <c r="I21" s="628"/>
      <c r="J21" s="628"/>
    </row>
    <row r="22" spans="2:45" ht="17.25">
      <c r="B22" s="112"/>
      <c r="C22" s="112"/>
      <c r="D22" s="113"/>
      <c r="E22" s="112"/>
      <c r="F22" s="112"/>
      <c r="G22" s="112"/>
      <c r="H22" s="112"/>
      <c r="I22" s="112"/>
      <c r="J22" s="114"/>
    </row>
    <row r="23" spans="2:45" ht="17.25">
      <c r="B23" s="112"/>
      <c r="C23" s="112"/>
      <c r="D23" s="113"/>
      <c r="E23" s="112"/>
      <c r="F23" s="112"/>
      <c r="G23" s="112"/>
      <c r="H23" s="112"/>
      <c r="I23" s="112"/>
      <c r="J23" s="114"/>
    </row>
    <row r="24" spans="2:45" ht="17.25">
      <c r="B24" s="112"/>
      <c r="C24" s="112"/>
      <c r="D24" s="113"/>
      <c r="E24" s="112"/>
      <c r="F24" s="112"/>
      <c r="G24" s="112"/>
      <c r="H24" s="112"/>
      <c r="I24" s="112"/>
      <c r="J24" s="114"/>
    </row>
    <row r="25" spans="2:45" ht="17.25">
      <c r="B25" s="112"/>
      <c r="C25" s="112"/>
      <c r="D25" s="113"/>
      <c r="E25" s="629"/>
      <c r="F25" s="629"/>
      <c r="G25" s="629"/>
      <c r="H25" s="629"/>
      <c r="I25" s="429"/>
      <c r="J25" s="112"/>
    </row>
    <row r="26" spans="2:45" ht="17.25">
      <c r="B26" s="112"/>
      <c r="C26" s="112"/>
      <c r="D26" s="113"/>
      <c r="E26" s="112"/>
      <c r="F26" s="112"/>
      <c r="G26" s="114"/>
      <c r="H26" s="112"/>
      <c r="I26" s="112"/>
      <c r="J26" s="112"/>
    </row>
    <row r="27" spans="2:45" ht="17.25">
      <c r="B27" s="112"/>
      <c r="C27" s="112"/>
      <c r="D27" s="113"/>
      <c r="E27" s="629"/>
      <c r="F27" s="629"/>
      <c r="G27" s="629"/>
      <c r="H27" s="629"/>
      <c r="I27" s="429"/>
      <c r="J27" s="112"/>
    </row>
    <row r="28" spans="2:45" ht="17.25">
      <c r="B28" s="112"/>
      <c r="C28" s="112"/>
      <c r="D28" s="113"/>
      <c r="E28" s="112"/>
      <c r="F28" s="112"/>
      <c r="G28" s="114"/>
      <c r="H28" s="112"/>
      <c r="I28" s="112"/>
      <c r="J28" s="112"/>
    </row>
    <row r="29" spans="2:45" ht="17.25">
      <c r="B29" s="112"/>
      <c r="C29" s="112"/>
      <c r="D29" s="113"/>
      <c r="E29" s="629"/>
      <c r="F29" s="629"/>
      <c r="G29" s="629"/>
      <c r="H29" s="629"/>
      <c r="I29" s="429"/>
      <c r="J29" s="112"/>
    </row>
  </sheetData>
  <sheetProtection algorithmName="SHA-512" hashValue="AHsVudiX0g985mkkYMHAGg73hhwFQmGohUQELu+5FhFOiP+BU3kEGbelI2mEqN5Rc0viT5OurG/TUQBUfixfdA==" saltValue="5My4w2r8gzZl4QLl3ifTSA==" spinCount="100000" sheet="1" objects="1" scenarios="1"/>
  <mergeCells count="50">
    <mergeCell ref="B17:AR17"/>
    <mergeCell ref="C19:J19"/>
    <mergeCell ref="B13:B16"/>
    <mergeCell ref="AA11:AB11"/>
    <mergeCell ref="AC11:AD11"/>
    <mergeCell ref="AE11:AF11"/>
    <mergeCell ref="AG11:AH11"/>
    <mergeCell ref="AI11:AJ11"/>
    <mergeCell ref="AK11:AL11"/>
    <mergeCell ref="O11:P11"/>
    <mergeCell ref="Q11:R11"/>
    <mergeCell ref="S11:T11"/>
    <mergeCell ref="K9:AP9"/>
    <mergeCell ref="AQ9:AQ12"/>
    <mergeCell ref="E29:H29"/>
    <mergeCell ref="AM11:AN11"/>
    <mergeCell ref="AO11:AP11"/>
    <mergeCell ref="C20:J20"/>
    <mergeCell ref="C21:D21"/>
    <mergeCell ref="H21:J21"/>
    <mergeCell ref="E25:H25"/>
    <mergeCell ref="E27:H27"/>
    <mergeCell ref="K11:L11"/>
    <mergeCell ref="M11:N11"/>
    <mergeCell ref="U11:V11"/>
    <mergeCell ref="W11:X11"/>
    <mergeCell ref="Y11:Z11"/>
    <mergeCell ref="C13:C14"/>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B1:AS33"/>
  <sheetViews>
    <sheetView showGridLines="0" zoomScale="55" zoomScaleNormal="55" workbookViewId="0">
      <selection activeCell="A7" sqref="A1:XFD1048576"/>
    </sheetView>
  </sheetViews>
  <sheetFormatPr baseColWidth="10" defaultColWidth="17.28515625" defaultRowHeight="15" customHeight="1"/>
  <cols>
    <col min="1" max="1" width="4.28515625" style="89" customWidth="1"/>
    <col min="2" max="2" width="28.42578125" style="86" customWidth="1"/>
    <col min="3" max="3" width="28.5703125" style="86" customWidth="1"/>
    <col min="4" max="4" width="21.42578125" style="87" customWidth="1"/>
    <col min="5" max="5" width="21.42578125" style="86" customWidth="1"/>
    <col min="6" max="6" width="28.42578125" style="86" customWidth="1"/>
    <col min="7" max="7" width="23.28515625" style="86" customWidth="1"/>
    <col min="8" max="8" width="28.5703125" style="86" customWidth="1"/>
    <col min="9" max="9" width="50" style="86" customWidth="1"/>
    <col min="10" max="10" width="28.5703125" style="88" customWidth="1"/>
    <col min="11" max="42" width="14.28515625" style="89" customWidth="1"/>
    <col min="43" max="45" width="21.28515625" style="89" customWidth="1"/>
    <col min="46" max="16384" width="17.28515625" style="89"/>
  </cols>
  <sheetData>
    <row r="1" spans="2:45" ht="18" thickBot="1"/>
    <row r="2" spans="2:45" ht="15.75">
      <c r="B2" s="658"/>
      <c r="C2" s="661" t="s">
        <v>59</v>
      </c>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3"/>
      <c r="AR2" s="670" t="s">
        <v>39</v>
      </c>
      <c r="AS2" s="671"/>
    </row>
    <row r="3" spans="2:45" ht="15.75">
      <c r="B3" s="659"/>
      <c r="C3" s="664"/>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6"/>
      <c r="AR3" s="532" t="s">
        <v>36</v>
      </c>
      <c r="AS3" s="91" t="s">
        <v>37</v>
      </c>
    </row>
    <row r="4" spans="2:45">
      <c r="B4" s="659"/>
      <c r="C4" s="664"/>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6"/>
      <c r="AR4" s="92">
        <v>3</v>
      </c>
      <c r="AS4" s="93" t="s">
        <v>102</v>
      </c>
    </row>
    <row r="5" spans="2:45" ht="15.75">
      <c r="B5" s="659"/>
      <c r="C5" s="664"/>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c r="AR5" s="672" t="s">
        <v>38</v>
      </c>
      <c r="AS5" s="673"/>
    </row>
    <row r="6" spans="2:45" ht="15.75" thickBot="1">
      <c r="B6" s="660"/>
      <c r="C6" s="667"/>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c r="AR6" s="674" t="s">
        <v>100</v>
      </c>
      <c r="AS6" s="675"/>
    </row>
    <row r="7" spans="2:45" ht="17.25">
      <c r="B7" s="94"/>
      <c r="C7" s="94"/>
      <c r="D7" s="95"/>
      <c r="E7" s="94"/>
      <c r="F7" s="94"/>
      <c r="G7" s="94"/>
      <c r="H7" s="94"/>
      <c r="I7" s="94"/>
      <c r="J7" s="96"/>
      <c r="AR7" s="656"/>
      <c r="AS7" s="657"/>
    </row>
    <row r="8" spans="2:45" ht="13.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5.75">
      <c r="B9" s="651" t="s">
        <v>35</v>
      </c>
      <c r="C9" s="651" t="s">
        <v>34</v>
      </c>
      <c r="D9" s="651" t="s">
        <v>63</v>
      </c>
      <c r="E9" s="651" t="s">
        <v>66</v>
      </c>
      <c r="F9" s="651" t="s">
        <v>67</v>
      </c>
      <c r="G9" s="651" t="s">
        <v>31</v>
      </c>
      <c r="H9" s="651" t="s">
        <v>25</v>
      </c>
      <c r="I9" s="651" t="s">
        <v>95</v>
      </c>
      <c r="J9" s="651"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654" t="s">
        <v>6</v>
      </c>
      <c r="AR9" s="655" t="s">
        <v>7</v>
      </c>
      <c r="AS9" s="655" t="s">
        <v>24</v>
      </c>
    </row>
    <row r="10" spans="2:45" ht="15.75">
      <c r="B10" s="651"/>
      <c r="C10" s="651"/>
      <c r="D10" s="651"/>
      <c r="E10" s="651"/>
      <c r="F10" s="651"/>
      <c r="G10" s="651"/>
      <c r="H10" s="651"/>
      <c r="I10" s="651"/>
      <c r="J10" s="651"/>
      <c r="K10" s="640" t="s">
        <v>26</v>
      </c>
      <c r="L10" s="640"/>
      <c r="M10" s="640"/>
      <c r="N10" s="640"/>
      <c r="O10" s="640"/>
      <c r="P10" s="640"/>
      <c r="Q10" s="640"/>
      <c r="R10" s="640"/>
      <c r="S10" s="640" t="s">
        <v>27</v>
      </c>
      <c r="T10" s="640"/>
      <c r="U10" s="640"/>
      <c r="V10" s="640"/>
      <c r="W10" s="640"/>
      <c r="X10" s="640"/>
      <c r="Y10" s="640"/>
      <c r="Z10" s="640"/>
      <c r="AA10" s="640" t="s">
        <v>28</v>
      </c>
      <c r="AB10" s="640"/>
      <c r="AC10" s="640"/>
      <c r="AD10" s="640"/>
      <c r="AE10" s="640"/>
      <c r="AF10" s="640"/>
      <c r="AG10" s="640"/>
      <c r="AH10" s="640"/>
      <c r="AI10" s="640" t="s">
        <v>29</v>
      </c>
      <c r="AJ10" s="640"/>
      <c r="AK10" s="640"/>
      <c r="AL10" s="640"/>
      <c r="AM10" s="640"/>
      <c r="AN10" s="640"/>
      <c r="AO10" s="640"/>
      <c r="AP10" s="640"/>
      <c r="AQ10" s="654"/>
      <c r="AR10" s="655"/>
      <c r="AS10" s="655"/>
    </row>
    <row r="11" spans="2:45" ht="15.75" customHeight="1">
      <c r="B11" s="651"/>
      <c r="C11" s="651"/>
      <c r="D11" s="651"/>
      <c r="E11" s="651"/>
      <c r="F11" s="651"/>
      <c r="G11" s="651"/>
      <c r="H11" s="651"/>
      <c r="I11" s="651"/>
      <c r="J11" s="651"/>
      <c r="K11" s="640" t="s">
        <v>8</v>
      </c>
      <c r="L11" s="640"/>
      <c r="M11" s="640" t="s">
        <v>9</v>
      </c>
      <c r="N11" s="640"/>
      <c r="O11" s="646" t="s">
        <v>10</v>
      </c>
      <c r="P11" s="647"/>
      <c r="Q11" s="630" t="s">
        <v>11</v>
      </c>
      <c r="R11" s="631"/>
      <c r="S11" s="640" t="s">
        <v>33</v>
      </c>
      <c r="T11" s="640"/>
      <c r="U11" s="640" t="s">
        <v>12</v>
      </c>
      <c r="V11" s="640"/>
      <c r="W11" s="640" t="s">
        <v>13</v>
      </c>
      <c r="X11" s="640"/>
      <c r="Y11" s="630" t="s">
        <v>11</v>
      </c>
      <c r="Z11" s="631"/>
      <c r="AA11" s="640" t="s">
        <v>14</v>
      </c>
      <c r="AB11" s="640"/>
      <c r="AC11" s="640" t="s">
        <v>15</v>
      </c>
      <c r="AD11" s="640"/>
      <c r="AE11" s="640" t="s">
        <v>16</v>
      </c>
      <c r="AF11" s="640"/>
      <c r="AG11" s="630" t="s">
        <v>11</v>
      </c>
      <c r="AH11" s="631"/>
      <c r="AI11" s="640" t="s">
        <v>17</v>
      </c>
      <c r="AJ11" s="640"/>
      <c r="AK11" s="640" t="s">
        <v>18</v>
      </c>
      <c r="AL11" s="640"/>
      <c r="AM11" s="640" t="s">
        <v>19</v>
      </c>
      <c r="AN11" s="640"/>
      <c r="AO11" s="630" t="s">
        <v>11</v>
      </c>
      <c r="AP11" s="631"/>
      <c r="AQ11" s="654"/>
      <c r="AR11" s="655"/>
      <c r="AS11" s="655"/>
    </row>
    <row r="12" spans="2:45" ht="13.5">
      <c r="B12" s="652"/>
      <c r="C12" s="652"/>
      <c r="D12" s="652"/>
      <c r="E12" s="652"/>
      <c r="F12" s="652"/>
      <c r="G12" s="652"/>
      <c r="H12" s="652"/>
      <c r="I12" s="652"/>
      <c r="J12" s="652"/>
      <c r="K12" s="75" t="s">
        <v>20</v>
      </c>
      <c r="L12" s="76" t="s">
        <v>21</v>
      </c>
      <c r="M12" s="75" t="s">
        <v>20</v>
      </c>
      <c r="N12" s="76" t="s">
        <v>21</v>
      </c>
      <c r="O12" s="75" t="s">
        <v>20</v>
      </c>
      <c r="P12" s="76" t="s">
        <v>21</v>
      </c>
      <c r="Q12" s="77" t="s">
        <v>20</v>
      </c>
      <c r="R12" s="78" t="s">
        <v>21</v>
      </c>
      <c r="S12" s="75" t="s">
        <v>20</v>
      </c>
      <c r="T12" s="76" t="s">
        <v>21</v>
      </c>
      <c r="U12" s="75" t="s">
        <v>20</v>
      </c>
      <c r="V12" s="76" t="s">
        <v>21</v>
      </c>
      <c r="W12" s="75" t="s">
        <v>20</v>
      </c>
      <c r="X12" s="76" t="s">
        <v>21</v>
      </c>
      <c r="Y12" s="77" t="s">
        <v>20</v>
      </c>
      <c r="Z12" s="78" t="s">
        <v>21</v>
      </c>
      <c r="AA12" s="75" t="s">
        <v>20</v>
      </c>
      <c r="AB12" s="76" t="s">
        <v>21</v>
      </c>
      <c r="AC12" s="75" t="s">
        <v>20</v>
      </c>
      <c r="AD12" s="76" t="s">
        <v>21</v>
      </c>
      <c r="AE12" s="75" t="s">
        <v>20</v>
      </c>
      <c r="AF12" s="76" t="s">
        <v>21</v>
      </c>
      <c r="AG12" s="77" t="s">
        <v>20</v>
      </c>
      <c r="AH12" s="78" t="s">
        <v>21</v>
      </c>
      <c r="AI12" s="75" t="s">
        <v>20</v>
      </c>
      <c r="AJ12" s="76" t="s">
        <v>21</v>
      </c>
      <c r="AK12" s="75" t="s">
        <v>20</v>
      </c>
      <c r="AL12" s="76" t="s">
        <v>21</v>
      </c>
      <c r="AM12" s="75" t="s">
        <v>20</v>
      </c>
      <c r="AN12" s="76" t="s">
        <v>21</v>
      </c>
      <c r="AO12" s="77" t="s">
        <v>20</v>
      </c>
      <c r="AP12" s="78" t="s">
        <v>21</v>
      </c>
      <c r="AQ12" s="654"/>
      <c r="AR12" s="655"/>
      <c r="AS12" s="655"/>
    </row>
    <row r="13" spans="2:45" ht="157.5" customHeight="1">
      <c r="B13" s="710" t="s">
        <v>343</v>
      </c>
      <c r="C13" s="214" t="s">
        <v>440</v>
      </c>
      <c r="D13" s="215">
        <v>3</v>
      </c>
      <c r="E13" s="216" t="s">
        <v>319</v>
      </c>
      <c r="F13" s="216" t="s">
        <v>320</v>
      </c>
      <c r="G13" s="217">
        <v>3</v>
      </c>
      <c r="H13" s="214" t="s">
        <v>321</v>
      </c>
      <c r="I13" s="214" t="s">
        <v>322</v>
      </c>
      <c r="J13" s="216" t="s">
        <v>3</v>
      </c>
      <c r="K13" s="128">
        <v>0</v>
      </c>
      <c r="L13" s="128">
        <v>0</v>
      </c>
      <c r="M13" s="128">
        <v>0</v>
      </c>
      <c r="N13" s="128">
        <v>0</v>
      </c>
      <c r="O13" s="128">
        <v>2</v>
      </c>
      <c r="P13" s="128">
        <v>2</v>
      </c>
      <c r="Q13" s="130">
        <f>K13+M13+O13</f>
        <v>2</v>
      </c>
      <c r="R13" s="130">
        <f>L13+N13+P13</f>
        <v>2</v>
      </c>
      <c r="S13" s="128">
        <v>0</v>
      </c>
      <c r="T13" s="128">
        <v>0</v>
      </c>
      <c r="U13" s="128">
        <v>0</v>
      </c>
      <c r="V13" s="128">
        <v>0</v>
      </c>
      <c r="W13" s="128">
        <v>0</v>
      </c>
      <c r="X13" s="128">
        <v>0</v>
      </c>
      <c r="Y13" s="130">
        <f>S13+U13+W13</f>
        <v>0</v>
      </c>
      <c r="Z13" s="130">
        <f>T13+V13+X13</f>
        <v>0</v>
      </c>
      <c r="AA13" s="128">
        <v>1</v>
      </c>
      <c r="AB13" s="128">
        <v>1</v>
      </c>
      <c r="AC13" s="128">
        <v>0</v>
      </c>
      <c r="AD13" s="128">
        <v>0</v>
      </c>
      <c r="AE13" s="223">
        <v>0</v>
      </c>
      <c r="AF13" s="223">
        <v>0</v>
      </c>
      <c r="AG13" s="130">
        <f>AA13+AC13+AE13</f>
        <v>1</v>
      </c>
      <c r="AH13" s="130">
        <f>AB13+AD13+AF13</f>
        <v>1</v>
      </c>
      <c r="AI13" s="128">
        <v>0</v>
      </c>
      <c r="AJ13" s="128"/>
      <c r="AK13" s="128">
        <v>0</v>
      </c>
      <c r="AL13" s="128"/>
      <c r="AM13" s="128">
        <v>0</v>
      </c>
      <c r="AN13" s="128"/>
      <c r="AO13" s="130">
        <f>AI13+AK13+AM13</f>
        <v>0</v>
      </c>
      <c r="AP13" s="130">
        <f>AJ13+AL13+AN13</f>
        <v>0</v>
      </c>
      <c r="AQ13" s="164">
        <f>Q13+Y13+AG13+AO13</f>
        <v>3</v>
      </c>
      <c r="AR13" s="164">
        <f>R13+Z13+AH13+AP13</f>
        <v>3</v>
      </c>
      <c r="AS13" s="244">
        <f t="shared" ref="AS13:AS20" si="0">IF(AND(AR13&gt;0,AQ13&gt;0),AR13/AQ13,0)</f>
        <v>1</v>
      </c>
    </row>
    <row r="14" spans="2:45" ht="72">
      <c r="B14" s="865"/>
      <c r="C14" s="218" t="s">
        <v>441</v>
      </c>
      <c r="D14" s="219">
        <v>2</v>
      </c>
      <c r="E14" s="220" t="s">
        <v>323</v>
      </c>
      <c r="F14" s="220" t="s">
        <v>324</v>
      </c>
      <c r="G14" s="221">
        <v>3</v>
      </c>
      <c r="H14" s="218" t="s">
        <v>325</v>
      </c>
      <c r="I14" s="214" t="s">
        <v>326</v>
      </c>
      <c r="J14" s="216" t="s">
        <v>3</v>
      </c>
      <c r="K14" s="128">
        <v>0</v>
      </c>
      <c r="L14" s="128">
        <v>0</v>
      </c>
      <c r="M14" s="128">
        <v>1</v>
      </c>
      <c r="N14" s="128">
        <v>1</v>
      </c>
      <c r="O14" s="128">
        <v>0</v>
      </c>
      <c r="P14" s="128">
        <v>0</v>
      </c>
      <c r="Q14" s="130">
        <v>1</v>
      </c>
      <c r="R14" s="130">
        <f t="shared" ref="R14" si="1">L14+N14+P14</f>
        <v>1</v>
      </c>
      <c r="S14" s="128">
        <v>0</v>
      </c>
      <c r="T14" s="128">
        <v>0</v>
      </c>
      <c r="U14" s="128">
        <v>1</v>
      </c>
      <c r="V14" s="128">
        <v>1</v>
      </c>
      <c r="W14" s="128">
        <v>0</v>
      </c>
      <c r="X14" s="128">
        <v>0</v>
      </c>
      <c r="Y14" s="130">
        <v>1</v>
      </c>
      <c r="Z14" s="130">
        <f t="shared" ref="Z14" si="2">T14+V14+X14</f>
        <v>1</v>
      </c>
      <c r="AA14" s="128">
        <v>0</v>
      </c>
      <c r="AB14" s="128">
        <v>0</v>
      </c>
      <c r="AC14" s="128">
        <v>0</v>
      </c>
      <c r="AD14" s="128">
        <v>0</v>
      </c>
      <c r="AE14" s="223">
        <v>0</v>
      </c>
      <c r="AF14" s="223">
        <v>0</v>
      </c>
      <c r="AG14" s="130">
        <v>0</v>
      </c>
      <c r="AH14" s="130">
        <f t="shared" ref="AH14" si="3">AB14+AD14+AF14</f>
        <v>0</v>
      </c>
      <c r="AI14" s="128">
        <v>0</v>
      </c>
      <c r="AJ14" s="128"/>
      <c r="AK14" s="128">
        <v>0</v>
      </c>
      <c r="AL14" s="128"/>
      <c r="AM14" s="128">
        <v>0</v>
      </c>
      <c r="AN14" s="128"/>
      <c r="AO14" s="130">
        <v>0</v>
      </c>
      <c r="AP14" s="130">
        <f t="shared" ref="AP14" si="4">AJ14+AL14+AN14</f>
        <v>0</v>
      </c>
      <c r="AQ14" s="164">
        <f t="shared" ref="AQ14:AR20" si="5">Q14+Y14+AG14+AO14</f>
        <v>2</v>
      </c>
      <c r="AR14" s="164">
        <f t="shared" si="5"/>
        <v>2</v>
      </c>
      <c r="AS14" s="244">
        <f t="shared" si="0"/>
        <v>1</v>
      </c>
    </row>
    <row r="15" spans="2:45" ht="198">
      <c r="B15" s="865"/>
      <c r="C15" s="218" t="s">
        <v>442</v>
      </c>
      <c r="D15" s="215">
        <v>65</v>
      </c>
      <c r="E15" s="216" t="s">
        <v>327</v>
      </c>
      <c r="F15" s="216" t="s">
        <v>328</v>
      </c>
      <c r="G15" s="217">
        <v>65</v>
      </c>
      <c r="H15" s="214" t="s">
        <v>329</v>
      </c>
      <c r="I15" s="214" t="s">
        <v>330</v>
      </c>
      <c r="J15" s="216" t="s">
        <v>3</v>
      </c>
      <c r="K15" s="128">
        <v>65</v>
      </c>
      <c r="L15" s="128">
        <v>65</v>
      </c>
      <c r="M15" s="128">
        <v>0</v>
      </c>
      <c r="N15" s="128">
        <v>0</v>
      </c>
      <c r="O15" s="128">
        <v>0</v>
      </c>
      <c r="P15" s="128">
        <v>0</v>
      </c>
      <c r="Q15" s="130">
        <f t="shared" ref="Q15:R20" si="6">K15+M15+O15</f>
        <v>65</v>
      </c>
      <c r="R15" s="130">
        <f t="shared" si="6"/>
        <v>65</v>
      </c>
      <c r="S15" s="128">
        <v>0</v>
      </c>
      <c r="T15" s="128">
        <v>0</v>
      </c>
      <c r="U15" s="128">
        <v>0</v>
      </c>
      <c r="V15" s="128">
        <v>0</v>
      </c>
      <c r="W15" s="128">
        <v>0</v>
      </c>
      <c r="X15" s="128">
        <v>0</v>
      </c>
      <c r="Y15" s="130">
        <f t="shared" ref="Y15:Z20" si="7">S15+U15+W15</f>
        <v>0</v>
      </c>
      <c r="Z15" s="130">
        <f t="shared" si="7"/>
        <v>0</v>
      </c>
      <c r="AA15" s="128">
        <v>0</v>
      </c>
      <c r="AB15" s="128">
        <v>0</v>
      </c>
      <c r="AC15" s="128">
        <v>0</v>
      </c>
      <c r="AD15" s="128">
        <v>0</v>
      </c>
      <c r="AE15" s="223">
        <v>0</v>
      </c>
      <c r="AF15" s="223">
        <v>0</v>
      </c>
      <c r="AG15" s="130">
        <f t="shared" ref="AG15:AH20" si="8">AA15+AC15+AE15</f>
        <v>0</v>
      </c>
      <c r="AH15" s="130">
        <f t="shared" si="8"/>
        <v>0</v>
      </c>
      <c r="AI15" s="128">
        <v>0</v>
      </c>
      <c r="AJ15" s="128">
        <v>0</v>
      </c>
      <c r="AK15" s="128">
        <v>0</v>
      </c>
      <c r="AL15" s="128">
        <v>0</v>
      </c>
      <c r="AM15" s="128">
        <v>0</v>
      </c>
      <c r="AN15" s="128">
        <v>0</v>
      </c>
      <c r="AO15" s="130">
        <f t="shared" ref="AO15:AP20" si="9">AI15+AK15+AM15</f>
        <v>0</v>
      </c>
      <c r="AP15" s="130">
        <f t="shared" si="9"/>
        <v>0</v>
      </c>
      <c r="AQ15" s="164">
        <f t="shared" si="5"/>
        <v>65</v>
      </c>
      <c r="AR15" s="164">
        <f t="shared" si="5"/>
        <v>65</v>
      </c>
      <c r="AS15" s="244">
        <f t="shared" si="0"/>
        <v>1</v>
      </c>
    </row>
    <row r="16" spans="2:45" ht="162">
      <c r="B16" s="865"/>
      <c r="C16" s="218" t="s">
        <v>443</v>
      </c>
      <c r="D16" s="215">
        <v>3</v>
      </c>
      <c r="E16" s="216" t="s">
        <v>331</v>
      </c>
      <c r="F16" s="216" t="s">
        <v>332</v>
      </c>
      <c r="G16" s="217">
        <v>2</v>
      </c>
      <c r="H16" s="214" t="s">
        <v>333</v>
      </c>
      <c r="I16" s="214" t="s">
        <v>508</v>
      </c>
      <c r="J16" s="216" t="s">
        <v>3</v>
      </c>
      <c r="K16" s="128">
        <v>1</v>
      </c>
      <c r="L16" s="128">
        <v>1</v>
      </c>
      <c r="M16" s="128">
        <v>0</v>
      </c>
      <c r="N16" s="128">
        <v>0</v>
      </c>
      <c r="O16" s="128">
        <v>0</v>
      </c>
      <c r="P16" s="128">
        <v>0</v>
      </c>
      <c r="Q16" s="130">
        <f t="shared" si="6"/>
        <v>1</v>
      </c>
      <c r="R16" s="130">
        <f t="shared" si="6"/>
        <v>1</v>
      </c>
      <c r="S16" s="128">
        <v>0</v>
      </c>
      <c r="T16" s="128">
        <v>0</v>
      </c>
      <c r="U16" s="128">
        <v>1</v>
      </c>
      <c r="V16" s="128">
        <v>1</v>
      </c>
      <c r="W16" s="128">
        <v>0</v>
      </c>
      <c r="X16" s="128">
        <v>0</v>
      </c>
      <c r="Y16" s="130">
        <f t="shared" si="7"/>
        <v>1</v>
      </c>
      <c r="Z16" s="130">
        <f t="shared" si="7"/>
        <v>1</v>
      </c>
      <c r="AA16" s="128">
        <v>0</v>
      </c>
      <c r="AB16" s="128">
        <v>0</v>
      </c>
      <c r="AC16" s="128">
        <v>0</v>
      </c>
      <c r="AD16" s="128">
        <v>0</v>
      </c>
      <c r="AE16" s="223">
        <v>1</v>
      </c>
      <c r="AF16" s="223">
        <v>1</v>
      </c>
      <c r="AG16" s="130">
        <f t="shared" si="8"/>
        <v>1</v>
      </c>
      <c r="AH16" s="130">
        <f t="shared" si="8"/>
        <v>1</v>
      </c>
      <c r="AI16" s="128">
        <v>0</v>
      </c>
      <c r="AJ16" s="128">
        <v>0</v>
      </c>
      <c r="AK16" s="128">
        <v>0</v>
      </c>
      <c r="AL16" s="128">
        <v>0</v>
      </c>
      <c r="AM16" s="128">
        <v>0</v>
      </c>
      <c r="AN16" s="128">
        <v>0</v>
      </c>
      <c r="AO16" s="130">
        <v>0</v>
      </c>
      <c r="AP16" s="130">
        <f t="shared" si="9"/>
        <v>0</v>
      </c>
      <c r="AQ16" s="164">
        <f t="shared" si="5"/>
        <v>3</v>
      </c>
      <c r="AR16" s="164">
        <f t="shared" si="5"/>
        <v>3</v>
      </c>
      <c r="AS16" s="244">
        <f t="shared" si="0"/>
        <v>1</v>
      </c>
    </row>
    <row r="17" spans="2:45" ht="198">
      <c r="B17" s="865"/>
      <c r="C17" s="218" t="s">
        <v>444</v>
      </c>
      <c r="D17" s="215">
        <v>2</v>
      </c>
      <c r="E17" s="216" t="s">
        <v>334</v>
      </c>
      <c r="F17" s="216" t="s">
        <v>509</v>
      </c>
      <c r="G17" s="217">
        <v>2</v>
      </c>
      <c r="H17" s="214" t="s">
        <v>335</v>
      </c>
      <c r="I17" s="214" t="s">
        <v>344</v>
      </c>
      <c r="J17" s="216" t="s">
        <v>3</v>
      </c>
      <c r="K17" s="128">
        <v>0</v>
      </c>
      <c r="L17" s="128">
        <v>0</v>
      </c>
      <c r="M17" s="128">
        <v>1</v>
      </c>
      <c r="N17" s="128">
        <v>1</v>
      </c>
      <c r="O17" s="128">
        <v>0</v>
      </c>
      <c r="P17" s="128">
        <v>0</v>
      </c>
      <c r="Q17" s="130">
        <v>1</v>
      </c>
      <c r="R17" s="130">
        <f t="shared" si="6"/>
        <v>1</v>
      </c>
      <c r="S17" s="128">
        <v>0</v>
      </c>
      <c r="T17" s="128">
        <v>0</v>
      </c>
      <c r="U17" s="128">
        <v>0</v>
      </c>
      <c r="V17" s="128">
        <v>0</v>
      </c>
      <c r="W17" s="128">
        <v>0</v>
      </c>
      <c r="X17" s="128">
        <v>0</v>
      </c>
      <c r="Y17" s="130">
        <f t="shared" si="7"/>
        <v>0</v>
      </c>
      <c r="Z17" s="130">
        <f t="shared" si="7"/>
        <v>0</v>
      </c>
      <c r="AA17" s="128">
        <v>0</v>
      </c>
      <c r="AB17" s="128">
        <v>0</v>
      </c>
      <c r="AC17" s="128">
        <v>1</v>
      </c>
      <c r="AD17" s="128">
        <v>1</v>
      </c>
      <c r="AE17" s="223">
        <v>0</v>
      </c>
      <c r="AF17" s="223">
        <v>0</v>
      </c>
      <c r="AG17" s="130">
        <f t="shared" si="8"/>
        <v>1</v>
      </c>
      <c r="AH17" s="130">
        <f t="shared" si="8"/>
        <v>1</v>
      </c>
      <c r="AI17" s="128">
        <v>0</v>
      </c>
      <c r="AJ17" s="128">
        <v>0</v>
      </c>
      <c r="AK17" s="128">
        <v>0</v>
      </c>
      <c r="AL17" s="128">
        <v>0</v>
      </c>
      <c r="AM17" s="128">
        <v>0</v>
      </c>
      <c r="AN17" s="128">
        <v>0</v>
      </c>
      <c r="AO17" s="130">
        <v>0</v>
      </c>
      <c r="AP17" s="130">
        <f t="shared" si="9"/>
        <v>0</v>
      </c>
      <c r="AQ17" s="164">
        <f t="shared" si="5"/>
        <v>2</v>
      </c>
      <c r="AR17" s="164">
        <f t="shared" si="5"/>
        <v>2</v>
      </c>
      <c r="AS17" s="244">
        <f t="shared" si="0"/>
        <v>1</v>
      </c>
    </row>
    <row r="18" spans="2:45" ht="144">
      <c r="B18" s="865"/>
      <c r="C18" s="218" t="s">
        <v>445</v>
      </c>
      <c r="D18" s="219">
        <v>10</v>
      </c>
      <c r="E18" s="216" t="s">
        <v>336</v>
      </c>
      <c r="F18" s="216" t="s">
        <v>337</v>
      </c>
      <c r="G18" s="217">
        <v>11</v>
      </c>
      <c r="H18" s="214" t="s">
        <v>338</v>
      </c>
      <c r="I18" s="214" t="s">
        <v>510</v>
      </c>
      <c r="J18" s="216" t="s">
        <v>3</v>
      </c>
      <c r="K18" s="128">
        <v>3</v>
      </c>
      <c r="L18" s="128">
        <v>3</v>
      </c>
      <c r="M18" s="128">
        <v>3</v>
      </c>
      <c r="N18" s="128">
        <v>3</v>
      </c>
      <c r="O18" s="128">
        <v>0</v>
      </c>
      <c r="P18" s="128">
        <v>0</v>
      </c>
      <c r="Q18" s="130">
        <f t="shared" si="6"/>
        <v>6</v>
      </c>
      <c r="R18" s="130">
        <f t="shared" si="6"/>
        <v>6</v>
      </c>
      <c r="S18" s="128">
        <v>0</v>
      </c>
      <c r="T18" s="128">
        <v>0</v>
      </c>
      <c r="U18" s="128">
        <v>1</v>
      </c>
      <c r="V18" s="128">
        <v>1</v>
      </c>
      <c r="W18" s="128">
        <v>0</v>
      </c>
      <c r="X18" s="128">
        <v>0</v>
      </c>
      <c r="Y18" s="130">
        <f t="shared" si="7"/>
        <v>1</v>
      </c>
      <c r="Z18" s="130">
        <f t="shared" si="7"/>
        <v>1</v>
      </c>
      <c r="AA18" s="128">
        <v>1</v>
      </c>
      <c r="AB18" s="128">
        <v>1</v>
      </c>
      <c r="AC18" s="128">
        <v>1</v>
      </c>
      <c r="AD18" s="128">
        <v>1</v>
      </c>
      <c r="AE18" s="223">
        <v>1</v>
      </c>
      <c r="AF18" s="223">
        <v>1</v>
      </c>
      <c r="AG18" s="130">
        <f t="shared" si="8"/>
        <v>3</v>
      </c>
      <c r="AH18" s="130">
        <f t="shared" si="8"/>
        <v>3</v>
      </c>
      <c r="AI18" s="128">
        <v>0</v>
      </c>
      <c r="AJ18" s="128">
        <v>0</v>
      </c>
      <c r="AK18" s="128">
        <v>0</v>
      </c>
      <c r="AL18" s="128">
        <v>0</v>
      </c>
      <c r="AM18" s="128">
        <v>0</v>
      </c>
      <c r="AN18" s="128">
        <v>0</v>
      </c>
      <c r="AO18" s="130">
        <f t="shared" si="9"/>
        <v>0</v>
      </c>
      <c r="AP18" s="130">
        <f t="shared" si="9"/>
        <v>0</v>
      </c>
      <c r="AQ18" s="164">
        <f t="shared" si="5"/>
        <v>10</v>
      </c>
      <c r="AR18" s="164">
        <f t="shared" si="5"/>
        <v>10</v>
      </c>
      <c r="AS18" s="244">
        <f t="shared" si="0"/>
        <v>1</v>
      </c>
    </row>
    <row r="19" spans="2:45" ht="144">
      <c r="B19" s="865"/>
      <c r="C19" s="218" t="s">
        <v>446</v>
      </c>
      <c r="D19" s="215">
        <v>1</v>
      </c>
      <c r="E19" s="216" t="s">
        <v>511</v>
      </c>
      <c r="F19" s="216" t="s">
        <v>554</v>
      </c>
      <c r="G19" s="217">
        <v>1</v>
      </c>
      <c r="H19" s="214" t="s">
        <v>512</v>
      </c>
      <c r="I19" s="214" t="s">
        <v>339</v>
      </c>
      <c r="J19" s="216" t="s">
        <v>3</v>
      </c>
      <c r="K19" s="128">
        <v>0</v>
      </c>
      <c r="L19" s="128">
        <v>0</v>
      </c>
      <c r="M19" s="128">
        <v>0</v>
      </c>
      <c r="N19" s="128">
        <v>0</v>
      </c>
      <c r="O19" s="128">
        <v>0</v>
      </c>
      <c r="P19" s="128">
        <v>0</v>
      </c>
      <c r="Q19" s="130">
        <f t="shared" si="6"/>
        <v>0</v>
      </c>
      <c r="R19" s="130">
        <f t="shared" si="6"/>
        <v>0</v>
      </c>
      <c r="S19" s="128">
        <v>0</v>
      </c>
      <c r="T19" s="128">
        <v>0</v>
      </c>
      <c r="U19" s="128">
        <v>0</v>
      </c>
      <c r="V19" s="128">
        <v>0</v>
      </c>
      <c r="W19" s="128">
        <v>0</v>
      </c>
      <c r="X19" s="128">
        <v>0</v>
      </c>
      <c r="Y19" s="130">
        <f t="shared" si="7"/>
        <v>0</v>
      </c>
      <c r="Z19" s="130">
        <f t="shared" si="7"/>
        <v>0</v>
      </c>
      <c r="AA19" s="128">
        <v>0</v>
      </c>
      <c r="AB19" s="128">
        <v>0</v>
      </c>
      <c r="AC19" s="128">
        <v>0</v>
      </c>
      <c r="AD19" s="128">
        <v>0</v>
      </c>
      <c r="AE19" s="223">
        <v>0</v>
      </c>
      <c r="AF19" s="223">
        <v>0</v>
      </c>
      <c r="AG19" s="130">
        <f t="shared" si="8"/>
        <v>0</v>
      </c>
      <c r="AH19" s="130">
        <f t="shared" si="8"/>
        <v>0</v>
      </c>
      <c r="AI19" s="128">
        <v>1</v>
      </c>
      <c r="AJ19" s="128">
        <v>1</v>
      </c>
      <c r="AK19" s="128">
        <v>0</v>
      </c>
      <c r="AL19" s="128">
        <v>0</v>
      </c>
      <c r="AM19" s="128">
        <v>0</v>
      </c>
      <c r="AN19" s="128">
        <v>0</v>
      </c>
      <c r="AO19" s="130">
        <f>+AI19+AK19+AM19</f>
        <v>1</v>
      </c>
      <c r="AP19" s="130">
        <f t="shared" si="9"/>
        <v>1</v>
      </c>
      <c r="AQ19" s="164">
        <f t="shared" si="5"/>
        <v>1</v>
      </c>
      <c r="AR19" s="164">
        <f t="shared" si="5"/>
        <v>1</v>
      </c>
      <c r="AS19" s="244">
        <f t="shared" si="0"/>
        <v>1</v>
      </c>
    </row>
    <row r="20" spans="2:45" ht="209.25" customHeight="1">
      <c r="B20" s="712"/>
      <c r="C20" s="218" t="s">
        <v>447</v>
      </c>
      <c r="D20" s="215">
        <v>1</v>
      </c>
      <c r="E20" s="216" t="s">
        <v>340</v>
      </c>
      <c r="F20" s="216" t="s">
        <v>341</v>
      </c>
      <c r="G20" s="217">
        <v>1</v>
      </c>
      <c r="H20" s="214" t="s">
        <v>342</v>
      </c>
      <c r="I20" s="222" t="s">
        <v>506</v>
      </c>
      <c r="J20" s="216" t="s">
        <v>3</v>
      </c>
      <c r="K20" s="128">
        <v>0</v>
      </c>
      <c r="L20" s="128">
        <v>0</v>
      </c>
      <c r="M20" s="128">
        <v>0</v>
      </c>
      <c r="N20" s="128">
        <v>0</v>
      </c>
      <c r="O20" s="128">
        <v>0</v>
      </c>
      <c r="P20" s="128">
        <v>0</v>
      </c>
      <c r="Q20" s="130">
        <f t="shared" si="6"/>
        <v>0</v>
      </c>
      <c r="R20" s="130">
        <f t="shared" si="6"/>
        <v>0</v>
      </c>
      <c r="S20" s="128">
        <v>0</v>
      </c>
      <c r="T20" s="128">
        <v>0</v>
      </c>
      <c r="U20" s="128">
        <v>0</v>
      </c>
      <c r="V20" s="128">
        <v>0</v>
      </c>
      <c r="W20" s="128">
        <v>0</v>
      </c>
      <c r="X20" s="128">
        <v>0</v>
      </c>
      <c r="Y20" s="130">
        <f t="shared" si="7"/>
        <v>0</v>
      </c>
      <c r="Z20" s="130">
        <f t="shared" si="7"/>
        <v>0</v>
      </c>
      <c r="AA20" s="128">
        <v>0</v>
      </c>
      <c r="AB20" s="128">
        <v>0</v>
      </c>
      <c r="AC20" s="128">
        <v>0</v>
      </c>
      <c r="AD20" s="128">
        <v>0</v>
      </c>
      <c r="AE20" s="223">
        <v>0</v>
      </c>
      <c r="AF20" s="223">
        <v>0</v>
      </c>
      <c r="AG20" s="130">
        <f t="shared" si="8"/>
        <v>0</v>
      </c>
      <c r="AH20" s="130">
        <f t="shared" si="8"/>
        <v>0</v>
      </c>
      <c r="AI20" s="128">
        <v>0</v>
      </c>
      <c r="AJ20" s="128">
        <v>0</v>
      </c>
      <c r="AK20" s="128">
        <v>1</v>
      </c>
      <c r="AL20" s="128">
        <v>1</v>
      </c>
      <c r="AM20" s="128">
        <v>0</v>
      </c>
      <c r="AN20" s="128">
        <v>0</v>
      </c>
      <c r="AO20" s="130">
        <f>AI20+AK20+AM20</f>
        <v>1</v>
      </c>
      <c r="AP20" s="130">
        <f t="shared" si="9"/>
        <v>1</v>
      </c>
      <c r="AQ20" s="164">
        <f t="shared" si="5"/>
        <v>1</v>
      </c>
      <c r="AR20" s="164">
        <f t="shared" si="5"/>
        <v>1</v>
      </c>
      <c r="AS20" s="244">
        <f t="shared" si="0"/>
        <v>1</v>
      </c>
    </row>
    <row r="21" spans="2:45" ht="23.25">
      <c r="B21" s="634" t="s">
        <v>23</v>
      </c>
      <c r="C21" s="635"/>
      <c r="D21" s="635"/>
      <c r="E21" s="635"/>
      <c r="F21" s="635"/>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5"/>
      <c r="AJ21" s="635"/>
      <c r="AK21" s="635"/>
      <c r="AL21" s="635"/>
      <c r="AM21" s="635"/>
      <c r="AN21" s="635"/>
      <c r="AO21" s="635"/>
      <c r="AP21" s="635"/>
      <c r="AQ21" s="635"/>
      <c r="AR21" s="636"/>
      <c r="AS21" s="245">
        <f>AVERAGE(AS13:AS20)</f>
        <v>1</v>
      </c>
    </row>
    <row r="22" spans="2:45" ht="17.25">
      <c r="B22" s="112"/>
      <c r="C22" s="112"/>
      <c r="D22" s="113"/>
      <c r="E22" s="112"/>
      <c r="F22" s="112"/>
      <c r="G22" s="112"/>
      <c r="H22" s="112"/>
      <c r="I22" s="112"/>
      <c r="J22" s="114"/>
    </row>
    <row r="23" spans="2:45" ht="15.75">
      <c r="B23" s="83" t="s">
        <v>4</v>
      </c>
      <c r="C23" s="866" t="s">
        <v>507</v>
      </c>
      <c r="D23" s="867"/>
      <c r="E23" s="867"/>
      <c r="F23" s="867"/>
      <c r="G23" s="867"/>
      <c r="H23" s="867"/>
      <c r="I23" s="867"/>
      <c r="J23" s="868"/>
    </row>
    <row r="24" spans="2:45" ht="17.25">
      <c r="B24" s="112"/>
      <c r="C24" s="645"/>
      <c r="D24" s="645"/>
      <c r="E24" s="645"/>
      <c r="F24" s="645"/>
      <c r="G24" s="645"/>
      <c r="H24" s="645"/>
      <c r="I24" s="645"/>
      <c r="J24" s="645"/>
    </row>
    <row r="25" spans="2:45" ht="49.5" customHeight="1">
      <c r="B25" s="84" t="s">
        <v>32</v>
      </c>
      <c r="C25" s="702" t="s">
        <v>824</v>
      </c>
      <c r="D25" s="703"/>
      <c r="E25" s="112"/>
      <c r="F25" s="112"/>
      <c r="G25" s="115" t="s">
        <v>22</v>
      </c>
      <c r="H25" s="627" t="s">
        <v>895</v>
      </c>
      <c r="I25" s="628"/>
      <c r="J25" s="628"/>
    </row>
    <row r="26" spans="2:45" ht="17.25">
      <c r="B26" s="112"/>
      <c r="C26" s="112"/>
      <c r="D26" s="113"/>
      <c r="E26" s="112"/>
      <c r="F26" s="112"/>
      <c r="G26" s="112"/>
      <c r="H26" s="112"/>
      <c r="I26" s="112"/>
      <c r="J26" s="114"/>
    </row>
    <row r="27" spans="2:45" ht="17.25">
      <c r="B27" s="112"/>
      <c r="C27" s="112"/>
      <c r="D27" s="113"/>
      <c r="E27" s="112"/>
      <c r="F27" s="112"/>
      <c r="G27" s="112"/>
      <c r="H27" s="112"/>
      <c r="I27" s="112"/>
      <c r="J27" s="114"/>
    </row>
    <row r="28" spans="2:45" ht="17.25">
      <c r="B28" s="112"/>
      <c r="C28" s="112"/>
      <c r="D28" s="113"/>
      <c r="E28" s="112"/>
      <c r="F28" s="112"/>
      <c r="G28" s="112"/>
      <c r="H28" s="112"/>
      <c r="I28" s="112"/>
      <c r="J28" s="114"/>
    </row>
    <row r="29" spans="2:45" ht="17.25">
      <c r="B29" s="112"/>
      <c r="C29" s="112"/>
      <c r="D29" s="113"/>
      <c r="E29" s="629"/>
      <c r="F29" s="629"/>
      <c r="G29" s="629"/>
      <c r="H29" s="629"/>
      <c r="I29" s="429"/>
      <c r="J29" s="112"/>
    </row>
    <row r="30" spans="2:45" ht="17.25">
      <c r="B30" s="112"/>
      <c r="C30" s="112"/>
      <c r="D30" s="113"/>
      <c r="E30" s="112"/>
      <c r="F30" s="112"/>
      <c r="G30" s="114"/>
      <c r="H30" s="112"/>
      <c r="I30" s="112"/>
      <c r="J30" s="112"/>
    </row>
    <row r="31" spans="2:45" ht="17.25">
      <c r="B31" s="112"/>
      <c r="C31" s="112"/>
      <c r="D31" s="113"/>
      <c r="E31" s="629"/>
      <c r="F31" s="629"/>
      <c r="G31" s="629"/>
      <c r="H31" s="629"/>
      <c r="I31" s="429"/>
      <c r="J31" s="112"/>
    </row>
    <row r="32" spans="2:45" ht="17.25">
      <c r="B32" s="112"/>
      <c r="C32" s="112"/>
      <c r="D32" s="113"/>
      <c r="E32" s="112"/>
      <c r="F32" s="112"/>
      <c r="G32" s="114"/>
      <c r="H32" s="112"/>
      <c r="I32" s="112"/>
      <c r="J32" s="112"/>
    </row>
    <row r="33" spans="2:10" ht="17.25">
      <c r="B33" s="112"/>
      <c r="C33" s="112"/>
      <c r="D33" s="113"/>
      <c r="E33" s="629"/>
      <c r="F33" s="629"/>
      <c r="G33" s="629"/>
      <c r="H33" s="629"/>
      <c r="I33" s="429"/>
      <c r="J33" s="112"/>
    </row>
  </sheetData>
  <sheetProtection algorithmName="SHA-512" hashValue="AJ3sv9Que6f1ym6aeMp5bfwL9ku+h9zm+Sy6h73gcks5CrmywkYRkiWNNb+r6AOR2vaMNoD/UfwED+82T529PA==" saltValue="g9WZ48leyg0y+tBziXW49g=="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9:H29"/>
    <mergeCell ref="E31:H31"/>
    <mergeCell ref="E33:H33"/>
    <mergeCell ref="B13:B20"/>
    <mergeCell ref="AM11:AN11"/>
    <mergeCell ref="W11:X11"/>
    <mergeCell ref="Y11:Z11"/>
    <mergeCell ref="B21:AR21"/>
    <mergeCell ref="C23:J23"/>
    <mergeCell ref="C24:J24"/>
    <mergeCell ref="C25:D25"/>
    <mergeCell ref="H25:J25"/>
  </mergeCells>
  <conditionalFormatting sqref="G13:G18">
    <cfRule type="expression" dxfId="8" priority="10">
      <formula>$L13="Pesos ($)"</formula>
    </cfRule>
    <cfRule type="expression" dxfId="7" priority="11">
      <formula>OR(LEFT($L13,9)="Número de",$L13="Otra")</formula>
    </cfRule>
    <cfRule type="expression" dxfId="6" priority="12">
      <formula>$L13="Porcentaje"</formula>
    </cfRule>
  </conditionalFormatting>
  <conditionalFormatting sqref="G19">
    <cfRule type="expression" dxfId="5" priority="7">
      <formula>$L19="Pesos ($)"</formula>
    </cfRule>
    <cfRule type="expression" dxfId="4" priority="8">
      <formula>OR(LEFT($L19,9)="Número de",$L19="Otra")</formula>
    </cfRule>
    <cfRule type="expression" dxfId="3" priority="9">
      <formula>$L19="Porcentaje"</formula>
    </cfRule>
  </conditionalFormatting>
  <conditionalFormatting sqref="G20">
    <cfRule type="expression" dxfId="2" priority="1">
      <formula>$L20="Pesos ($)"</formula>
    </cfRule>
    <cfRule type="expression" dxfId="1" priority="2">
      <formula>OR(LEFT($L20,9)="Número de",$L20="Otra")</formula>
    </cfRule>
    <cfRule type="expression" dxfId="0" priority="3">
      <formula>$L20="Porcentaje"</formula>
    </cfRule>
  </conditionalFormatting>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Q47"/>
  <sheetViews>
    <sheetView topLeftCell="A10" zoomScale="90" zoomScaleNormal="90" zoomScaleSheetLayoutView="85" zoomScalePageLayoutView="30" workbookViewId="0">
      <selection activeCell="AP17" sqref="AP17"/>
    </sheetView>
  </sheetViews>
  <sheetFormatPr baseColWidth="10" defaultColWidth="11.42578125" defaultRowHeight="12.75"/>
  <cols>
    <col min="1" max="1" width="4.28515625" style="43" customWidth="1"/>
    <col min="2" max="2" width="28.5703125" style="43" customWidth="1"/>
    <col min="3" max="13" width="7.140625" style="43" customWidth="1"/>
    <col min="14" max="14" width="14.28515625" style="43" customWidth="1"/>
    <col min="15" max="15" width="14.42578125" style="43" customWidth="1"/>
    <col min="16" max="16" width="6.7109375" style="43" customWidth="1"/>
    <col min="17" max="17" width="9.5703125" style="43" customWidth="1"/>
    <col min="18" max="18" width="17.140625" style="43" customWidth="1"/>
    <col min="19" max="16384" width="11.42578125" style="43"/>
  </cols>
  <sheetData>
    <row r="1" spans="1:17" s="31" customFormat="1" ht="7.5" customHeight="1" thickBot="1">
      <c r="A1" s="29"/>
      <c r="B1" s="30"/>
      <c r="C1" s="30"/>
      <c r="D1" s="30"/>
      <c r="E1" s="30"/>
      <c r="F1" s="30"/>
      <c r="G1" s="30"/>
      <c r="H1" s="30"/>
      <c r="I1" s="30"/>
      <c r="J1" s="30"/>
      <c r="K1" s="30"/>
      <c r="L1" s="30"/>
      <c r="M1" s="30"/>
      <c r="N1" s="30"/>
      <c r="O1" s="30"/>
      <c r="P1" s="30"/>
      <c r="Q1" s="29"/>
    </row>
    <row r="2" spans="1:17" s="31" customFormat="1" ht="15.75">
      <c r="A2" s="29"/>
      <c r="B2" s="874"/>
      <c r="C2" s="877" t="s">
        <v>59</v>
      </c>
      <c r="D2" s="878"/>
      <c r="E2" s="878"/>
      <c r="F2" s="878"/>
      <c r="G2" s="878"/>
      <c r="H2" s="878"/>
      <c r="I2" s="878"/>
      <c r="J2" s="878"/>
      <c r="K2" s="878"/>
      <c r="L2" s="878"/>
      <c r="M2" s="878"/>
      <c r="N2" s="883" t="s">
        <v>39</v>
      </c>
      <c r="O2" s="884"/>
      <c r="P2" s="30"/>
      <c r="Q2" s="29"/>
    </row>
    <row r="3" spans="1:17" s="31" customFormat="1" ht="15.75">
      <c r="A3" s="29"/>
      <c r="B3" s="875"/>
      <c r="C3" s="879"/>
      <c r="D3" s="880"/>
      <c r="E3" s="880"/>
      <c r="F3" s="880"/>
      <c r="G3" s="880"/>
      <c r="H3" s="880"/>
      <c r="I3" s="880"/>
      <c r="J3" s="880"/>
      <c r="K3" s="880"/>
      <c r="L3" s="880"/>
      <c r="M3" s="880"/>
      <c r="N3" s="32" t="s">
        <v>36</v>
      </c>
      <c r="O3" s="33" t="s">
        <v>37</v>
      </c>
      <c r="P3" s="30"/>
      <c r="Q3" s="29"/>
    </row>
    <row r="4" spans="1:17" s="31" customFormat="1" ht="15.75" customHeight="1">
      <c r="A4" s="29"/>
      <c r="B4" s="875"/>
      <c r="C4" s="879"/>
      <c r="D4" s="880"/>
      <c r="E4" s="880"/>
      <c r="F4" s="880"/>
      <c r="G4" s="880"/>
      <c r="H4" s="880"/>
      <c r="I4" s="880"/>
      <c r="J4" s="880"/>
      <c r="K4" s="880"/>
      <c r="L4" s="880"/>
      <c r="M4" s="880"/>
      <c r="N4" s="34">
        <v>3</v>
      </c>
      <c r="O4" s="35" t="s">
        <v>103</v>
      </c>
      <c r="P4" s="30"/>
      <c r="Q4" s="29"/>
    </row>
    <row r="5" spans="1:17" s="31" customFormat="1" ht="15.75">
      <c r="A5" s="29"/>
      <c r="B5" s="875"/>
      <c r="C5" s="879"/>
      <c r="D5" s="880"/>
      <c r="E5" s="880"/>
      <c r="F5" s="880"/>
      <c r="G5" s="880"/>
      <c r="H5" s="880"/>
      <c r="I5" s="880"/>
      <c r="J5" s="880"/>
      <c r="K5" s="880"/>
      <c r="L5" s="880"/>
      <c r="M5" s="880"/>
      <c r="N5" s="885" t="s">
        <v>38</v>
      </c>
      <c r="O5" s="886"/>
      <c r="P5" s="30"/>
      <c r="Q5" s="29"/>
    </row>
    <row r="6" spans="1:17" s="31" customFormat="1" ht="16.5" customHeight="1" thickBot="1">
      <c r="A6" s="29"/>
      <c r="B6" s="876"/>
      <c r="C6" s="881"/>
      <c r="D6" s="882"/>
      <c r="E6" s="882"/>
      <c r="F6" s="882"/>
      <c r="G6" s="882"/>
      <c r="H6" s="882"/>
      <c r="I6" s="882"/>
      <c r="J6" s="882"/>
      <c r="K6" s="882"/>
      <c r="L6" s="882"/>
      <c r="M6" s="882"/>
      <c r="N6" s="887" t="s">
        <v>100</v>
      </c>
      <c r="O6" s="888"/>
      <c r="P6" s="30"/>
      <c r="Q6" s="29"/>
    </row>
    <row r="7" spans="1:17" s="31" customFormat="1" ht="7.5" customHeight="1" thickBot="1">
      <c r="A7" s="29"/>
      <c r="B7" s="30"/>
      <c r="C7" s="30"/>
      <c r="D7" s="30"/>
      <c r="E7" s="30"/>
      <c r="F7" s="36">
        <f>D12</f>
        <v>0</v>
      </c>
      <c r="G7" s="30"/>
      <c r="H7" s="30"/>
      <c r="I7" s="30"/>
      <c r="J7" s="30"/>
      <c r="K7" s="30"/>
      <c r="L7" s="30"/>
      <c r="M7" s="30"/>
      <c r="N7" s="30"/>
      <c r="O7" s="30"/>
      <c r="P7" s="30"/>
      <c r="Q7" s="29"/>
    </row>
    <row r="8" spans="1:17" s="31" customFormat="1" ht="22.5" customHeight="1">
      <c r="A8" s="29"/>
      <c r="B8" s="869" t="s">
        <v>60</v>
      </c>
      <c r="C8" s="870"/>
      <c r="D8" s="870"/>
      <c r="E8" s="870"/>
      <c r="F8" s="870"/>
      <c r="G8" s="870"/>
      <c r="H8" s="870"/>
      <c r="I8" s="870"/>
      <c r="J8" s="870"/>
      <c r="K8" s="870"/>
      <c r="L8" s="870"/>
      <c r="M8" s="870"/>
      <c r="N8" s="870"/>
      <c r="O8" s="871"/>
      <c r="P8" s="30"/>
      <c r="Q8" s="29"/>
    </row>
    <row r="9" spans="1:17" s="31" customFormat="1" ht="75" customHeight="1" thickBot="1">
      <c r="A9" s="29"/>
      <c r="B9" s="891" t="s">
        <v>108</v>
      </c>
      <c r="C9" s="892"/>
      <c r="D9" s="892"/>
      <c r="E9" s="892"/>
      <c r="F9" s="892"/>
      <c r="G9" s="892"/>
      <c r="H9" s="892"/>
      <c r="I9" s="892"/>
      <c r="J9" s="892"/>
      <c r="K9" s="892"/>
      <c r="L9" s="892"/>
      <c r="M9" s="892"/>
      <c r="N9" s="892"/>
      <c r="O9" s="893"/>
      <c r="P9" s="30"/>
      <c r="Q9" s="29"/>
    </row>
    <row r="10" spans="1:17" s="31" customFormat="1" ht="7.5" customHeight="1" thickBot="1">
      <c r="A10" s="29"/>
      <c r="B10" s="30"/>
      <c r="C10" s="30"/>
      <c r="D10" s="30"/>
      <c r="E10" s="30"/>
      <c r="F10" s="36"/>
      <c r="G10" s="30"/>
      <c r="H10" s="30"/>
      <c r="I10" s="30"/>
      <c r="J10" s="30"/>
      <c r="K10" s="30"/>
      <c r="L10" s="30"/>
      <c r="M10" s="30"/>
      <c r="N10" s="30"/>
      <c r="O10" s="30"/>
      <c r="P10" s="30"/>
      <c r="Q10" s="29"/>
    </row>
    <row r="11" spans="1:17" s="31" customFormat="1" ht="22.5" customHeight="1" thickBot="1">
      <c r="A11" s="29"/>
      <c r="B11" s="37" t="s">
        <v>57</v>
      </c>
      <c r="C11" s="894" t="s">
        <v>58</v>
      </c>
      <c r="D11" s="894"/>
      <c r="E11" s="894"/>
      <c r="F11" s="894"/>
      <c r="G11" s="894"/>
      <c r="H11" s="894"/>
      <c r="I11" s="894"/>
      <c r="J11" s="894"/>
      <c r="K11" s="894"/>
      <c r="L11" s="894"/>
      <c r="M11" s="894"/>
      <c r="N11" s="894"/>
      <c r="O11" s="895"/>
      <c r="P11" s="30"/>
      <c r="Q11" s="29"/>
    </row>
    <row r="12" spans="1:17" s="31" customFormat="1" ht="45.75" customHeight="1">
      <c r="A12" s="29"/>
      <c r="B12" s="44" t="s">
        <v>61</v>
      </c>
      <c r="C12" s="896" t="s">
        <v>107</v>
      </c>
      <c r="D12" s="896"/>
      <c r="E12" s="896"/>
      <c r="F12" s="896"/>
      <c r="G12" s="896"/>
      <c r="H12" s="896"/>
      <c r="I12" s="896"/>
      <c r="J12" s="896"/>
      <c r="K12" s="896"/>
      <c r="L12" s="896"/>
      <c r="M12" s="896"/>
      <c r="N12" s="896"/>
      <c r="O12" s="897"/>
      <c r="P12" s="29"/>
      <c r="Q12" s="29"/>
    </row>
    <row r="13" spans="1:17" s="31" customFormat="1" ht="45.75" customHeight="1">
      <c r="A13" s="29"/>
      <c r="B13" s="38" t="s">
        <v>62</v>
      </c>
      <c r="C13" s="889" t="s">
        <v>74</v>
      </c>
      <c r="D13" s="889"/>
      <c r="E13" s="889"/>
      <c r="F13" s="889"/>
      <c r="G13" s="889"/>
      <c r="H13" s="889"/>
      <c r="I13" s="889"/>
      <c r="J13" s="889"/>
      <c r="K13" s="889"/>
      <c r="L13" s="889"/>
      <c r="M13" s="889"/>
      <c r="N13" s="889"/>
      <c r="O13" s="890"/>
      <c r="P13" s="29"/>
      <c r="Q13" s="29"/>
    </row>
    <row r="14" spans="1:17" s="31" customFormat="1" ht="45.75" customHeight="1">
      <c r="A14" s="29"/>
      <c r="B14" s="45" t="s">
        <v>64</v>
      </c>
      <c r="C14" s="889" t="s">
        <v>73</v>
      </c>
      <c r="D14" s="889"/>
      <c r="E14" s="889"/>
      <c r="F14" s="889"/>
      <c r="G14" s="889"/>
      <c r="H14" s="889"/>
      <c r="I14" s="889"/>
      <c r="J14" s="889"/>
      <c r="K14" s="889"/>
      <c r="L14" s="889"/>
      <c r="M14" s="889"/>
      <c r="N14" s="889"/>
      <c r="O14" s="890"/>
      <c r="P14" s="29"/>
      <c r="Q14" s="29"/>
    </row>
    <row r="15" spans="1:17" s="31" customFormat="1" ht="45.75" customHeight="1">
      <c r="A15" s="29"/>
      <c r="B15" s="39" t="s">
        <v>65</v>
      </c>
      <c r="C15" s="889" t="s">
        <v>72</v>
      </c>
      <c r="D15" s="889"/>
      <c r="E15" s="889"/>
      <c r="F15" s="889"/>
      <c r="G15" s="889"/>
      <c r="H15" s="889"/>
      <c r="I15" s="889"/>
      <c r="J15" s="889"/>
      <c r="K15" s="889"/>
      <c r="L15" s="889"/>
      <c r="M15" s="889"/>
      <c r="N15" s="889"/>
      <c r="O15" s="890"/>
      <c r="P15" s="29"/>
      <c r="Q15" s="29"/>
    </row>
    <row r="16" spans="1:17" s="31" customFormat="1" ht="45.75" customHeight="1">
      <c r="A16" s="29"/>
      <c r="B16" s="40" t="s">
        <v>68</v>
      </c>
      <c r="C16" s="889" t="s">
        <v>69</v>
      </c>
      <c r="D16" s="889"/>
      <c r="E16" s="889"/>
      <c r="F16" s="889"/>
      <c r="G16" s="889"/>
      <c r="H16" s="889"/>
      <c r="I16" s="889"/>
      <c r="J16" s="889"/>
      <c r="K16" s="889"/>
      <c r="L16" s="889"/>
      <c r="M16" s="889"/>
      <c r="N16" s="889"/>
      <c r="O16" s="890"/>
      <c r="P16" s="29"/>
      <c r="Q16" s="29"/>
    </row>
    <row r="17" spans="1:17" s="31" customFormat="1" ht="45.75" customHeight="1">
      <c r="A17" s="29"/>
      <c r="B17" s="41" t="s">
        <v>70</v>
      </c>
      <c r="C17" s="889" t="s">
        <v>71</v>
      </c>
      <c r="D17" s="889"/>
      <c r="E17" s="889"/>
      <c r="F17" s="889"/>
      <c r="G17" s="889"/>
      <c r="H17" s="889"/>
      <c r="I17" s="889"/>
      <c r="J17" s="889"/>
      <c r="K17" s="889"/>
      <c r="L17" s="889"/>
      <c r="M17" s="889"/>
      <c r="N17" s="889"/>
      <c r="O17" s="890"/>
      <c r="P17" s="29"/>
      <c r="Q17" s="29"/>
    </row>
    <row r="18" spans="1:17" s="31" customFormat="1" ht="45.75" customHeight="1">
      <c r="A18" s="29"/>
      <c r="B18" s="41" t="s">
        <v>75</v>
      </c>
      <c r="C18" s="889" t="s">
        <v>76</v>
      </c>
      <c r="D18" s="889"/>
      <c r="E18" s="889"/>
      <c r="F18" s="889"/>
      <c r="G18" s="889"/>
      <c r="H18" s="889"/>
      <c r="I18" s="889"/>
      <c r="J18" s="889"/>
      <c r="K18" s="889"/>
      <c r="L18" s="889"/>
      <c r="M18" s="889"/>
      <c r="N18" s="889"/>
      <c r="O18" s="890"/>
      <c r="P18" s="29"/>
      <c r="Q18" s="29"/>
    </row>
    <row r="19" spans="1:17" s="31" customFormat="1" ht="45.75" customHeight="1">
      <c r="A19" s="29"/>
      <c r="B19" s="42" t="s">
        <v>77</v>
      </c>
      <c r="C19" s="889" t="s">
        <v>78</v>
      </c>
      <c r="D19" s="889"/>
      <c r="E19" s="889"/>
      <c r="F19" s="889"/>
      <c r="G19" s="889"/>
      <c r="H19" s="889"/>
      <c r="I19" s="889"/>
      <c r="J19" s="889"/>
      <c r="K19" s="889"/>
      <c r="L19" s="889"/>
      <c r="M19" s="889"/>
      <c r="N19" s="889"/>
      <c r="O19" s="890"/>
      <c r="P19" s="29"/>
      <c r="Q19" s="29"/>
    </row>
    <row r="20" spans="1:17" s="31" customFormat="1" ht="45.75" customHeight="1">
      <c r="A20" s="29"/>
      <c r="B20" s="41" t="s">
        <v>79</v>
      </c>
      <c r="C20" s="889" t="s">
        <v>81</v>
      </c>
      <c r="D20" s="889"/>
      <c r="E20" s="889"/>
      <c r="F20" s="889"/>
      <c r="G20" s="889"/>
      <c r="H20" s="889"/>
      <c r="I20" s="889"/>
      <c r="J20" s="889"/>
      <c r="K20" s="889"/>
      <c r="L20" s="889"/>
      <c r="M20" s="889"/>
      <c r="N20" s="889"/>
      <c r="O20" s="890"/>
      <c r="P20" s="29"/>
      <c r="Q20" s="29"/>
    </row>
    <row r="21" spans="1:17" s="31" customFormat="1" ht="75" customHeight="1">
      <c r="A21" s="29"/>
      <c r="B21" s="41" t="s">
        <v>80</v>
      </c>
      <c r="C21" s="889" t="s">
        <v>82</v>
      </c>
      <c r="D21" s="889"/>
      <c r="E21" s="889"/>
      <c r="F21" s="889"/>
      <c r="G21" s="889"/>
      <c r="H21" s="889"/>
      <c r="I21" s="889"/>
      <c r="J21" s="889"/>
      <c r="K21" s="889"/>
      <c r="L21" s="889"/>
      <c r="M21" s="889"/>
      <c r="N21" s="889"/>
      <c r="O21" s="890"/>
      <c r="P21" s="29"/>
      <c r="Q21" s="29"/>
    </row>
    <row r="22" spans="1:17" s="31" customFormat="1" ht="45" customHeight="1">
      <c r="A22" s="29"/>
      <c r="B22" s="41" t="s">
        <v>83</v>
      </c>
      <c r="C22" s="872" t="s">
        <v>84</v>
      </c>
      <c r="D22" s="872"/>
      <c r="E22" s="872"/>
      <c r="F22" s="872"/>
      <c r="G22" s="872"/>
      <c r="H22" s="872"/>
      <c r="I22" s="872"/>
      <c r="J22" s="872"/>
      <c r="K22" s="872"/>
      <c r="L22" s="872"/>
      <c r="M22" s="872"/>
      <c r="N22" s="872"/>
      <c r="O22" s="873"/>
      <c r="P22" s="29"/>
      <c r="Q22" s="29"/>
    </row>
    <row r="23" spans="1:17" s="31" customFormat="1" ht="45.75" customHeight="1">
      <c r="A23" s="29"/>
      <c r="B23" s="41" t="s">
        <v>85</v>
      </c>
      <c r="C23" s="872" t="s">
        <v>86</v>
      </c>
      <c r="D23" s="872"/>
      <c r="E23" s="872"/>
      <c r="F23" s="872"/>
      <c r="G23" s="872"/>
      <c r="H23" s="872"/>
      <c r="I23" s="872"/>
      <c r="J23" s="872"/>
      <c r="K23" s="872"/>
      <c r="L23" s="872"/>
      <c r="M23" s="872"/>
      <c r="N23" s="872"/>
      <c r="O23" s="873"/>
      <c r="P23" s="29"/>
      <c r="Q23" s="29"/>
    </row>
    <row r="24" spans="1:17" s="31" customFormat="1" ht="45.75" customHeight="1">
      <c r="A24" s="29"/>
      <c r="B24" s="42" t="s">
        <v>24</v>
      </c>
      <c r="C24" s="872" t="s">
        <v>87</v>
      </c>
      <c r="D24" s="872"/>
      <c r="E24" s="872"/>
      <c r="F24" s="872"/>
      <c r="G24" s="872"/>
      <c r="H24" s="872"/>
      <c r="I24" s="872"/>
      <c r="J24" s="872"/>
      <c r="K24" s="872"/>
      <c r="L24" s="872"/>
      <c r="M24" s="872"/>
      <c r="N24" s="872"/>
      <c r="O24" s="873"/>
      <c r="P24" s="29"/>
      <c r="Q24" s="29"/>
    </row>
    <row r="25" spans="1:17" s="31" customFormat="1" ht="45" customHeight="1">
      <c r="A25" s="29"/>
      <c r="B25" s="52" t="s">
        <v>4</v>
      </c>
      <c r="C25" s="898" t="s">
        <v>109</v>
      </c>
      <c r="D25" s="898"/>
      <c r="E25" s="898"/>
      <c r="F25" s="898"/>
      <c r="G25" s="898"/>
      <c r="H25" s="898"/>
      <c r="I25" s="898"/>
      <c r="J25" s="898"/>
      <c r="K25" s="898"/>
      <c r="L25" s="898"/>
      <c r="M25" s="898"/>
      <c r="N25" s="898"/>
      <c r="O25" s="899"/>
      <c r="P25" s="29"/>
      <c r="Q25" s="29"/>
    </row>
    <row r="26" spans="1:17" s="31" customFormat="1" ht="75" customHeight="1">
      <c r="A26" s="29"/>
      <c r="B26" s="41" t="s">
        <v>111</v>
      </c>
      <c r="C26" s="889" t="s">
        <v>110</v>
      </c>
      <c r="D26" s="889"/>
      <c r="E26" s="889"/>
      <c r="F26" s="889"/>
      <c r="G26" s="889"/>
      <c r="H26" s="889"/>
      <c r="I26" s="889"/>
      <c r="J26" s="889"/>
      <c r="K26" s="889"/>
      <c r="L26" s="889"/>
      <c r="M26" s="889"/>
      <c r="N26" s="889"/>
      <c r="O26" s="890"/>
      <c r="P26" s="29"/>
      <c r="Q26" s="29"/>
    </row>
    <row r="27" spans="1:17" s="31" customFormat="1" ht="45.75" customHeight="1" thickBot="1">
      <c r="A27" s="29"/>
      <c r="B27" s="46" t="s">
        <v>22</v>
      </c>
      <c r="C27" s="900" t="s">
        <v>112</v>
      </c>
      <c r="D27" s="900"/>
      <c r="E27" s="900"/>
      <c r="F27" s="900"/>
      <c r="G27" s="900"/>
      <c r="H27" s="900"/>
      <c r="I27" s="900"/>
      <c r="J27" s="900"/>
      <c r="K27" s="900"/>
      <c r="L27" s="900"/>
      <c r="M27" s="900"/>
      <c r="N27" s="900"/>
      <c r="O27" s="901"/>
      <c r="P27" s="29"/>
      <c r="Q27" s="29"/>
    </row>
    <row r="29" spans="1:17" ht="12.75" customHeight="1"/>
    <row r="30" spans="1:17" ht="12.75" customHeight="1"/>
    <row r="31" spans="1:17" ht="12.75" customHeight="1"/>
    <row r="32" spans="1: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sheetProtection algorithmName="SHA-512" hashValue="L65VsnT9svUIhVUU8nnjnrEAV4PvntV91vp5GHBx4iiRY8rXjdNeLhXewPDaVW8yddzKlbVeO0IrxFQvxypRGw==" saltValue="LE7Xc/ns2mQzSMHVpzhcgg==" spinCount="100000" sheet="1" objects="1" scenarios="1"/>
  <mergeCells count="24">
    <mergeCell ref="C25:O25"/>
    <mergeCell ref="C26:O26"/>
    <mergeCell ref="C27:O27"/>
    <mergeCell ref="C16:O16"/>
    <mergeCell ref="C17:O17"/>
    <mergeCell ref="C18:O18"/>
    <mergeCell ref="C19:O19"/>
    <mergeCell ref="C20:O20"/>
    <mergeCell ref="B8:O8"/>
    <mergeCell ref="C22:O22"/>
    <mergeCell ref="C23:O23"/>
    <mergeCell ref="C24:O24"/>
    <mergeCell ref="B2:B6"/>
    <mergeCell ref="C2:M6"/>
    <mergeCell ref="N2:O2"/>
    <mergeCell ref="N5:O5"/>
    <mergeCell ref="N6:O6"/>
    <mergeCell ref="C21:O21"/>
    <mergeCell ref="B9:O9"/>
    <mergeCell ref="C11:O11"/>
    <mergeCell ref="C12:O12"/>
    <mergeCell ref="C13:O13"/>
    <mergeCell ref="C14:O14"/>
    <mergeCell ref="C15:O15"/>
  </mergeCells>
  <printOptions horizontalCentered="1" verticalCentered="1"/>
  <pageMargins left="0.19685039370078741" right="0.19685039370078741" top="0.27559055118110237" bottom="0.39370078740157483" header="0" footer="0"/>
  <pageSetup paperSize="14" scale="38" fitToWidth="0" orientation="portrait" r:id="rId1"/>
  <headerFooter alignWithMargins="0">
    <oddFooter>&amp;L&amp;11M3DE01F02-03&amp;C&amp;11Si este documento se encuentra impreso no se garantiza su vigencia, por lo tanto es copia No Controlada.  La versión vigente reposará en el link Modelo Integrado- MIPER en la intranet</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B1:O25"/>
  <sheetViews>
    <sheetView zoomScale="90" zoomScaleNormal="90" workbookViewId="0">
      <selection activeCell="AP17" sqref="AP17"/>
    </sheetView>
  </sheetViews>
  <sheetFormatPr baseColWidth="10" defaultRowHeight="15"/>
  <cols>
    <col min="1" max="1" width="4.28515625" style="26" customWidth="1"/>
    <col min="2" max="4" width="14.28515625" style="26" customWidth="1"/>
    <col min="5" max="15" width="7.140625" style="26" customWidth="1"/>
    <col min="16" max="16384" width="11.42578125" style="26"/>
  </cols>
  <sheetData>
    <row r="1" spans="2:15" ht="7.5" customHeight="1" thickBot="1"/>
    <row r="2" spans="2:15" ht="15.75" customHeight="1">
      <c r="B2" s="942"/>
      <c r="C2" s="943"/>
      <c r="D2" s="948" t="s">
        <v>59</v>
      </c>
      <c r="E2" s="948"/>
      <c r="F2" s="948"/>
      <c r="G2" s="948"/>
      <c r="H2" s="948"/>
      <c r="I2" s="948"/>
      <c r="J2" s="948"/>
      <c r="K2" s="948"/>
      <c r="L2" s="951" t="s">
        <v>39</v>
      </c>
      <c r="M2" s="952"/>
      <c r="N2" s="952"/>
      <c r="O2" s="953"/>
    </row>
    <row r="3" spans="2:15" ht="15.75" customHeight="1">
      <c r="B3" s="944"/>
      <c r="C3" s="945"/>
      <c r="D3" s="949"/>
      <c r="E3" s="949"/>
      <c r="F3" s="949"/>
      <c r="G3" s="949"/>
      <c r="H3" s="949"/>
      <c r="I3" s="949"/>
      <c r="J3" s="949"/>
      <c r="K3" s="949"/>
      <c r="L3" s="954" t="s">
        <v>36</v>
      </c>
      <c r="M3" s="955"/>
      <c r="N3" s="954" t="s">
        <v>37</v>
      </c>
      <c r="O3" s="956"/>
    </row>
    <row r="4" spans="2:15" ht="15.75" customHeight="1">
      <c r="B4" s="944"/>
      <c r="C4" s="945"/>
      <c r="D4" s="949"/>
      <c r="E4" s="949"/>
      <c r="F4" s="949"/>
      <c r="G4" s="949"/>
      <c r="H4" s="949"/>
      <c r="I4" s="949"/>
      <c r="J4" s="949"/>
      <c r="K4" s="949"/>
      <c r="L4" s="957">
        <v>3</v>
      </c>
      <c r="M4" s="958"/>
      <c r="N4" s="959" t="s">
        <v>88</v>
      </c>
      <c r="O4" s="960"/>
    </row>
    <row r="5" spans="2:15" ht="15.75" customHeight="1">
      <c r="B5" s="944"/>
      <c r="C5" s="945"/>
      <c r="D5" s="949"/>
      <c r="E5" s="949"/>
      <c r="F5" s="949"/>
      <c r="G5" s="949"/>
      <c r="H5" s="949"/>
      <c r="I5" s="949"/>
      <c r="J5" s="949"/>
      <c r="K5" s="949"/>
      <c r="L5" s="954" t="s">
        <v>38</v>
      </c>
      <c r="M5" s="961"/>
      <c r="N5" s="961"/>
      <c r="O5" s="962"/>
    </row>
    <row r="6" spans="2:15" ht="15.75" customHeight="1" thickBot="1">
      <c r="B6" s="946"/>
      <c r="C6" s="947"/>
      <c r="D6" s="950"/>
      <c r="E6" s="950"/>
      <c r="F6" s="950"/>
      <c r="G6" s="950"/>
      <c r="H6" s="950"/>
      <c r="I6" s="950"/>
      <c r="J6" s="950"/>
      <c r="K6" s="950"/>
      <c r="L6" s="963" t="s">
        <v>100</v>
      </c>
      <c r="M6" s="964"/>
      <c r="N6" s="964"/>
      <c r="O6" s="965"/>
    </row>
    <row r="8" spans="2:15" ht="22.5" customHeight="1">
      <c r="B8" s="937" t="s">
        <v>40</v>
      </c>
      <c r="C8" s="937"/>
      <c r="D8" s="937"/>
      <c r="E8" s="937"/>
      <c r="F8" s="937"/>
      <c r="G8" s="937"/>
      <c r="H8" s="937"/>
      <c r="I8" s="937"/>
      <c r="J8" s="937"/>
      <c r="K8" s="937"/>
      <c r="L8" s="937"/>
      <c r="M8" s="937"/>
      <c r="N8" s="937"/>
      <c r="O8" s="937"/>
    </row>
    <row r="9" spans="2:15" ht="37.5" customHeight="1">
      <c r="B9" s="928" t="s">
        <v>41</v>
      </c>
      <c r="C9" s="928"/>
      <c r="D9" s="928"/>
      <c r="E9" s="27">
        <v>0</v>
      </c>
      <c r="F9" s="27">
        <v>1</v>
      </c>
      <c r="G9" s="27" t="s">
        <v>89</v>
      </c>
      <c r="H9" s="27" t="s">
        <v>90</v>
      </c>
      <c r="I9" s="27">
        <v>0</v>
      </c>
      <c r="J9" s="27">
        <v>3</v>
      </c>
      <c r="K9" s="938" t="s">
        <v>94</v>
      </c>
      <c r="L9" s="938"/>
      <c r="M9" s="938"/>
      <c r="N9" s="938"/>
      <c r="O9" s="938"/>
    </row>
    <row r="10" spans="2:15" ht="15" customHeight="1">
      <c r="B10" s="928" t="s">
        <v>42</v>
      </c>
      <c r="C10" s="928"/>
      <c r="D10" s="928"/>
      <c r="E10" s="939" t="s">
        <v>43</v>
      </c>
      <c r="F10" s="939"/>
      <c r="G10" s="939"/>
      <c r="H10" s="939"/>
      <c r="I10" s="939"/>
      <c r="J10" s="939"/>
      <c r="K10" s="938"/>
      <c r="L10" s="938"/>
      <c r="M10" s="938"/>
      <c r="N10" s="938"/>
      <c r="O10" s="938"/>
    </row>
    <row r="11" spans="2:15" ht="30" customHeight="1">
      <c r="B11" s="928"/>
      <c r="C11" s="928"/>
      <c r="D11" s="928"/>
      <c r="E11" s="940">
        <v>41617</v>
      </c>
      <c r="F11" s="941"/>
      <c r="G11" s="941"/>
      <c r="H11" s="941"/>
      <c r="I11" s="941"/>
      <c r="J11" s="941"/>
      <c r="K11" s="938"/>
      <c r="L11" s="938"/>
      <c r="M11" s="938"/>
      <c r="N11" s="938"/>
      <c r="O11" s="938"/>
    </row>
    <row r="12" spans="2:15" ht="22.5" customHeight="1">
      <c r="B12" s="927" t="s">
        <v>91</v>
      </c>
      <c r="C12" s="927"/>
      <c r="D12" s="927"/>
      <c r="E12" s="927"/>
      <c r="F12" s="927"/>
      <c r="G12" s="927"/>
      <c r="H12" s="927"/>
      <c r="I12" s="927"/>
      <c r="J12" s="927"/>
      <c r="K12" s="927"/>
      <c r="L12" s="927"/>
      <c r="M12" s="927"/>
      <c r="N12" s="927"/>
      <c r="O12" s="927"/>
    </row>
    <row r="13" spans="2:15" ht="30" customHeight="1">
      <c r="B13" s="28" t="s">
        <v>44</v>
      </c>
      <c r="C13" s="928" t="s">
        <v>45</v>
      </c>
      <c r="D13" s="928"/>
      <c r="E13" s="928"/>
      <c r="F13" s="928"/>
      <c r="G13" s="928"/>
      <c r="H13" s="928"/>
      <c r="I13" s="928"/>
      <c r="J13" s="928"/>
      <c r="K13" s="928"/>
      <c r="L13" s="928"/>
      <c r="M13" s="928"/>
      <c r="N13" s="928"/>
      <c r="O13" s="928"/>
    </row>
    <row r="14" spans="2:15" ht="37.5" customHeight="1">
      <c r="B14" s="47">
        <v>2</v>
      </c>
      <c r="C14" s="929" t="s">
        <v>101</v>
      </c>
      <c r="D14" s="929"/>
      <c r="E14" s="929"/>
      <c r="F14" s="929"/>
      <c r="G14" s="929"/>
      <c r="H14" s="929"/>
      <c r="I14" s="929"/>
      <c r="J14" s="929"/>
      <c r="K14" s="929"/>
      <c r="L14" s="929"/>
      <c r="M14" s="929"/>
      <c r="N14" s="929"/>
      <c r="O14" s="929"/>
    </row>
    <row r="15" spans="2:15" ht="37.5" customHeight="1">
      <c r="B15" s="47">
        <v>3</v>
      </c>
      <c r="C15" s="929" t="s">
        <v>113</v>
      </c>
      <c r="D15" s="929"/>
      <c r="E15" s="929"/>
      <c r="F15" s="929"/>
      <c r="G15" s="929"/>
      <c r="H15" s="929"/>
      <c r="I15" s="929"/>
      <c r="J15" s="929"/>
      <c r="K15" s="929"/>
      <c r="L15" s="929"/>
      <c r="M15" s="929"/>
      <c r="N15" s="929"/>
      <c r="O15" s="929"/>
    </row>
    <row r="16" spans="2:15" ht="22.5" customHeight="1">
      <c r="B16" s="47"/>
      <c r="C16" s="929"/>
      <c r="D16" s="929"/>
      <c r="E16" s="929"/>
      <c r="F16" s="929"/>
      <c r="G16" s="929"/>
      <c r="H16" s="929"/>
      <c r="I16" s="929"/>
      <c r="J16" s="929"/>
      <c r="K16" s="929"/>
      <c r="L16" s="929"/>
      <c r="M16" s="929"/>
      <c r="N16" s="929"/>
      <c r="O16" s="929"/>
    </row>
    <row r="17" spans="2:15" ht="22.5" customHeight="1">
      <c r="B17" s="927" t="s">
        <v>46</v>
      </c>
      <c r="C17" s="927"/>
      <c r="D17" s="927"/>
      <c r="E17" s="927"/>
      <c r="F17" s="927"/>
      <c r="G17" s="927"/>
      <c r="H17" s="927"/>
      <c r="I17" s="927"/>
      <c r="J17" s="927"/>
      <c r="K17" s="927"/>
      <c r="L17" s="927"/>
      <c r="M17" s="927"/>
      <c r="N17" s="927"/>
      <c r="O17" s="927"/>
    </row>
    <row r="18" spans="2:15" ht="15" customHeight="1">
      <c r="B18" s="928" t="s">
        <v>44</v>
      </c>
      <c r="C18" s="930" t="s">
        <v>47</v>
      </c>
      <c r="D18" s="931"/>
      <c r="E18" s="931"/>
      <c r="F18" s="931"/>
      <c r="G18" s="932"/>
      <c r="H18" s="936" t="s">
        <v>48</v>
      </c>
      <c r="I18" s="936"/>
      <c r="J18" s="936"/>
      <c r="K18" s="928" t="s">
        <v>49</v>
      </c>
      <c r="L18" s="928"/>
      <c r="M18" s="930" t="s">
        <v>50</v>
      </c>
      <c r="N18" s="931"/>
      <c r="O18" s="932"/>
    </row>
    <row r="19" spans="2:15" ht="15" customHeight="1">
      <c r="B19" s="928"/>
      <c r="C19" s="933"/>
      <c r="D19" s="934"/>
      <c r="E19" s="934"/>
      <c r="F19" s="934"/>
      <c r="G19" s="935"/>
      <c r="H19" s="28" t="s">
        <v>51</v>
      </c>
      <c r="I19" s="28" t="s">
        <v>52</v>
      </c>
      <c r="J19" s="28" t="s">
        <v>53</v>
      </c>
      <c r="K19" s="928"/>
      <c r="L19" s="928"/>
      <c r="M19" s="933"/>
      <c r="N19" s="934"/>
      <c r="O19" s="935"/>
    </row>
    <row r="20" spans="2:15" ht="37.5" customHeight="1">
      <c r="B20" s="47">
        <v>2</v>
      </c>
      <c r="C20" s="916" t="s">
        <v>97</v>
      </c>
      <c r="D20" s="917"/>
      <c r="E20" s="917"/>
      <c r="F20" s="917"/>
      <c r="G20" s="918"/>
      <c r="H20" s="49" t="s">
        <v>96</v>
      </c>
      <c r="I20" s="47">
        <v>12</v>
      </c>
      <c r="J20" s="47">
        <v>2016</v>
      </c>
      <c r="K20" s="923">
        <v>1</v>
      </c>
      <c r="L20" s="923"/>
      <c r="M20" s="924" t="s">
        <v>98</v>
      </c>
      <c r="N20" s="925"/>
      <c r="O20" s="926"/>
    </row>
    <row r="21" spans="2:15" ht="37.5" customHeight="1">
      <c r="B21" s="50">
        <v>3</v>
      </c>
      <c r="C21" s="909" t="s">
        <v>104</v>
      </c>
      <c r="D21" s="910"/>
      <c r="E21" s="910"/>
      <c r="F21" s="910"/>
      <c r="G21" s="911"/>
      <c r="H21" s="51" t="s">
        <v>105</v>
      </c>
      <c r="I21" s="51" t="s">
        <v>106</v>
      </c>
      <c r="J21" s="50">
        <v>2017</v>
      </c>
      <c r="K21" s="912">
        <v>1</v>
      </c>
      <c r="L21" s="912"/>
      <c r="M21" s="913" t="s">
        <v>98</v>
      </c>
      <c r="N21" s="914"/>
      <c r="O21" s="915"/>
    </row>
    <row r="22" spans="2:15" ht="22.5" customHeight="1">
      <c r="B22" s="48"/>
      <c r="C22" s="916"/>
      <c r="D22" s="917"/>
      <c r="E22" s="917"/>
      <c r="F22" s="917"/>
      <c r="G22" s="918"/>
      <c r="H22" s="48"/>
      <c r="I22" s="48"/>
      <c r="J22" s="48"/>
      <c r="K22" s="919"/>
      <c r="L22" s="919"/>
      <c r="M22" s="920"/>
      <c r="N22" s="921"/>
      <c r="O22" s="922"/>
    </row>
    <row r="23" spans="2:15" ht="7.5" customHeight="1" thickBot="1"/>
    <row r="24" spans="2:15" ht="22.5" customHeight="1">
      <c r="B24" s="902" t="s">
        <v>54</v>
      </c>
      <c r="C24" s="903"/>
      <c r="D24" s="903"/>
      <c r="E24" s="903" t="s">
        <v>55</v>
      </c>
      <c r="F24" s="903"/>
      <c r="G24" s="903"/>
      <c r="H24" s="903"/>
      <c r="I24" s="903"/>
      <c r="J24" s="903"/>
      <c r="K24" s="903" t="s">
        <v>56</v>
      </c>
      <c r="L24" s="903"/>
      <c r="M24" s="903"/>
      <c r="N24" s="903"/>
      <c r="O24" s="904"/>
    </row>
    <row r="25" spans="2:15" ht="60" customHeight="1" thickBot="1">
      <c r="B25" s="905" t="s">
        <v>99</v>
      </c>
      <c r="C25" s="906"/>
      <c r="D25" s="906"/>
      <c r="E25" s="906" t="s">
        <v>92</v>
      </c>
      <c r="F25" s="906"/>
      <c r="G25" s="906"/>
      <c r="H25" s="906"/>
      <c r="I25" s="906"/>
      <c r="J25" s="906"/>
      <c r="K25" s="906" t="s">
        <v>93</v>
      </c>
      <c r="L25" s="907"/>
      <c r="M25" s="907"/>
      <c r="N25" s="907"/>
      <c r="O25" s="908"/>
    </row>
  </sheetData>
  <sheetProtection algorithmName="SHA-512" hashValue="XE18bFgg1iXIoCt1C4cmz5A1fZmQyHlmHUlCY67C+JNmT4DKergRP7egBwvIt0EibLG+w+OF2aOYj/b/8bEWOQ==" saltValue="KOVlK4YULK2pcHRj5yJOxw==" spinCount="100000" sheet="1" objects="1" scenarios="1"/>
  <mergeCells count="41">
    <mergeCell ref="B2:C6"/>
    <mergeCell ref="D2:K6"/>
    <mergeCell ref="L2:O2"/>
    <mergeCell ref="L3:M3"/>
    <mergeCell ref="N3:O3"/>
    <mergeCell ref="L4:M4"/>
    <mergeCell ref="N4:O4"/>
    <mergeCell ref="L5:O5"/>
    <mergeCell ref="L6:O6"/>
    <mergeCell ref="B8:O8"/>
    <mergeCell ref="B9:D9"/>
    <mergeCell ref="K9:O11"/>
    <mergeCell ref="B10:D11"/>
    <mergeCell ref="E10:J10"/>
    <mergeCell ref="E11:J11"/>
    <mergeCell ref="C20:G20"/>
    <mergeCell ref="K20:L20"/>
    <mergeCell ref="M20:O20"/>
    <mergeCell ref="B12:O12"/>
    <mergeCell ref="C13:O13"/>
    <mergeCell ref="C14:O14"/>
    <mergeCell ref="C15:O15"/>
    <mergeCell ref="C16:O16"/>
    <mergeCell ref="B17:O17"/>
    <mergeCell ref="B18:B19"/>
    <mergeCell ref="C18:G19"/>
    <mergeCell ref="H18:J18"/>
    <mergeCell ref="K18:L19"/>
    <mergeCell ref="M18:O19"/>
    <mergeCell ref="C21:G21"/>
    <mergeCell ref="K21:L21"/>
    <mergeCell ref="M21:O21"/>
    <mergeCell ref="C22:G22"/>
    <mergeCell ref="K22:L22"/>
    <mergeCell ref="M22:O22"/>
    <mergeCell ref="B24:D24"/>
    <mergeCell ref="E24:J24"/>
    <mergeCell ref="K24:O24"/>
    <mergeCell ref="B25:D25"/>
    <mergeCell ref="E25:J25"/>
    <mergeCell ref="K25:O2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13164-F5C3-496D-BDE5-FF3037908585}">
  <sheetPr>
    <tabColor rgb="FF7030A0"/>
  </sheetPr>
  <dimension ref="B3:E18"/>
  <sheetViews>
    <sheetView showGridLines="0" workbookViewId="0">
      <selection activeCell="C9" sqref="C9"/>
    </sheetView>
  </sheetViews>
  <sheetFormatPr baseColWidth="10" defaultRowHeight="12.75"/>
  <cols>
    <col min="1" max="1" width="6" customWidth="1"/>
    <col min="2" max="2" width="41" customWidth="1"/>
    <col min="3" max="3" width="41.28515625" customWidth="1"/>
    <col min="4" max="4" width="47.7109375" bestFit="1" customWidth="1"/>
    <col min="5" max="5" width="43.28515625" customWidth="1"/>
  </cols>
  <sheetData>
    <row r="3" spans="2:5">
      <c r="B3" s="569" t="s">
        <v>819</v>
      </c>
      <c r="C3" s="569"/>
      <c r="D3" s="569"/>
      <c r="E3" s="569"/>
    </row>
    <row r="5" spans="2:5" ht="31.5">
      <c r="B5" s="235" t="s">
        <v>793</v>
      </c>
      <c r="C5" s="235" t="s">
        <v>794</v>
      </c>
      <c r="D5" s="425" t="s">
        <v>804</v>
      </c>
      <c r="E5" s="425" t="s">
        <v>807</v>
      </c>
    </row>
    <row r="6" spans="2:5" ht="51">
      <c r="B6" s="570" t="s">
        <v>795</v>
      </c>
      <c r="C6" s="371" t="s">
        <v>796</v>
      </c>
      <c r="D6" s="367" t="s">
        <v>577</v>
      </c>
      <c r="E6" s="573" t="s">
        <v>815</v>
      </c>
    </row>
    <row r="7" spans="2:5" ht="38.25">
      <c r="B7" s="571"/>
      <c r="C7" s="371" t="s">
        <v>797</v>
      </c>
      <c r="D7" s="367" t="s">
        <v>577</v>
      </c>
      <c r="E7" s="574"/>
    </row>
    <row r="8" spans="2:5" ht="60" customHeight="1">
      <c r="B8" s="571"/>
      <c r="C8" s="371" t="s">
        <v>798</v>
      </c>
      <c r="D8" s="367" t="s">
        <v>578</v>
      </c>
      <c r="E8" s="574"/>
    </row>
    <row r="9" spans="2:5" ht="99.75" customHeight="1">
      <c r="B9" s="572"/>
      <c r="C9" s="371" t="s">
        <v>799</v>
      </c>
      <c r="D9" s="367" t="s">
        <v>579</v>
      </c>
      <c r="E9" s="575"/>
    </row>
    <row r="10" spans="2:5" ht="31.5">
      <c r="B10" s="235" t="s">
        <v>793</v>
      </c>
      <c r="C10" s="235" t="s">
        <v>794</v>
      </c>
      <c r="D10" s="425" t="s">
        <v>804</v>
      </c>
      <c r="E10" s="425" t="s">
        <v>807</v>
      </c>
    </row>
    <row r="11" spans="2:5" ht="102" customHeight="1">
      <c r="B11" s="570" t="s">
        <v>800</v>
      </c>
      <c r="C11" s="369" t="s">
        <v>801</v>
      </c>
      <c r="D11" s="367" t="s">
        <v>572</v>
      </c>
      <c r="E11" s="573" t="s">
        <v>816</v>
      </c>
    </row>
    <row r="12" spans="2:5" ht="60">
      <c r="B12" s="571"/>
      <c r="C12" s="369" t="s">
        <v>802</v>
      </c>
      <c r="D12" s="370" t="s">
        <v>805</v>
      </c>
      <c r="E12" s="574"/>
    </row>
    <row r="13" spans="2:5" ht="69.75" customHeight="1">
      <c r="B13" s="571"/>
      <c r="C13" s="369" t="s">
        <v>803</v>
      </c>
      <c r="D13" s="367" t="s">
        <v>581</v>
      </c>
      <c r="E13" s="575"/>
    </row>
    <row r="14" spans="2:5" ht="31.5">
      <c r="B14" s="235" t="s">
        <v>793</v>
      </c>
      <c r="C14" s="235" t="s">
        <v>794</v>
      </c>
      <c r="D14" s="425" t="s">
        <v>804</v>
      </c>
      <c r="E14" s="425" t="s">
        <v>807</v>
      </c>
    </row>
    <row r="15" spans="2:5" ht="69" customHeight="1">
      <c r="B15" s="570" t="s">
        <v>806</v>
      </c>
      <c r="C15" s="369" t="s">
        <v>808</v>
      </c>
      <c r="D15" s="370" t="s">
        <v>810</v>
      </c>
      <c r="E15" s="573" t="s">
        <v>817</v>
      </c>
    </row>
    <row r="16" spans="2:5" ht="72" customHeight="1">
      <c r="B16" s="572"/>
      <c r="C16" s="369" t="s">
        <v>809</v>
      </c>
      <c r="D16" s="367" t="s">
        <v>811</v>
      </c>
      <c r="E16" s="575"/>
    </row>
    <row r="17" spans="2:5" ht="63.75">
      <c r="B17" s="570" t="s">
        <v>812</v>
      </c>
      <c r="C17" s="369" t="s">
        <v>813</v>
      </c>
      <c r="D17" s="367" t="s">
        <v>577</v>
      </c>
      <c r="E17" s="573" t="s">
        <v>818</v>
      </c>
    </row>
    <row r="18" spans="2:5" ht="51">
      <c r="B18" s="572"/>
      <c r="C18" s="368" t="s">
        <v>814</v>
      </c>
      <c r="D18" s="367" t="s">
        <v>811</v>
      </c>
      <c r="E18" s="575"/>
    </row>
  </sheetData>
  <sheetProtection algorithmName="SHA-512" hashValue="pqNMGDkrHtGGnEL3GVxX58prv3fBQRdySGWzXajYI8z1XNiZo8/1+FBXHT2N8K46Y6fnFUkIQMOwj7HOJVYehg==" saltValue="12dJ/UifmZR79WagrjUiOg==" spinCount="100000" sheet="1" objects="1" scenarios="1"/>
  <mergeCells count="9">
    <mergeCell ref="B3:E3"/>
    <mergeCell ref="B6:B9"/>
    <mergeCell ref="B11:B13"/>
    <mergeCell ref="B15:B16"/>
    <mergeCell ref="B17:B18"/>
    <mergeCell ref="E6:E9"/>
    <mergeCell ref="E11:E13"/>
    <mergeCell ref="E15:E16"/>
    <mergeCell ref="E17:E18"/>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16800-AAE9-4F46-B98D-AAD1B64B974E}">
  <sheetPr>
    <tabColor rgb="FF7030A0"/>
  </sheetPr>
  <dimension ref="B1:Q65"/>
  <sheetViews>
    <sheetView showGridLines="0" topLeftCell="B8" workbookViewId="0">
      <selection activeCell="D19" sqref="D19"/>
    </sheetView>
  </sheetViews>
  <sheetFormatPr baseColWidth="10" defaultColWidth="11.42578125" defaultRowHeight="0" customHeight="1" zeroHeight="1"/>
  <cols>
    <col min="1" max="1" width="3.7109375" style="229" customWidth="1"/>
    <col min="2" max="2" width="52.42578125" style="229" customWidth="1"/>
    <col min="3" max="5" width="23.5703125" style="233" customWidth="1"/>
    <col min="6" max="6" width="23.5703125" style="229" customWidth="1"/>
    <col min="7" max="7" width="6.140625" style="233" hidden="1" customWidth="1"/>
    <col min="8" max="8" width="0" style="229" hidden="1" customWidth="1"/>
    <col min="9" max="15" width="11.42578125" style="229"/>
    <col min="16" max="16" width="62.42578125" style="229" bestFit="1" customWidth="1"/>
    <col min="17" max="17" width="40" style="229" customWidth="1"/>
    <col min="18" max="16355" width="11.42578125" style="229"/>
    <col min="16356" max="16356" width="1.42578125" style="229" customWidth="1"/>
    <col min="16357" max="16384" width="2.85546875" style="229" customWidth="1"/>
  </cols>
  <sheetData>
    <row r="1" spans="2:17" ht="15" hidden="1">
      <c r="C1" s="230"/>
      <c r="D1" s="230"/>
      <c r="E1" s="230"/>
    </row>
    <row r="2" spans="2:17" ht="15.75" hidden="1">
      <c r="B2" s="580" t="s">
        <v>825</v>
      </c>
      <c r="C2" s="580"/>
      <c r="D2" s="580"/>
      <c r="E2" s="580"/>
      <c r="F2" s="580"/>
      <c r="G2" s="424"/>
    </row>
    <row r="3" spans="2:17" ht="18" hidden="1">
      <c r="B3" s="581" t="s">
        <v>659</v>
      </c>
      <c r="C3" s="581"/>
      <c r="D3" s="581"/>
      <c r="E3" s="581"/>
      <c r="F3" s="581"/>
      <c r="G3" s="424"/>
    </row>
    <row r="4" spans="2:17" ht="9.75" customHeight="1">
      <c r="B4" s="582"/>
      <c r="C4" s="582"/>
      <c r="D4" s="582"/>
      <c r="E4" s="582"/>
      <c r="F4" s="582"/>
      <c r="G4" s="401"/>
    </row>
    <row r="5" spans="2:17" ht="19.5" customHeight="1">
      <c r="B5" s="229" t="str">
        <f>'Informe Cons. Desempeño - Sgto.'!C6</f>
        <v>Fecha de corte: 31 de diciembre de 2020</v>
      </c>
    </row>
    <row r="6" spans="2:17" ht="19.5" hidden="1" customHeight="1">
      <c r="B6" s="234"/>
    </row>
    <row r="7" spans="2:17" ht="19.5" hidden="1" customHeight="1" thickBot="1">
      <c r="B7" s="234"/>
    </row>
    <row r="8" spans="2:17" ht="19.5" customHeight="1" thickBot="1">
      <c r="B8" s="234"/>
    </row>
    <row r="9" spans="2:17" s="242" customFormat="1" ht="31.5" customHeight="1" thickBot="1">
      <c r="B9" s="578" t="s">
        <v>668</v>
      </c>
      <c r="C9" s="576" t="s">
        <v>827</v>
      </c>
      <c r="D9" s="576"/>
      <c r="E9" s="576"/>
      <c r="F9" s="577"/>
      <c r="G9" s="243"/>
      <c r="P9" s="229"/>
      <c r="Q9" s="229"/>
    </row>
    <row r="10" spans="2:17" s="242" customFormat="1" ht="51" customHeight="1" thickBot="1">
      <c r="B10" s="579"/>
      <c r="C10" s="423" t="s">
        <v>826</v>
      </c>
      <c r="D10" s="410" t="s">
        <v>886</v>
      </c>
      <c r="E10" s="410" t="s">
        <v>884</v>
      </c>
      <c r="F10" s="411" t="s">
        <v>885</v>
      </c>
      <c r="G10" s="243"/>
      <c r="P10" s="229"/>
      <c r="Q10" s="229"/>
    </row>
    <row r="11" spans="2:17" ht="31.5" customHeight="1">
      <c r="B11" s="412" t="s">
        <v>570</v>
      </c>
      <c r="C11" s="413">
        <f>'Informe Cons. Desempeño - Sgto.'!D9</f>
        <v>6</v>
      </c>
      <c r="D11" s="414">
        <v>5</v>
      </c>
      <c r="E11" s="415">
        <v>0</v>
      </c>
      <c r="F11" s="416">
        <v>1</v>
      </c>
      <c r="G11" s="405">
        <f t="shared" ref="G11:G27" si="0">SUM(D11:F11)</f>
        <v>6</v>
      </c>
      <c r="H11" s="402">
        <f t="shared" ref="H11:H27" si="1">C11-G11</f>
        <v>0</v>
      </c>
    </row>
    <row r="12" spans="2:17" ht="15">
      <c r="B12" s="271" t="s">
        <v>571</v>
      </c>
      <c r="C12" s="269">
        <f>'Informe Cons. Desempeño - Sgto.'!D10</f>
        <v>3</v>
      </c>
      <c r="D12" s="404">
        <v>0</v>
      </c>
      <c r="E12" s="403">
        <v>3</v>
      </c>
      <c r="F12" s="417">
        <v>0</v>
      </c>
      <c r="G12" s="405">
        <f t="shared" si="0"/>
        <v>3</v>
      </c>
      <c r="H12" s="402">
        <f t="shared" si="1"/>
        <v>0</v>
      </c>
    </row>
    <row r="13" spans="2:17" ht="15">
      <c r="B13" s="271" t="s">
        <v>572</v>
      </c>
      <c r="C13" s="269">
        <f>'Informe Cons. Desempeño - Sgto.'!D11</f>
        <v>6</v>
      </c>
      <c r="D13" s="404">
        <v>2</v>
      </c>
      <c r="E13" s="403">
        <v>3</v>
      </c>
      <c r="F13" s="417">
        <v>1</v>
      </c>
      <c r="G13" s="405">
        <f t="shared" si="0"/>
        <v>6</v>
      </c>
      <c r="H13" s="402">
        <f t="shared" si="1"/>
        <v>0</v>
      </c>
    </row>
    <row r="14" spans="2:17" ht="15">
      <c r="B14" s="271" t="s">
        <v>573</v>
      </c>
      <c r="C14" s="269">
        <f>'Informe Cons. Desempeño - Sgto.'!D12</f>
        <v>5</v>
      </c>
      <c r="D14" s="404">
        <v>5</v>
      </c>
      <c r="E14" s="403">
        <v>0</v>
      </c>
      <c r="F14" s="417">
        <v>0</v>
      </c>
      <c r="G14" s="405">
        <f t="shared" si="0"/>
        <v>5</v>
      </c>
      <c r="H14" s="402">
        <f t="shared" si="1"/>
        <v>0</v>
      </c>
    </row>
    <row r="15" spans="2:17" ht="15">
      <c r="B15" s="271" t="s">
        <v>574</v>
      </c>
      <c r="C15" s="269">
        <f>'Informe Cons. Desempeño - Sgto.'!D13</f>
        <v>3</v>
      </c>
      <c r="D15" s="404">
        <v>3</v>
      </c>
      <c r="E15" s="403">
        <v>0</v>
      </c>
      <c r="F15" s="417">
        <v>0</v>
      </c>
      <c r="G15" s="405">
        <f t="shared" si="0"/>
        <v>3</v>
      </c>
      <c r="H15" s="402">
        <f t="shared" si="1"/>
        <v>0</v>
      </c>
    </row>
    <row r="16" spans="2:17" ht="15">
      <c r="B16" s="271" t="s">
        <v>577</v>
      </c>
      <c r="C16" s="269">
        <f>'Informe Cons. Desempeño - Sgto.'!D15</f>
        <v>18</v>
      </c>
      <c r="D16" s="404">
        <v>5</v>
      </c>
      <c r="E16" s="403">
        <v>10</v>
      </c>
      <c r="F16" s="417">
        <v>3</v>
      </c>
      <c r="G16" s="405">
        <f t="shared" si="0"/>
        <v>18</v>
      </c>
      <c r="H16" s="402">
        <f t="shared" si="1"/>
        <v>0</v>
      </c>
    </row>
    <row r="17" spans="2:8" ht="15">
      <c r="B17" s="271" t="s">
        <v>578</v>
      </c>
      <c r="C17" s="269">
        <f>'Informe Cons. Desempeño - Sgto.'!D16</f>
        <v>6</v>
      </c>
      <c r="D17" s="404">
        <v>2</v>
      </c>
      <c r="E17" s="403">
        <v>2</v>
      </c>
      <c r="F17" s="417">
        <v>2</v>
      </c>
      <c r="G17" s="405">
        <f t="shared" si="0"/>
        <v>6</v>
      </c>
      <c r="H17" s="402">
        <f t="shared" si="1"/>
        <v>0</v>
      </c>
    </row>
    <row r="18" spans="2:8" ht="15">
      <c r="B18" s="271" t="s">
        <v>579</v>
      </c>
      <c r="C18" s="269">
        <f>'Informe Cons. Desempeño - Sgto.'!D17</f>
        <v>4</v>
      </c>
      <c r="D18" s="404">
        <v>1</v>
      </c>
      <c r="E18" s="403">
        <v>1</v>
      </c>
      <c r="F18" s="417">
        <v>2</v>
      </c>
      <c r="G18" s="405">
        <f t="shared" si="0"/>
        <v>4</v>
      </c>
      <c r="H18" s="402">
        <f t="shared" si="1"/>
        <v>0</v>
      </c>
    </row>
    <row r="19" spans="2:8" ht="15">
      <c r="B19" s="271" t="s">
        <v>581</v>
      </c>
      <c r="C19" s="269">
        <f>'Informe Cons. Desempeño - Sgto.'!D19</f>
        <v>13</v>
      </c>
      <c r="D19" s="404">
        <v>6</v>
      </c>
      <c r="E19" s="403">
        <v>4</v>
      </c>
      <c r="F19" s="417">
        <v>3</v>
      </c>
      <c r="G19" s="405">
        <f t="shared" si="0"/>
        <v>13</v>
      </c>
      <c r="H19" s="402">
        <f t="shared" si="1"/>
        <v>0</v>
      </c>
    </row>
    <row r="20" spans="2:8" ht="16.5" customHeight="1">
      <c r="B20" s="271" t="s">
        <v>582</v>
      </c>
      <c r="C20" s="269">
        <f>'Informe Cons. Desempeño - Sgto.'!D20</f>
        <v>6</v>
      </c>
      <c r="D20" s="404">
        <v>0</v>
      </c>
      <c r="E20" s="403">
        <v>6</v>
      </c>
      <c r="F20" s="417">
        <v>0</v>
      </c>
      <c r="G20" s="405">
        <f t="shared" si="0"/>
        <v>6</v>
      </c>
      <c r="H20" s="402">
        <f t="shared" si="1"/>
        <v>0</v>
      </c>
    </row>
    <row r="21" spans="2:8" ht="15">
      <c r="B21" s="271" t="s">
        <v>583</v>
      </c>
      <c r="C21" s="269">
        <f>'Informe Cons. Desempeño - Sgto.'!D21</f>
        <v>1</v>
      </c>
      <c r="D21" s="404">
        <v>0</v>
      </c>
      <c r="E21" s="403">
        <v>0</v>
      </c>
      <c r="F21" s="417">
        <v>1</v>
      </c>
      <c r="G21" s="405">
        <f t="shared" si="0"/>
        <v>1</v>
      </c>
      <c r="H21" s="402">
        <f t="shared" si="1"/>
        <v>0</v>
      </c>
    </row>
    <row r="22" spans="2:8" ht="15">
      <c r="B22" s="271" t="s">
        <v>584</v>
      </c>
      <c r="C22" s="269">
        <f>'Informe Cons. Desempeño - Sgto.'!D22</f>
        <v>1</v>
      </c>
      <c r="D22" s="404">
        <v>1</v>
      </c>
      <c r="E22" s="403">
        <v>0</v>
      </c>
      <c r="F22" s="417">
        <v>0</v>
      </c>
      <c r="G22" s="405">
        <f t="shared" si="0"/>
        <v>1</v>
      </c>
      <c r="H22" s="402">
        <f t="shared" si="1"/>
        <v>0</v>
      </c>
    </row>
    <row r="23" spans="2:8" ht="15">
      <c r="B23" s="271" t="s">
        <v>585</v>
      </c>
      <c r="C23" s="269">
        <f>'Informe Cons. Desempeño - Sgto.'!D23</f>
        <v>3</v>
      </c>
      <c r="D23" s="404">
        <v>0</v>
      </c>
      <c r="E23" s="403">
        <v>3</v>
      </c>
      <c r="F23" s="417">
        <v>0</v>
      </c>
      <c r="G23" s="405">
        <f t="shared" si="0"/>
        <v>3</v>
      </c>
      <c r="H23" s="402">
        <f t="shared" si="1"/>
        <v>0</v>
      </c>
    </row>
    <row r="24" spans="2:8" ht="15">
      <c r="B24" s="271" t="s">
        <v>586</v>
      </c>
      <c r="C24" s="269">
        <f>'Informe Cons. Desempeño - Sgto.'!D24</f>
        <v>5</v>
      </c>
      <c r="D24" s="404">
        <v>5</v>
      </c>
      <c r="E24" s="403">
        <v>0</v>
      </c>
      <c r="F24" s="417">
        <v>0</v>
      </c>
      <c r="G24" s="405">
        <f t="shared" si="0"/>
        <v>5</v>
      </c>
      <c r="H24" s="402">
        <f t="shared" si="1"/>
        <v>0</v>
      </c>
    </row>
    <row r="25" spans="2:8" ht="15">
      <c r="B25" s="271" t="s">
        <v>588</v>
      </c>
      <c r="C25" s="269">
        <f>'Informe Cons. Desempeño - Sgto.'!D26</f>
        <v>4</v>
      </c>
      <c r="D25" s="404">
        <v>2</v>
      </c>
      <c r="E25" s="403">
        <v>2</v>
      </c>
      <c r="F25" s="417">
        <v>0</v>
      </c>
      <c r="G25" s="405">
        <f t="shared" si="0"/>
        <v>4</v>
      </c>
      <c r="H25" s="402">
        <f t="shared" si="1"/>
        <v>0</v>
      </c>
    </row>
    <row r="26" spans="2:8" ht="15.75" thickBot="1">
      <c r="B26" s="418" t="s">
        <v>589</v>
      </c>
      <c r="C26" s="419">
        <f>'Informe Cons. Desempeño - Sgto.'!D27</f>
        <v>8</v>
      </c>
      <c r="D26" s="420">
        <v>8</v>
      </c>
      <c r="E26" s="421">
        <v>0</v>
      </c>
      <c r="F26" s="422">
        <v>0</v>
      </c>
      <c r="G26" s="405">
        <f t="shared" si="0"/>
        <v>8</v>
      </c>
      <c r="H26" s="402">
        <f t="shared" si="1"/>
        <v>0</v>
      </c>
    </row>
    <row r="27" spans="2:8" ht="19.5" customHeight="1" thickBot="1">
      <c r="B27" s="280" t="s">
        <v>762</v>
      </c>
      <c r="C27" s="406">
        <f>SUM(C11:C26)</f>
        <v>92</v>
      </c>
      <c r="D27" s="407">
        <f t="shared" ref="D27:E27" si="2">SUM(D11:D26)</f>
        <v>45</v>
      </c>
      <c r="E27" s="408">
        <f t="shared" si="2"/>
        <v>34</v>
      </c>
      <c r="F27" s="409">
        <f>SUM(F11:F26)</f>
        <v>13</v>
      </c>
      <c r="G27" s="405">
        <f t="shared" si="0"/>
        <v>92</v>
      </c>
      <c r="H27" s="402">
        <f t="shared" si="1"/>
        <v>0</v>
      </c>
    </row>
    <row r="28" spans="2:8" ht="15" hidden="1"/>
    <row r="29" spans="2:8" ht="15" hidden="1"/>
    <row r="30" spans="2:8" ht="15" hidden="1"/>
    <row r="31" spans="2:8" ht="15" hidden="1"/>
    <row r="32" spans="2:8" ht="15" hidden="1"/>
    <row r="33" ht="15" hidden="1"/>
    <row r="34" ht="15" hidden="1"/>
    <row r="35" ht="15" hidden="1"/>
    <row r="36" ht="15" hidden="1"/>
    <row r="37" ht="15" hidden="1"/>
    <row r="38" ht="15" hidden="1"/>
    <row r="39" ht="15" hidden="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sheetData>
  <sheetProtection algorithmName="SHA-512" hashValue="EEDt2l9a/PrI1zsQbzf0gthgKr6nlm0zv2NaR80eFG5Dqi+KNmzKGslA2eAS7LBxjlvh3u+WkmmN4u/td+cxng==" saltValue="ETyFxHb5Vmh0F2Wx8d8AQQ==" spinCount="100000" sheet="1" objects="1" scenarios="1"/>
  <mergeCells count="5">
    <mergeCell ref="C9:F9"/>
    <mergeCell ref="B9:B10"/>
    <mergeCell ref="B2:F2"/>
    <mergeCell ref="B3:F3"/>
    <mergeCell ref="B4:F4"/>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65"/>
  <sheetViews>
    <sheetView showGridLines="0" zoomScale="85" zoomScaleNormal="85" workbookViewId="0">
      <selection activeCell="C21" sqref="C21"/>
    </sheetView>
  </sheetViews>
  <sheetFormatPr baseColWidth="10" defaultColWidth="11.42578125" defaultRowHeight="15" customHeight="1" zeroHeight="1"/>
  <cols>
    <col min="1" max="1" width="3.7109375" style="229" customWidth="1"/>
    <col min="2" max="2" width="76.7109375" style="229" customWidth="1"/>
    <col min="3" max="3" width="30.5703125" style="233" customWidth="1"/>
    <col min="4" max="5" width="21.5703125" style="233" customWidth="1"/>
    <col min="6" max="6" width="19.42578125" style="229" customWidth="1"/>
    <col min="7" max="7" width="47" style="229" customWidth="1"/>
    <col min="8" max="15" width="11.42578125" style="229"/>
    <col min="16" max="16" width="62.42578125" style="229" bestFit="1" customWidth="1"/>
    <col min="17" max="17" width="40" style="229" customWidth="1"/>
    <col min="18" max="16355" width="11.42578125" style="229"/>
    <col min="16356" max="16356" width="1.42578125" style="229" customWidth="1"/>
    <col min="16357" max="16384" width="2.85546875" style="229" customWidth="1"/>
  </cols>
  <sheetData>
    <row r="1" spans="2:7">
      <c r="C1" s="230"/>
      <c r="D1" s="230"/>
      <c r="E1" s="230"/>
    </row>
    <row r="2" spans="2:7" ht="15.75">
      <c r="B2" s="580" t="s">
        <v>760</v>
      </c>
      <c r="C2" s="580"/>
      <c r="D2" s="580"/>
      <c r="E2" s="580"/>
      <c r="F2" s="580"/>
      <c r="G2" s="231"/>
    </row>
    <row r="3" spans="2:7" ht="18">
      <c r="B3" s="581" t="s">
        <v>659</v>
      </c>
      <c r="C3" s="581"/>
      <c r="D3" s="581"/>
      <c r="E3" s="581"/>
      <c r="F3" s="581"/>
      <c r="G3" s="231"/>
    </row>
    <row r="4" spans="2:7" ht="20.25">
      <c r="B4" s="582" t="s">
        <v>774</v>
      </c>
      <c r="C4" s="582"/>
      <c r="D4" s="582"/>
      <c r="E4" s="582"/>
      <c r="F4" s="582"/>
      <c r="G4" s="232"/>
    </row>
    <row r="5" spans="2:7" ht="19.5" customHeight="1">
      <c r="B5" s="229" t="str">
        <f>'Informe Cons. Desempeño - Sgto.'!C6</f>
        <v>Fecha de corte: 31 de diciembre de 2020</v>
      </c>
    </row>
    <row r="6" spans="2:7" ht="19.5" hidden="1" customHeight="1">
      <c r="B6" s="234"/>
    </row>
    <row r="7" spans="2:7" ht="19.5" hidden="1" customHeight="1">
      <c r="B7" s="234"/>
    </row>
    <row r="8" spans="2:7" ht="19.5" customHeight="1">
      <c r="B8" s="234"/>
    </row>
    <row r="9" spans="2:7" ht="54" customHeight="1">
      <c r="B9" s="235" t="s">
        <v>566</v>
      </c>
      <c r="C9" s="236" t="s">
        <v>792</v>
      </c>
      <c r="D9" s="237"/>
      <c r="E9" s="229"/>
    </row>
    <row r="10" spans="2:7">
      <c r="B10" s="238" t="s">
        <v>570</v>
      </c>
      <c r="C10" s="277">
        <f>'Informe Cons. Desempeño - Sgto.'!G9</f>
        <v>0.99921666666666675</v>
      </c>
      <c r="D10" s="239"/>
      <c r="E10" s="229"/>
    </row>
    <row r="11" spans="2:7">
      <c r="B11" s="238" t="s">
        <v>571</v>
      </c>
      <c r="C11" s="277">
        <f>'Informe Cons. Desempeño - Sgto.'!G10</f>
        <v>1.675</v>
      </c>
      <c r="D11" s="239"/>
      <c r="E11" s="229"/>
    </row>
    <row r="12" spans="2:7">
      <c r="B12" s="238" t="s">
        <v>572</v>
      </c>
      <c r="C12" s="277">
        <f>'Informe Cons. Desempeño - Sgto.'!G11</f>
        <v>1.0263394216133941</v>
      </c>
      <c r="D12" s="239"/>
      <c r="E12" s="229"/>
    </row>
    <row r="13" spans="2:7">
      <c r="B13" s="238" t="s">
        <v>573</v>
      </c>
      <c r="C13" s="277">
        <f>'Informe Cons. Desempeño - Sgto.'!G12</f>
        <v>1</v>
      </c>
      <c r="D13" s="239"/>
      <c r="E13" s="229"/>
    </row>
    <row r="14" spans="2:7">
      <c r="B14" s="238" t="s">
        <v>574</v>
      </c>
      <c r="C14" s="277">
        <f>'Informe Cons. Desempeño - Sgto.'!G13</f>
        <v>1</v>
      </c>
      <c r="D14" s="240"/>
      <c r="E14" s="229"/>
    </row>
    <row r="15" spans="2:7">
      <c r="B15" s="238" t="s">
        <v>577</v>
      </c>
      <c r="C15" s="277">
        <f>'Informe Cons. Desempeño - Sgto.'!G15</f>
        <v>1.3845041007222141</v>
      </c>
      <c r="D15" s="239"/>
      <c r="E15" s="229"/>
    </row>
    <row r="16" spans="2:7">
      <c r="B16" s="238" t="s">
        <v>578</v>
      </c>
      <c r="C16" s="277">
        <f>'Informe Cons. Desempeño - Sgto.'!G16</f>
        <v>1.0134631642512077</v>
      </c>
      <c r="D16" s="239"/>
      <c r="E16" s="229"/>
    </row>
    <row r="17" spans="2:17">
      <c r="B17" s="238" t="s">
        <v>579</v>
      </c>
      <c r="C17" s="277">
        <f>'Informe Cons. Desempeño - Sgto.'!G17</f>
        <v>0.78805555555555562</v>
      </c>
      <c r="D17" s="239"/>
      <c r="E17" s="229"/>
    </row>
    <row r="18" spans="2:17">
      <c r="B18" s="238" t="s">
        <v>581</v>
      </c>
      <c r="C18" s="277">
        <f>'Informe Cons. Desempeño - Sgto.'!G19</f>
        <v>1.0298250115624812</v>
      </c>
      <c r="D18" s="239"/>
      <c r="E18" s="229"/>
    </row>
    <row r="19" spans="2:17">
      <c r="B19" s="238" t="s">
        <v>582</v>
      </c>
      <c r="C19" s="277">
        <f>'Informe Cons. Desempeño - Sgto.'!G20</f>
        <v>1.0898173853437012</v>
      </c>
      <c r="D19" s="239"/>
      <c r="E19" s="229"/>
    </row>
    <row r="20" spans="2:17">
      <c r="B20" s="238" t="s">
        <v>583</v>
      </c>
      <c r="C20" s="277">
        <f>'Informe Cons. Desempeño - Sgto.'!G21</f>
        <v>0.99099999999999999</v>
      </c>
      <c r="D20" s="239"/>
      <c r="E20" s="229"/>
    </row>
    <row r="21" spans="2:17">
      <c r="B21" s="238" t="s">
        <v>584</v>
      </c>
      <c r="C21" s="277">
        <f>'Informe Cons. Desempeño - Sgto.'!G22</f>
        <v>1.0073684210526317</v>
      </c>
      <c r="D21" s="239"/>
      <c r="E21" s="229"/>
    </row>
    <row r="22" spans="2:17">
      <c r="B22" s="238" t="s">
        <v>585</v>
      </c>
      <c r="C22" s="277">
        <f>'Informe Cons. Desempeño - Sgto.'!G23</f>
        <v>1.1822222222222223</v>
      </c>
      <c r="D22" s="239"/>
      <c r="E22" s="229"/>
    </row>
    <row r="23" spans="2:17">
      <c r="B23" s="238" t="s">
        <v>586</v>
      </c>
      <c r="C23" s="277">
        <f>'Informe Cons. Desempeño - Sgto.'!G24</f>
        <v>1</v>
      </c>
      <c r="D23" s="239"/>
      <c r="E23" s="229"/>
    </row>
    <row r="24" spans="2:17">
      <c r="B24" s="238" t="s">
        <v>588</v>
      </c>
      <c r="C24" s="277">
        <f>'Informe Cons. Desempeño - Sgto.'!G26</f>
        <v>1.1489130434782608</v>
      </c>
      <c r="D24" s="239"/>
      <c r="E24" s="229"/>
    </row>
    <row r="25" spans="2:17" ht="15.75" thickBot="1">
      <c r="B25" s="278" t="s">
        <v>589</v>
      </c>
      <c r="C25" s="279">
        <f>'Informe Cons. Desempeño - Sgto.'!G27</f>
        <v>1</v>
      </c>
      <c r="D25" s="239"/>
      <c r="E25" s="229"/>
    </row>
    <row r="26" spans="2:17" ht="16.5" thickBot="1">
      <c r="B26" s="280" t="s">
        <v>764</v>
      </c>
      <c r="C26" s="281">
        <f>AVERAGE(C10:C25)</f>
        <v>1.083482812029271</v>
      </c>
      <c r="D26" s="241"/>
      <c r="E26" s="229"/>
    </row>
    <row r="27" spans="2:17" s="242" customFormat="1">
      <c r="C27" s="243"/>
      <c r="D27" s="243"/>
      <c r="E27" s="243"/>
      <c r="P27" s="229"/>
      <c r="Q27" s="229"/>
    </row>
    <row r="28" spans="2:17" s="242" customFormat="1" ht="56.25" customHeight="1" thickBot="1">
      <c r="C28" s="243"/>
      <c r="P28" s="229"/>
      <c r="Q28" s="229"/>
    </row>
    <row r="29" spans="2:17" s="242" customFormat="1" ht="15.75">
      <c r="B29" s="586" t="s">
        <v>566</v>
      </c>
      <c r="C29" s="583" t="s">
        <v>761</v>
      </c>
      <c r="D29" s="583" t="s">
        <v>763</v>
      </c>
      <c r="E29" s="583"/>
      <c r="F29" s="584"/>
      <c r="P29" s="229"/>
      <c r="Q29" s="229"/>
    </row>
    <row r="30" spans="2:17" ht="15.75">
      <c r="B30" s="587"/>
      <c r="C30" s="585"/>
      <c r="D30" s="236" t="s">
        <v>677</v>
      </c>
      <c r="E30" s="236" t="s">
        <v>681</v>
      </c>
      <c r="F30" s="270" t="s">
        <v>686</v>
      </c>
    </row>
    <row r="31" spans="2:17">
      <c r="B31" s="271" t="s">
        <v>570</v>
      </c>
      <c r="C31" s="269">
        <f>'Informe Cons. Desempeño - Sgto.'!D9</f>
        <v>6</v>
      </c>
      <c r="D31" s="269">
        <v>6</v>
      </c>
      <c r="E31" s="269">
        <v>0</v>
      </c>
      <c r="F31" s="272">
        <v>0</v>
      </c>
    </row>
    <row r="32" spans="2:17">
      <c r="B32" s="271" t="s">
        <v>571</v>
      </c>
      <c r="C32" s="269">
        <f>'Informe Cons. Desempeño - Sgto.'!D10</f>
        <v>3</v>
      </c>
      <c r="D32" s="269">
        <v>3</v>
      </c>
      <c r="E32" s="269">
        <v>0</v>
      </c>
      <c r="F32" s="272">
        <v>0</v>
      </c>
    </row>
    <row r="33" spans="2:6">
      <c r="B33" s="271" t="s">
        <v>572</v>
      </c>
      <c r="C33" s="269">
        <f>'Informe Cons. Desempeño - Sgto.'!D11</f>
        <v>6</v>
      </c>
      <c r="D33" s="269">
        <v>6</v>
      </c>
      <c r="E33" s="269">
        <v>0</v>
      </c>
      <c r="F33" s="272">
        <v>0</v>
      </c>
    </row>
    <row r="34" spans="2:6">
      <c r="B34" s="271" t="s">
        <v>573</v>
      </c>
      <c r="C34" s="269">
        <f>'Informe Cons. Desempeño - Sgto.'!D12</f>
        <v>5</v>
      </c>
      <c r="D34" s="269">
        <v>5</v>
      </c>
      <c r="E34" s="269">
        <v>0</v>
      </c>
      <c r="F34" s="272">
        <v>0</v>
      </c>
    </row>
    <row r="35" spans="2:6">
      <c r="B35" s="271" t="s">
        <v>574</v>
      </c>
      <c r="C35" s="269">
        <f>'Informe Cons. Desempeño - Sgto.'!D13</f>
        <v>3</v>
      </c>
      <c r="D35" s="269">
        <v>3</v>
      </c>
      <c r="E35" s="269">
        <v>0</v>
      </c>
      <c r="F35" s="272">
        <v>0</v>
      </c>
    </row>
    <row r="36" spans="2:6">
      <c r="B36" s="271" t="s">
        <v>577</v>
      </c>
      <c r="C36" s="269">
        <f>'Informe Cons. Desempeño - Sgto.'!D15</f>
        <v>18</v>
      </c>
      <c r="D36" s="269">
        <v>16</v>
      </c>
      <c r="E36" s="269">
        <v>2</v>
      </c>
      <c r="F36" s="272">
        <v>0</v>
      </c>
    </row>
    <row r="37" spans="2:6">
      <c r="B37" s="271" t="s">
        <v>578</v>
      </c>
      <c r="C37" s="269">
        <f>'Informe Cons. Desempeño - Sgto.'!D16</f>
        <v>6</v>
      </c>
      <c r="D37" s="269">
        <v>6</v>
      </c>
      <c r="E37" s="269">
        <v>0</v>
      </c>
      <c r="F37" s="272">
        <v>0</v>
      </c>
    </row>
    <row r="38" spans="2:6">
      <c r="B38" s="271" t="s">
        <v>579</v>
      </c>
      <c r="C38" s="269">
        <f>'Informe Cons. Desempeño - Sgto.'!D17</f>
        <v>4</v>
      </c>
      <c r="D38" s="269">
        <v>4</v>
      </c>
      <c r="E38" s="269">
        <v>0</v>
      </c>
      <c r="F38" s="272">
        <v>0</v>
      </c>
    </row>
    <row r="39" spans="2:6">
      <c r="B39" s="271" t="s">
        <v>581</v>
      </c>
      <c r="C39" s="269">
        <f>'Informe Cons. Desempeño - Sgto.'!D19</f>
        <v>13</v>
      </c>
      <c r="D39" s="269">
        <v>13</v>
      </c>
      <c r="E39" s="269">
        <v>0</v>
      </c>
      <c r="F39" s="272">
        <v>0</v>
      </c>
    </row>
    <row r="40" spans="2:6">
      <c r="B40" s="271" t="s">
        <v>582</v>
      </c>
      <c r="C40" s="269">
        <f>'Informe Cons. Desempeño - Sgto.'!D20</f>
        <v>6</v>
      </c>
      <c r="D40" s="269">
        <v>6</v>
      </c>
      <c r="E40" s="269">
        <v>0</v>
      </c>
      <c r="F40" s="272">
        <v>0</v>
      </c>
    </row>
    <row r="41" spans="2:6">
      <c r="B41" s="271" t="s">
        <v>583</v>
      </c>
      <c r="C41" s="269">
        <f>'Informe Cons. Desempeño - Sgto.'!D21</f>
        <v>1</v>
      </c>
      <c r="D41" s="269">
        <v>1</v>
      </c>
      <c r="E41" s="269">
        <v>0</v>
      </c>
      <c r="F41" s="272">
        <v>0</v>
      </c>
    </row>
    <row r="42" spans="2:6">
      <c r="B42" s="271" t="s">
        <v>584</v>
      </c>
      <c r="C42" s="269">
        <f>'Informe Cons. Desempeño - Sgto.'!D22</f>
        <v>1</v>
      </c>
      <c r="D42" s="269">
        <v>1</v>
      </c>
      <c r="E42" s="269">
        <v>0</v>
      </c>
      <c r="F42" s="272">
        <v>0</v>
      </c>
    </row>
    <row r="43" spans="2:6">
      <c r="B43" s="271" t="s">
        <v>585</v>
      </c>
      <c r="C43" s="269">
        <f>'Informe Cons. Desempeño - Sgto.'!D23</f>
        <v>3</v>
      </c>
      <c r="D43" s="269">
        <v>3</v>
      </c>
      <c r="E43" s="269">
        <v>0</v>
      </c>
      <c r="F43" s="272">
        <v>0</v>
      </c>
    </row>
    <row r="44" spans="2:6">
      <c r="B44" s="271" t="s">
        <v>586</v>
      </c>
      <c r="C44" s="269">
        <f>'Informe Cons. Desempeño - Sgto.'!D24</f>
        <v>5</v>
      </c>
      <c r="D44" s="269">
        <v>5</v>
      </c>
      <c r="E44" s="269">
        <v>0</v>
      </c>
      <c r="F44" s="272">
        <v>0</v>
      </c>
    </row>
    <row r="45" spans="2:6">
      <c r="B45" s="271" t="s">
        <v>588</v>
      </c>
      <c r="C45" s="269">
        <f>'Informe Cons. Desempeño - Sgto.'!D26</f>
        <v>4</v>
      </c>
      <c r="D45" s="269">
        <v>4</v>
      </c>
      <c r="E45" s="269">
        <v>0</v>
      </c>
      <c r="F45" s="272">
        <v>0</v>
      </c>
    </row>
    <row r="46" spans="2:6">
      <c r="B46" s="271" t="s">
        <v>589</v>
      </c>
      <c r="C46" s="269">
        <f>'Informe Cons. Desempeño - Sgto.'!D27</f>
        <v>8</v>
      </c>
      <c r="D46" s="269">
        <v>8</v>
      </c>
      <c r="E46" s="269">
        <v>0</v>
      </c>
      <c r="F46" s="272">
        <v>0</v>
      </c>
    </row>
    <row r="47" spans="2:6" ht="16.5" thickBot="1">
      <c r="B47" s="273" t="s">
        <v>762</v>
      </c>
      <c r="C47" s="274">
        <f>SUM(C31:C46)</f>
        <v>92</v>
      </c>
      <c r="D47" s="274">
        <f t="shared" ref="D47:E47" si="0">SUM(D31:D46)</f>
        <v>90</v>
      </c>
      <c r="E47" s="274">
        <f t="shared" si="0"/>
        <v>2</v>
      </c>
      <c r="F47" s="275">
        <f>SUM(F31:F46)</f>
        <v>0</v>
      </c>
    </row>
    <row r="48" spans="2:6"/>
    <row r="49"/>
    <row r="50"/>
    <row r="51"/>
    <row r="52"/>
    <row r="53"/>
    <row r="54"/>
    <row r="55"/>
    <row r="56"/>
    <row r="57"/>
    <row r="58"/>
    <row r="59"/>
    <row r="60" ht="15" customHeight="1"/>
    <row r="61" ht="15" customHeight="1"/>
    <row r="62" ht="15" customHeight="1"/>
    <row r="63" ht="15" customHeight="1"/>
    <row r="64" ht="15" customHeight="1"/>
    <row r="65" ht="15" customHeight="1"/>
  </sheetData>
  <sheetProtection algorithmName="SHA-512" hashValue="iyiaJpjSu9ZnlSNQN1YufB+6fsSO49rN1g+FLF3UpeW5sy9dlPupWx9m8qAPkbmtmiA/EIVB+9jD71yfIOqdBg==" saltValue="JPRilH/87M0q1xau9buDfA==" spinCount="100000" sheet="1" objects="1" scenarios="1"/>
  <mergeCells count="6">
    <mergeCell ref="B3:F3"/>
    <mergeCell ref="B4:F4"/>
    <mergeCell ref="B2:F2"/>
    <mergeCell ref="D29:F29"/>
    <mergeCell ref="C29:C30"/>
    <mergeCell ref="B29:B30"/>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252"/>
  <sheetViews>
    <sheetView showGridLines="0" tabSelected="1" zoomScale="70" zoomScaleNormal="70" zoomScaleSheetLayoutView="85" workbookViewId="0">
      <selection activeCell="I28" sqref="I28"/>
    </sheetView>
  </sheetViews>
  <sheetFormatPr baseColWidth="10" defaultColWidth="11.42578125" defaultRowHeight="15" zeroHeight="1"/>
  <cols>
    <col min="1" max="1" width="3.42578125" style="432" customWidth="1"/>
    <col min="2" max="2" width="8.7109375" style="432" customWidth="1"/>
    <col min="3" max="3" width="63.28515625" style="432" customWidth="1"/>
    <col min="4" max="4" width="15.140625" style="445" customWidth="1"/>
    <col min="5" max="5" width="16" style="445" customWidth="1"/>
    <col min="6" max="6" width="17.85546875" style="432" customWidth="1"/>
    <col min="7" max="7" width="23.28515625" style="432" customWidth="1"/>
    <col min="8" max="8" width="16" style="432" customWidth="1"/>
    <col min="9" max="9" width="22.85546875" style="432" customWidth="1"/>
    <col min="10" max="10" width="16" style="432" customWidth="1"/>
    <col min="11" max="11" width="14.5703125" style="432" customWidth="1"/>
    <col min="12" max="12" width="21" style="432" customWidth="1"/>
    <col min="13" max="13" width="12.7109375" style="432" customWidth="1"/>
    <col min="14" max="14" width="19.42578125" style="432" customWidth="1"/>
    <col min="15" max="15" width="8.28515625" style="432" customWidth="1"/>
    <col min="16" max="16" width="13.28515625" style="432" customWidth="1"/>
    <col min="17" max="17" width="8.28515625" style="432" customWidth="1"/>
    <col min="18" max="18" width="14" style="432" customWidth="1"/>
    <col min="19" max="19" width="8.28515625" style="432" customWidth="1"/>
    <col min="20" max="20" width="19.42578125" style="432" customWidth="1"/>
    <col min="21" max="21" width="8.28515625" style="432" customWidth="1"/>
    <col min="22" max="22" width="71.42578125" style="435" customWidth="1"/>
    <col min="23" max="23" width="12.140625" style="432" bestFit="1" customWidth="1"/>
    <col min="24" max="24" width="27.42578125" style="432" bestFit="1" customWidth="1"/>
    <col min="25" max="16370" width="11.42578125" style="432"/>
    <col min="16371" max="16371" width="1.42578125" style="432" customWidth="1"/>
    <col min="16372" max="16384" width="2.85546875" style="432" customWidth="1"/>
  </cols>
  <sheetData>
    <row r="1" spans="3:23">
      <c r="D1" s="433"/>
      <c r="E1" s="433"/>
      <c r="F1" s="434"/>
      <c r="G1" s="434"/>
      <c r="H1" s="434"/>
      <c r="I1" s="434"/>
      <c r="J1" s="434"/>
      <c r="K1" s="434"/>
      <c r="L1" s="434"/>
    </row>
    <row r="2" spans="3:23" s="438" customFormat="1" ht="15.75">
      <c r="C2" s="624" t="s">
        <v>887</v>
      </c>
      <c r="D2" s="624"/>
      <c r="E2" s="624"/>
      <c r="F2" s="624"/>
      <c r="G2" s="624"/>
      <c r="H2" s="624"/>
      <c r="I2" s="624"/>
      <c r="J2" s="624"/>
      <c r="K2" s="624"/>
      <c r="L2" s="624"/>
      <c r="M2" s="624"/>
      <c r="N2" s="436"/>
      <c r="O2" s="436"/>
      <c r="P2" s="436"/>
      <c r="Q2" s="436"/>
      <c r="R2" s="436"/>
      <c r="S2" s="436"/>
      <c r="T2" s="436"/>
      <c r="U2" s="436"/>
      <c r="V2" s="437"/>
    </row>
    <row r="3" spans="3:23" ht="18">
      <c r="C3" s="605" t="s">
        <v>659</v>
      </c>
      <c r="D3" s="605"/>
      <c r="E3" s="605"/>
      <c r="F3" s="605"/>
      <c r="G3" s="605"/>
      <c r="H3" s="605"/>
      <c r="I3" s="605"/>
      <c r="J3" s="605"/>
      <c r="K3" s="605"/>
      <c r="L3" s="605"/>
      <c r="M3" s="605"/>
      <c r="N3" s="439"/>
      <c r="O3" s="439"/>
      <c r="P3" s="439"/>
      <c r="Q3" s="439"/>
      <c r="R3" s="439"/>
      <c r="S3" s="439"/>
      <c r="T3" s="439"/>
      <c r="U3" s="439"/>
      <c r="V3" s="440"/>
    </row>
    <row r="4" spans="3:23" ht="15.75">
      <c r="C4" s="604" t="s">
        <v>888</v>
      </c>
      <c r="D4" s="604"/>
      <c r="E4" s="604"/>
      <c r="F4" s="604"/>
      <c r="G4" s="604"/>
      <c r="H4" s="604"/>
      <c r="I4" s="604"/>
      <c r="J4" s="604"/>
      <c r="K4" s="604"/>
      <c r="L4" s="604"/>
      <c r="M4" s="604"/>
      <c r="N4" s="441"/>
      <c r="O4" s="441"/>
      <c r="P4" s="441"/>
      <c r="Q4" s="441"/>
      <c r="R4" s="441"/>
      <c r="S4" s="441"/>
      <c r="T4" s="441"/>
      <c r="U4" s="441"/>
      <c r="V4" s="440"/>
    </row>
    <row r="5" spans="3:23" ht="20.25">
      <c r="C5" s="606" t="s">
        <v>829</v>
      </c>
      <c r="D5" s="606"/>
      <c r="E5" s="606"/>
      <c r="F5" s="606"/>
      <c r="G5" s="606"/>
      <c r="H5" s="606"/>
      <c r="I5" s="606"/>
      <c r="J5" s="606"/>
      <c r="K5" s="606"/>
      <c r="L5" s="606"/>
      <c r="M5" s="606"/>
      <c r="N5" s="442"/>
      <c r="O5" s="442"/>
      <c r="P5" s="442"/>
      <c r="Q5" s="442"/>
      <c r="R5" s="442"/>
      <c r="S5" s="442"/>
      <c r="T5" s="442"/>
      <c r="U5" s="442"/>
      <c r="V5" s="443"/>
    </row>
    <row r="6" spans="3:23" ht="19.5" customHeight="1" thickBot="1">
      <c r="C6" s="444" t="s">
        <v>830</v>
      </c>
    </row>
    <row r="7" spans="3:23" ht="33" customHeight="1" thickBot="1">
      <c r="C7" s="607" t="s">
        <v>566</v>
      </c>
      <c r="D7" s="609" t="s">
        <v>567</v>
      </c>
      <c r="E7" s="615" t="s">
        <v>568</v>
      </c>
      <c r="F7" s="616"/>
      <c r="G7" s="617"/>
      <c r="H7" s="433"/>
      <c r="I7" s="433"/>
      <c r="J7" s="433"/>
    </row>
    <row r="8" spans="3:23" ht="41.25" customHeight="1" thickBot="1">
      <c r="C8" s="608"/>
      <c r="D8" s="610"/>
      <c r="E8" s="446" t="str">
        <f>C5</f>
        <v>Cuarto Trimestre</v>
      </c>
      <c r="F8" s="447" t="str">
        <f>$L$31</f>
        <v>Acumulado Corte 31/12/2020</v>
      </c>
      <c r="G8" s="448" t="s">
        <v>569</v>
      </c>
      <c r="H8" s="449"/>
      <c r="I8" s="433"/>
      <c r="J8" s="433"/>
      <c r="K8" s="433"/>
      <c r="V8" s="432"/>
      <c r="W8" s="435"/>
    </row>
    <row r="9" spans="3:23">
      <c r="C9" s="450" t="s">
        <v>570</v>
      </c>
      <c r="D9" s="451">
        <f>COUNT(B35:B40)</f>
        <v>6</v>
      </c>
      <c r="E9" s="452">
        <f>K41</f>
        <v>1.0019428571428572</v>
      </c>
      <c r="F9" s="452">
        <f>L41</f>
        <v>0.99921666666666675</v>
      </c>
      <c r="G9" s="452">
        <f>M41</f>
        <v>0.99921666666666675</v>
      </c>
      <c r="H9" s="453"/>
      <c r="I9" s="453"/>
      <c r="J9" s="453"/>
      <c r="K9" s="453"/>
      <c r="V9" s="432"/>
      <c r="W9" s="435"/>
    </row>
    <row r="10" spans="3:23">
      <c r="C10" s="454" t="s">
        <v>571</v>
      </c>
      <c r="D10" s="451">
        <f>COUNT(B46:B48)</f>
        <v>3</v>
      </c>
      <c r="E10" s="452">
        <f>K49</f>
        <v>1.142857142857143</v>
      </c>
      <c r="F10" s="452">
        <f>L49</f>
        <v>1.675</v>
      </c>
      <c r="G10" s="452">
        <f>M49</f>
        <v>1.675</v>
      </c>
      <c r="H10" s="453"/>
      <c r="I10" s="453"/>
      <c r="J10" s="453"/>
      <c r="K10" s="453"/>
      <c r="V10" s="432"/>
      <c r="W10" s="435"/>
    </row>
    <row r="11" spans="3:23">
      <c r="C11" s="454" t="s">
        <v>572</v>
      </c>
      <c r="D11" s="451">
        <f>COUNT(B54:B59)</f>
        <v>6</v>
      </c>
      <c r="E11" s="452">
        <f>K60</f>
        <v>0.89111111111111119</v>
      </c>
      <c r="F11" s="452">
        <f>L60</f>
        <v>1.0263394216133941</v>
      </c>
      <c r="G11" s="452">
        <f>M60</f>
        <v>1.0263394216133941</v>
      </c>
      <c r="H11" s="453"/>
      <c r="I11" s="453"/>
      <c r="J11" s="453"/>
      <c r="K11" s="453"/>
      <c r="V11" s="432"/>
      <c r="W11" s="435"/>
    </row>
    <row r="12" spans="3:23">
      <c r="C12" s="454" t="s">
        <v>573</v>
      </c>
      <c r="D12" s="451">
        <f>COUNT(B65:B69)</f>
        <v>5</v>
      </c>
      <c r="E12" s="452">
        <f>K70</f>
        <v>1</v>
      </c>
      <c r="F12" s="452">
        <f>L70</f>
        <v>1</v>
      </c>
      <c r="G12" s="452">
        <f>M70</f>
        <v>1</v>
      </c>
      <c r="H12" s="453"/>
      <c r="I12" s="453"/>
      <c r="J12" s="453"/>
      <c r="K12" s="453"/>
      <c r="V12" s="432"/>
      <c r="W12" s="435"/>
    </row>
    <row r="13" spans="3:23" ht="15.75" thickBot="1">
      <c r="C13" s="455" t="s">
        <v>574</v>
      </c>
      <c r="D13" s="456">
        <f>COUNT(B75:B77)</f>
        <v>3</v>
      </c>
      <c r="E13" s="457">
        <f>K78</f>
        <v>0</v>
      </c>
      <c r="F13" s="457">
        <f>L78</f>
        <v>1</v>
      </c>
      <c r="G13" s="457">
        <f>M78</f>
        <v>1</v>
      </c>
      <c r="H13" s="453"/>
      <c r="I13" s="453"/>
      <c r="J13" s="453"/>
      <c r="K13" s="453"/>
      <c r="V13" s="432"/>
      <c r="W13" s="435"/>
    </row>
    <row r="14" spans="3:23" ht="16.5" thickBot="1">
      <c r="C14" s="458" t="s">
        <v>576</v>
      </c>
      <c r="D14" s="459"/>
      <c r="E14" s="460">
        <f>AVERAGE(E9:E13)</f>
        <v>0.80718222222222225</v>
      </c>
      <c r="F14" s="460">
        <f>AVERAGE(F9:F13)</f>
        <v>1.1401112176560122</v>
      </c>
      <c r="G14" s="461">
        <f>AVERAGE(G9:G13)</f>
        <v>1.1401112176560122</v>
      </c>
      <c r="H14" s="462"/>
      <c r="I14" s="453"/>
      <c r="J14" s="453"/>
      <c r="K14" s="453"/>
      <c r="V14" s="432"/>
      <c r="W14" s="435"/>
    </row>
    <row r="15" spans="3:23">
      <c r="C15" s="450" t="s">
        <v>577</v>
      </c>
      <c r="D15" s="451">
        <f>COUNT(B83:B103)</f>
        <v>18</v>
      </c>
      <c r="E15" s="463">
        <f>+K104</f>
        <v>6.094916719434821E-2</v>
      </c>
      <c r="F15" s="463">
        <f>+L104</f>
        <v>1.3845041007222141</v>
      </c>
      <c r="G15" s="463">
        <f>+M104</f>
        <v>1.3845041007222141</v>
      </c>
      <c r="H15" s="453"/>
      <c r="I15" s="453"/>
      <c r="J15" s="453"/>
      <c r="K15" s="453"/>
      <c r="V15" s="432"/>
      <c r="W15" s="435"/>
    </row>
    <row r="16" spans="3:23">
      <c r="C16" s="454" t="s">
        <v>578</v>
      </c>
      <c r="D16" s="451">
        <f>COUNT(B109:B114)</f>
        <v>6</v>
      </c>
      <c r="E16" s="452">
        <f>+K115</f>
        <v>1.2093304843304844</v>
      </c>
      <c r="F16" s="452">
        <f>+L115</f>
        <v>1.0132743377842914</v>
      </c>
      <c r="G16" s="452">
        <f>+M115</f>
        <v>1.0134631642512077</v>
      </c>
      <c r="H16" s="453"/>
      <c r="I16" s="453"/>
      <c r="J16" s="453"/>
      <c r="K16" s="453"/>
      <c r="V16" s="432"/>
      <c r="W16" s="435"/>
    </row>
    <row r="17" spans="3:23" ht="15.75" thickBot="1">
      <c r="C17" s="455" t="s">
        <v>579</v>
      </c>
      <c r="D17" s="456">
        <f>COUNT(B120:B123)</f>
        <v>4</v>
      </c>
      <c r="E17" s="457">
        <f>+K124</f>
        <v>0.4805023228803717</v>
      </c>
      <c r="F17" s="457">
        <f>+L124</f>
        <v>0.78805555555555562</v>
      </c>
      <c r="G17" s="457">
        <f>+M124</f>
        <v>0.78805555555555562</v>
      </c>
      <c r="H17" s="453"/>
      <c r="I17" s="453"/>
      <c r="J17" s="453"/>
      <c r="K17" s="453"/>
      <c r="V17" s="432"/>
      <c r="W17" s="435"/>
    </row>
    <row r="18" spans="3:23" ht="16.5" thickBot="1">
      <c r="C18" s="458" t="s">
        <v>580</v>
      </c>
      <c r="D18" s="459"/>
      <c r="E18" s="460">
        <f>AVERAGE(E15:E17)</f>
        <v>0.58359399146840152</v>
      </c>
      <c r="F18" s="460">
        <f>AVERAGE(F15:F17)</f>
        <v>1.0619446646873538</v>
      </c>
      <c r="G18" s="461">
        <f>AVERAGE(G15:G17)</f>
        <v>1.0620076068429924</v>
      </c>
      <c r="H18" s="462"/>
      <c r="I18" s="453"/>
      <c r="J18" s="453"/>
      <c r="K18" s="453"/>
      <c r="V18" s="432"/>
      <c r="W18" s="435"/>
    </row>
    <row r="19" spans="3:23">
      <c r="C19" s="450" t="s">
        <v>581</v>
      </c>
      <c r="D19" s="451">
        <f>COUNT(B129:B141)</f>
        <v>13</v>
      </c>
      <c r="E19" s="463">
        <f>+K142</f>
        <v>1.1937508602508602</v>
      </c>
      <c r="F19" s="463">
        <f>+L142</f>
        <v>1.0298250115624812</v>
      </c>
      <c r="G19" s="463">
        <f>+M142</f>
        <v>1.0298250115624812</v>
      </c>
      <c r="H19" s="453"/>
      <c r="I19" s="453"/>
      <c r="J19" s="453"/>
      <c r="K19" s="453"/>
      <c r="V19" s="432"/>
      <c r="W19" s="435"/>
    </row>
    <row r="20" spans="3:23">
      <c r="C20" s="454" t="s">
        <v>582</v>
      </c>
      <c r="D20" s="451">
        <f>COUNT(B147:B152)</f>
        <v>6</v>
      </c>
      <c r="E20" s="452">
        <f>+K153</f>
        <v>1.0608152734778125</v>
      </c>
      <c r="F20" s="452">
        <f>+L153</f>
        <v>1.0898173853437012</v>
      </c>
      <c r="G20" s="452">
        <f>+M153</f>
        <v>1.0898173853437012</v>
      </c>
      <c r="H20" s="453"/>
      <c r="I20" s="453"/>
      <c r="J20" s="453"/>
      <c r="K20" s="453"/>
      <c r="V20" s="432"/>
      <c r="W20" s="435"/>
    </row>
    <row r="21" spans="3:23">
      <c r="C21" s="454" t="s">
        <v>583</v>
      </c>
      <c r="D21" s="451">
        <f>COUNT(B158)</f>
        <v>1</v>
      </c>
      <c r="E21" s="452">
        <f>+K159</f>
        <v>0.996</v>
      </c>
      <c r="F21" s="452">
        <f>+L159</f>
        <v>0.99099999999999999</v>
      </c>
      <c r="G21" s="452">
        <f>+M159</f>
        <v>0.99099999999999999</v>
      </c>
      <c r="H21" s="453"/>
      <c r="I21" s="453"/>
      <c r="J21" s="453"/>
      <c r="K21" s="453"/>
      <c r="V21" s="432"/>
      <c r="W21" s="435"/>
    </row>
    <row r="22" spans="3:23">
      <c r="C22" s="454" t="s">
        <v>584</v>
      </c>
      <c r="D22" s="451">
        <f>COUNT(B164:B164)</f>
        <v>1</v>
      </c>
      <c r="E22" s="452">
        <f>+K165</f>
        <v>1.0073684210526317</v>
      </c>
      <c r="F22" s="452">
        <f>+L165</f>
        <v>1.0073684210526317</v>
      </c>
      <c r="G22" s="452">
        <f>+M165</f>
        <v>1.0073684210526317</v>
      </c>
      <c r="H22" s="453"/>
      <c r="I22" s="453"/>
      <c r="J22" s="453"/>
      <c r="K22" s="453"/>
      <c r="V22" s="432"/>
      <c r="W22" s="435"/>
    </row>
    <row r="23" spans="3:23">
      <c r="C23" s="454" t="s">
        <v>585</v>
      </c>
      <c r="D23" s="451">
        <f>COUNT(B170:B172)</f>
        <v>3</v>
      </c>
      <c r="E23" s="452">
        <f>+K173</f>
        <v>1.6904761904761905</v>
      </c>
      <c r="F23" s="452">
        <f>+L173</f>
        <v>1.1822222222222223</v>
      </c>
      <c r="G23" s="452">
        <f>+M173</f>
        <v>1.1822222222222223</v>
      </c>
      <c r="H23" s="453"/>
      <c r="I23" s="453"/>
      <c r="J23" s="453"/>
      <c r="K23" s="453"/>
      <c r="V23" s="432"/>
      <c r="W23" s="435"/>
    </row>
    <row r="24" spans="3:23" ht="15.75" thickBot="1">
      <c r="C24" s="455" t="s">
        <v>586</v>
      </c>
      <c r="D24" s="456">
        <f>COUNT(B178:B182)</f>
        <v>5</v>
      </c>
      <c r="E24" s="457">
        <f>+K183</f>
        <v>1</v>
      </c>
      <c r="F24" s="457">
        <f>+L183</f>
        <v>1</v>
      </c>
      <c r="G24" s="457">
        <f>+M183</f>
        <v>1</v>
      </c>
      <c r="H24" s="453"/>
      <c r="I24" s="453"/>
      <c r="J24" s="453"/>
      <c r="K24" s="453"/>
      <c r="V24" s="432"/>
      <c r="W24" s="435"/>
    </row>
    <row r="25" spans="3:23" ht="16.5" thickBot="1">
      <c r="C25" s="458" t="s">
        <v>587</v>
      </c>
      <c r="D25" s="459"/>
      <c r="E25" s="460">
        <f>AVERAGE(E19:E24)</f>
        <v>1.1580684575429159</v>
      </c>
      <c r="F25" s="460">
        <f>AVERAGE(F19:F24)</f>
        <v>1.0500388400301728</v>
      </c>
      <c r="G25" s="461">
        <f>AVERAGE(G19:G24)</f>
        <v>1.0500388400301728</v>
      </c>
      <c r="H25" s="462"/>
      <c r="I25" s="453"/>
      <c r="J25" s="453"/>
      <c r="K25" s="453"/>
      <c r="V25" s="432"/>
      <c r="W25" s="435"/>
    </row>
    <row r="26" spans="3:23">
      <c r="C26" s="454" t="s">
        <v>588</v>
      </c>
      <c r="D26" s="451">
        <f>COUNT(B188:B191)</f>
        <v>4</v>
      </c>
      <c r="E26" s="452">
        <f>K192</f>
        <v>1.15625</v>
      </c>
      <c r="F26" s="452">
        <f>L192</f>
        <v>1.1489130434782608</v>
      </c>
      <c r="G26" s="452">
        <f>M192</f>
        <v>1.1489130434782608</v>
      </c>
      <c r="H26" s="453"/>
      <c r="I26" s="453"/>
      <c r="J26" s="453"/>
      <c r="K26" s="453"/>
      <c r="V26" s="432"/>
      <c r="W26" s="435"/>
    </row>
    <row r="27" spans="3:23" ht="15.75" thickBot="1">
      <c r="C27" s="455" t="s">
        <v>589</v>
      </c>
      <c r="D27" s="456">
        <f>COUNT(B197:B204)</f>
        <v>8</v>
      </c>
      <c r="E27" s="457">
        <f>K205</f>
        <v>1</v>
      </c>
      <c r="F27" s="457">
        <f>L205</f>
        <v>1</v>
      </c>
      <c r="G27" s="457">
        <f>M205</f>
        <v>1</v>
      </c>
      <c r="H27" s="453"/>
      <c r="I27" s="453"/>
      <c r="J27" s="453"/>
      <c r="K27" s="453"/>
      <c r="V27" s="432"/>
      <c r="W27" s="435"/>
    </row>
    <row r="28" spans="3:23" ht="33" customHeight="1" thickBot="1">
      <c r="C28" s="464" t="s">
        <v>590</v>
      </c>
      <c r="D28" s="459"/>
      <c r="E28" s="460">
        <f>AVERAGE(E26:E27)</f>
        <v>1.078125</v>
      </c>
      <c r="F28" s="460">
        <f>AVERAGE(F26:F27)</f>
        <v>1.0744565217391304</v>
      </c>
      <c r="G28" s="461">
        <f>AVERAGE(G26:G27)</f>
        <v>1.0744565217391304</v>
      </c>
      <c r="H28" s="462"/>
      <c r="I28" s="453"/>
      <c r="J28" s="453"/>
      <c r="K28" s="453"/>
      <c r="V28" s="432"/>
      <c r="W28" s="435"/>
    </row>
    <row r="29" spans="3:23" ht="33" customHeight="1">
      <c r="C29" s="465"/>
      <c r="D29" s="449"/>
      <c r="E29" s="462"/>
      <c r="F29" s="462"/>
      <c r="G29" s="462"/>
      <c r="H29" s="453"/>
      <c r="I29" s="453"/>
      <c r="J29" s="453"/>
    </row>
    <row r="30" spans="3:23" s="466" customFormat="1" hidden="1">
      <c r="D30" s="467"/>
      <c r="E30" s="467"/>
      <c r="V30" s="468"/>
    </row>
    <row r="31" spans="3:23" s="466" customFormat="1" ht="36.75" hidden="1" customHeight="1">
      <c r="D31" s="467"/>
      <c r="E31" s="467"/>
      <c r="G31" s="469" t="s">
        <v>831</v>
      </c>
      <c r="I31" s="469" t="s">
        <v>832</v>
      </c>
      <c r="L31" s="469" t="s">
        <v>833</v>
      </c>
      <c r="V31" s="468"/>
    </row>
    <row r="32" spans="3:23" s="466" customFormat="1" ht="15.75">
      <c r="C32" s="470" t="s">
        <v>591</v>
      </c>
      <c r="D32" s="467"/>
      <c r="E32" s="467"/>
      <c r="V32" s="468"/>
    </row>
    <row r="33" spans="2:24" ht="36.75" customHeight="1">
      <c r="C33" s="600" t="s">
        <v>592</v>
      </c>
      <c r="D33" s="599" t="s">
        <v>593</v>
      </c>
      <c r="E33" s="601" t="s">
        <v>594</v>
      </c>
      <c r="F33" s="602"/>
      <c r="G33" s="603"/>
      <c r="H33" s="599" t="s">
        <v>595</v>
      </c>
      <c r="I33" s="611" t="str">
        <f>$I$31</f>
        <v>Ejecución Acumulada Corte
31/12/2020</v>
      </c>
      <c r="J33" s="599" t="s">
        <v>596</v>
      </c>
      <c r="K33" s="599" t="s">
        <v>568</v>
      </c>
      <c r="L33" s="599"/>
      <c r="M33" s="599"/>
      <c r="N33" s="591" t="s">
        <v>666</v>
      </c>
      <c r="O33" s="591"/>
      <c r="P33" s="591"/>
      <c r="Q33" s="591"/>
      <c r="R33" s="591"/>
      <c r="S33" s="591"/>
      <c r="T33" s="591"/>
      <c r="U33" s="591"/>
      <c r="V33" s="599" t="s">
        <v>597</v>
      </c>
    </row>
    <row r="34" spans="2:24" ht="37.5" customHeight="1">
      <c r="C34" s="600"/>
      <c r="D34" s="599"/>
      <c r="E34" s="471" t="s">
        <v>660</v>
      </c>
      <c r="F34" s="471" t="str">
        <f>$C$5</f>
        <v>Cuarto Trimestre</v>
      </c>
      <c r="G34" s="469" t="str">
        <f>$G$31</f>
        <v>Acumulada Corte
31/12/2020</v>
      </c>
      <c r="H34" s="599"/>
      <c r="I34" s="611"/>
      <c r="J34" s="599"/>
      <c r="K34" s="471" t="str">
        <f>+$C$5</f>
        <v>Cuarto Trimestre</v>
      </c>
      <c r="L34" s="469" t="str">
        <f>$L$31</f>
        <v>Acumulado Corte 31/12/2020</v>
      </c>
      <c r="M34" s="472" t="s">
        <v>569</v>
      </c>
      <c r="N34" s="592" t="s">
        <v>754</v>
      </c>
      <c r="O34" s="593"/>
      <c r="P34" s="594" t="s">
        <v>661</v>
      </c>
      <c r="Q34" s="595"/>
      <c r="R34" s="595"/>
      <c r="S34" s="596"/>
      <c r="T34" s="597" t="s">
        <v>755</v>
      </c>
      <c r="U34" s="598"/>
      <c r="V34" s="599"/>
    </row>
    <row r="35" spans="2:24" ht="46.5" customHeight="1">
      <c r="B35" s="473">
        <f>'01 Direcc Estratégico POA 2020 '!R13</f>
        <v>1</v>
      </c>
      <c r="C35" s="474" t="str">
        <f>'Rango en indicadores'!E5</f>
        <v>Plan operativo formulado</v>
      </c>
      <c r="D35" s="475" t="str">
        <f>'Rango en indicadores'!D5</f>
        <v>01-RI-01</v>
      </c>
      <c r="E35" s="476">
        <f>'01 Direcc Estratégico POA 2020 '!AQ13</f>
        <v>1</v>
      </c>
      <c r="F35" s="476">
        <f>+'01 Direcc Estratégico POA 2020 '!AO13</f>
        <v>0</v>
      </c>
      <c r="G35" s="476">
        <f>+'01 Direcc Estratégico POA 2020 '!Q13+'01 Direcc Estratégico POA 2020 '!Y13+'01 Direcc Estratégico POA 2020 '!AG13+'01 Direcc Estratégico POA 2020 '!AO13</f>
        <v>1</v>
      </c>
      <c r="H35" s="476">
        <f>+'01 Direcc Estratégico POA 2020 '!AP13</f>
        <v>0</v>
      </c>
      <c r="I35" s="476">
        <f>+'01 Direcc Estratégico POA 2020 '!R13+'01 Direcc Estratégico POA 2020 '!Z13+'01 Direcc Estratégico POA 2020 '!AH13+'01 Direcc Estratégico POA 2020 '!AP13</f>
        <v>1</v>
      </c>
      <c r="J35" s="476">
        <f>'01 Direcc Estratégico POA 2020 '!AR13</f>
        <v>1</v>
      </c>
      <c r="K35" s="477" t="str">
        <f t="shared" ref="K35:K40" si="0">IF(AND(F35&gt;0),H35/F35,"No programado")</f>
        <v>No programado</v>
      </c>
      <c r="L35" s="477">
        <f t="shared" ref="L35:L40" si="1">IF(AND(G35&gt;0),I35/G35,"No programado")</f>
        <v>1</v>
      </c>
      <c r="M35" s="477">
        <f>'01 Direcc Estratégico POA 2020 '!AS13</f>
        <v>1</v>
      </c>
      <c r="N35" s="477" t="str">
        <f>'Rango en indicadores'!G5</f>
        <v>Mayor o igual A:</v>
      </c>
      <c r="O35" s="476">
        <f>'Rango en indicadores'!H5</f>
        <v>100</v>
      </c>
      <c r="P35" s="477" t="str">
        <f>'Rango en indicadores'!I5</f>
        <v>Desde (&gt;):</v>
      </c>
      <c r="Q35" s="476">
        <f>'Rango en indicadores'!J5</f>
        <v>98</v>
      </c>
      <c r="R35" s="477" t="str">
        <f>'Rango en indicadores'!K5</f>
        <v>Hasta (&lt;):</v>
      </c>
      <c r="S35" s="476">
        <f>'Rango en indicadores'!L5</f>
        <v>100</v>
      </c>
      <c r="T35" s="477" t="str">
        <f>'Rango en indicadores'!M5</f>
        <v>Menor o Igual A:</v>
      </c>
      <c r="U35" s="476">
        <f>'Rango en indicadores'!N5</f>
        <v>98</v>
      </c>
      <c r="V35" s="478" t="s">
        <v>837</v>
      </c>
    </row>
    <row r="36" spans="2:24" ht="38.25">
      <c r="B36" s="473">
        <f>1+B35</f>
        <v>2</v>
      </c>
      <c r="C36" s="474" t="str">
        <f>'Rango en indicadores'!E6</f>
        <v>Avance en la implementación del Modelo (MIPG)</v>
      </c>
      <c r="D36" s="475" t="str">
        <f>'Rango en indicadores'!D6</f>
        <v>01-RI-02</v>
      </c>
      <c r="E36" s="479">
        <f>'01 Direcc Estratégico POA 2020 '!AQ14</f>
        <v>0.6</v>
      </c>
      <c r="F36" s="479">
        <f>+'01 Direcc Estratégico POA 2020 '!AO14</f>
        <v>0.21</v>
      </c>
      <c r="G36" s="479">
        <f>+'01 Direcc Estratégico POA 2020 '!Q14+'01 Direcc Estratégico POA 2020 '!Y14+'01 Direcc Estratégico POA 2020 '!AG14+'01 Direcc Estratégico POA 2020 '!AO14</f>
        <v>0.6</v>
      </c>
      <c r="H36" s="479">
        <f>+'01 Direcc Estratégico POA 2020 '!AP14</f>
        <v>0.21</v>
      </c>
      <c r="I36" s="479">
        <f>+'01 Direcc Estratégico POA 2020 '!R14+'01 Direcc Estratégico POA 2020 '!Z14+'01 Direcc Estratégico POA 2020 '!AH14+'01 Direcc Estratégico POA 2020 '!AP14</f>
        <v>0.6</v>
      </c>
      <c r="J36" s="480">
        <f>'01 Direcc Estratégico POA 2020 '!AR14</f>
        <v>0.6</v>
      </c>
      <c r="K36" s="477">
        <f t="shared" si="0"/>
        <v>1</v>
      </c>
      <c r="L36" s="477">
        <f t="shared" si="1"/>
        <v>1</v>
      </c>
      <c r="M36" s="477">
        <f>'01 Direcc Estratégico POA 2020 '!AS14</f>
        <v>1</v>
      </c>
      <c r="N36" s="477" t="str">
        <f>'Rango en indicadores'!G6</f>
        <v>Mayor o igual A:</v>
      </c>
      <c r="O36" s="476">
        <f>'Rango en indicadores'!H6</f>
        <v>95</v>
      </c>
      <c r="P36" s="477" t="str">
        <f>'Rango en indicadores'!I6</f>
        <v>Desde (&gt;):</v>
      </c>
      <c r="Q36" s="476">
        <f>'Rango en indicadores'!J6</f>
        <v>70</v>
      </c>
      <c r="R36" s="477" t="str">
        <f>'Rango en indicadores'!K6</f>
        <v>Hasta (&lt;):</v>
      </c>
      <c r="S36" s="476">
        <f>'Rango en indicadores'!L6</f>
        <v>95</v>
      </c>
      <c r="T36" s="477" t="str">
        <f>'Rango en indicadores'!M6</f>
        <v>Menor o Igual A:</v>
      </c>
      <c r="U36" s="476">
        <f>'Rango en indicadores'!N6</f>
        <v>70</v>
      </c>
      <c r="V36" s="478" t="s">
        <v>837</v>
      </c>
    </row>
    <row r="37" spans="2:24" ht="51">
      <c r="B37" s="473">
        <f>1+B36</f>
        <v>3</v>
      </c>
      <c r="C37" s="474" t="str">
        <f>'Rango en indicadores'!E7</f>
        <v xml:space="preserve">Avance en la implementación de acciones para la sostenibilidad del Sistema de Gestión de la Calidad </v>
      </c>
      <c r="D37" s="475" t="str">
        <f>'Rango en indicadores'!D7</f>
        <v>01-RI-03</v>
      </c>
      <c r="E37" s="479">
        <f>'01 Direcc Estratégico POA 2020 '!AQ15</f>
        <v>1</v>
      </c>
      <c r="F37" s="479">
        <f>+'01 Direcc Estratégico POA 2020 '!AO15</f>
        <v>0.35</v>
      </c>
      <c r="G37" s="479">
        <f>+'01 Direcc Estratégico POA 2020 '!Q15+'01 Direcc Estratégico POA 2020 '!Y15+'01 Direcc Estratégico POA 2020 '!AG15+'01 Direcc Estratégico POA 2020 '!AO15</f>
        <v>1</v>
      </c>
      <c r="H37" s="481">
        <f>+'01 Direcc Estratégico POA 2020 '!AP15</f>
        <v>0.35340000000000005</v>
      </c>
      <c r="I37" s="481">
        <f>+'01 Direcc Estratégico POA 2020 '!R15+'01 Direcc Estratégico POA 2020 '!Z15+'01 Direcc Estratégico POA 2020 '!AH15+'01 Direcc Estratégico POA 2020 '!AP15</f>
        <v>0.99530000000000007</v>
      </c>
      <c r="J37" s="481">
        <f>'01 Direcc Estratégico POA 2020 '!AR15</f>
        <v>0.99530000000000007</v>
      </c>
      <c r="K37" s="477">
        <f t="shared" si="0"/>
        <v>1.009714285714286</v>
      </c>
      <c r="L37" s="477">
        <f t="shared" si="1"/>
        <v>0.99530000000000007</v>
      </c>
      <c r="M37" s="477">
        <f>'01 Direcc Estratégico POA 2020 '!AS15</f>
        <v>0.99530000000000007</v>
      </c>
      <c r="N37" s="477" t="str">
        <f>'Rango en indicadores'!G7</f>
        <v>Mayor o igual A:</v>
      </c>
      <c r="O37" s="476">
        <f>'Rango en indicadores'!H7</f>
        <v>90</v>
      </c>
      <c r="P37" s="477" t="str">
        <f>'Rango en indicadores'!I7</f>
        <v>Desde (&gt;):</v>
      </c>
      <c r="Q37" s="476">
        <f>'Rango en indicadores'!J7</f>
        <v>80</v>
      </c>
      <c r="R37" s="477" t="str">
        <f>'Rango en indicadores'!K7</f>
        <v>Hasta (&lt;):</v>
      </c>
      <c r="S37" s="476">
        <f>'Rango en indicadores'!L7</f>
        <v>90</v>
      </c>
      <c r="T37" s="477" t="str">
        <f>'Rango en indicadores'!M7</f>
        <v>Menor o Igual A:</v>
      </c>
      <c r="U37" s="476">
        <f>'Rango en indicadores'!N7</f>
        <v>80</v>
      </c>
      <c r="V37" s="478" t="s">
        <v>834</v>
      </c>
      <c r="X37" s="482"/>
    </row>
    <row r="38" spans="2:24" ht="38.25">
      <c r="B38" s="473">
        <f>1+B37</f>
        <v>4</v>
      </c>
      <c r="C38" s="474" t="str">
        <f>'Rango en indicadores'!E8</f>
        <v>Porcentaje de avance en las  actividades programadas PAAC</v>
      </c>
      <c r="D38" s="475" t="str">
        <f>'Rango en indicadores'!D8</f>
        <v>01-RI-08</v>
      </c>
      <c r="E38" s="479">
        <f>'01 Direcc Estratégico POA 2020 '!AQ16</f>
        <v>1</v>
      </c>
      <c r="F38" s="479">
        <f>+'01 Direcc Estratégico POA 2020 '!AO16</f>
        <v>0.15</v>
      </c>
      <c r="G38" s="479">
        <f>+'01 Direcc Estratégico POA 2020 '!Q16+'01 Direcc Estratégico POA 2020 '!Y16+'01 Direcc Estratégico POA 2020 '!AG16+'01 Direcc Estratégico POA 2020 '!AO16</f>
        <v>1</v>
      </c>
      <c r="H38" s="479">
        <f>+'01 Direcc Estratégico POA 2020 '!AP16</f>
        <v>0.15</v>
      </c>
      <c r="I38" s="479">
        <f>+'01 Direcc Estratégico POA 2020 '!R16+'01 Direcc Estratégico POA 2020 '!Z16+'01 Direcc Estratégico POA 2020 '!AH16+'01 Direcc Estratégico POA 2020 '!AP16</f>
        <v>1</v>
      </c>
      <c r="J38" s="480">
        <f>'01 Direcc Estratégico POA 2020 '!AR16</f>
        <v>1</v>
      </c>
      <c r="K38" s="477">
        <f t="shared" si="0"/>
        <v>1</v>
      </c>
      <c r="L38" s="477">
        <f t="shared" si="1"/>
        <v>1</v>
      </c>
      <c r="M38" s="477">
        <f>'01 Direcc Estratégico POA 2020 '!AS16</f>
        <v>1</v>
      </c>
      <c r="N38" s="477" t="str">
        <f>'Rango en indicadores'!G8</f>
        <v>Mayor o igual A:</v>
      </c>
      <c r="O38" s="476">
        <f>'Rango en indicadores'!H8</f>
        <v>90</v>
      </c>
      <c r="P38" s="477" t="str">
        <f>'Rango en indicadores'!I8</f>
        <v>Desde (&gt;):</v>
      </c>
      <c r="Q38" s="476">
        <f>'Rango en indicadores'!J8</f>
        <v>80</v>
      </c>
      <c r="R38" s="477" t="str">
        <f>'Rango en indicadores'!K8</f>
        <v>Hasta (&lt;):</v>
      </c>
      <c r="S38" s="476">
        <f>'Rango en indicadores'!L8</f>
        <v>90</v>
      </c>
      <c r="T38" s="477" t="str">
        <f>'Rango en indicadores'!M8</f>
        <v>Menor o Igual A:</v>
      </c>
      <c r="U38" s="476">
        <f>'Rango en indicadores'!N8</f>
        <v>80</v>
      </c>
      <c r="V38" s="478" t="s">
        <v>837</v>
      </c>
    </row>
    <row r="39" spans="2:24" ht="38.25">
      <c r="B39" s="473">
        <f>1+B38</f>
        <v>5</v>
      </c>
      <c r="C39" s="474" t="str">
        <f>'Rango en indicadores'!E9</f>
        <v>Visitas para realizar control a la gestión</v>
      </c>
      <c r="D39" s="475" t="str">
        <f>'Rango en indicadores'!D9</f>
        <v>01-RI-09</v>
      </c>
      <c r="E39" s="476">
        <f>'01 Direcc Estratégico POA 2020 '!AQ17</f>
        <v>19</v>
      </c>
      <c r="F39" s="476">
        <f>+'01 Direcc Estratégico POA 2020 '!AO17</f>
        <v>4</v>
      </c>
      <c r="G39" s="476">
        <f>+'01 Direcc Estratégico POA 2020 '!Q17+'01 Direcc Estratégico POA 2020 '!Y17+'01 Direcc Estratégico POA 2020 '!AG17+'01 Direcc Estratégico POA 2020 '!AO17</f>
        <v>19</v>
      </c>
      <c r="H39" s="476">
        <f>+'01 Direcc Estratégico POA 2020 '!AP17</f>
        <v>4</v>
      </c>
      <c r="I39" s="476">
        <f>+'01 Direcc Estratégico POA 2020 '!R17+'01 Direcc Estratégico POA 2020 '!Z17+'01 Direcc Estratégico POA 2020 '!AH17+'01 Direcc Estratégico POA 2020 '!AP17</f>
        <v>19</v>
      </c>
      <c r="J39" s="476">
        <f>'01 Direcc Estratégico POA 2020 '!AR17</f>
        <v>19</v>
      </c>
      <c r="K39" s="477">
        <f t="shared" si="0"/>
        <v>1</v>
      </c>
      <c r="L39" s="477">
        <f t="shared" si="1"/>
        <v>1</v>
      </c>
      <c r="M39" s="477">
        <f>'01 Direcc Estratégico POA 2020 '!AS17</f>
        <v>1</v>
      </c>
      <c r="N39" s="477" t="str">
        <f>'Rango en indicadores'!G9</f>
        <v>Mayor o igual A:</v>
      </c>
      <c r="O39" s="476">
        <f>'Rango en indicadores'!H9</f>
        <v>90</v>
      </c>
      <c r="P39" s="477" t="str">
        <f>'Rango en indicadores'!I9</f>
        <v>Desde (&gt;):</v>
      </c>
      <c r="Q39" s="476">
        <f>'Rango en indicadores'!J9</f>
        <v>80</v>
      </c>
      <c r="R39" s="477" t="str">
        <f>'Rango en indicadores'!K9</f>
        <v>Hasta (&lt;):</v>
      </c>
      <c r="S39" s="476">
        <f>'Rango en indicadores'!L9</f>
        <v>90</v>
      </c>
      <c r="T39" s="477" t="str">
        <f>'Rango en indicadores'!M9</f>
        <v>Menor o Igual A:</v>
      </c>
      <c r="U39" s="476">
        <f>'Rango en indicadores'!N9</f>
        <v>80</v>
      </c>
      <c r="V39" s="478" t="s">
        <v>837</v>
      </c>
    </row>
    <row r="40" spans="2:24" ht="38.25">
      <c r="B40" s="473">
        <f>1+B39</f>
        <v>6</v>
      </c>
      <c r="C40" s="474" t="str">
        <f>'Rango en indicadores'!E10</f>
        <v>Publicación  de seguimiento a planes, programas y proyectos</v>
      </c>
      <c r="D40" s="475" t="str">
        <f>'Rango en indicadores'!D10</f>
        <v>01-RI-10</v>
      </c>
      <c r="E40" s="481">
        <f>'01 Direcc Estratégico POA 2020 '!AQ18</f>
        <v>1</v>
      </c>
      <c r="F40" s="479">
        <f>+'01 Direcc Estratégico POA 2020 '!AO18</f>
        <v>1</v>
      </c>
      <c r="G40" s="479">
        <f>ROUNDDOWN(AVERAGE('01 Direcc Estratégico POA 2020 '!Q18,'01 Direcc Estratégico POA 2020 '!Y18,'01 Direcc Estratégico POA 2020 '!AG18,'01 Direcc Estratégico POA 2020 '!AO18),3)</f>
        <v>1</v>
      </c>
      <c r="H40" s="479">
        <f>+'01 Direcc Estratégico POA 2020 '!AP18</f>
        <v>1</v>
      </c>
      <c r="I40" s="479">
        <f>ROUNDDOWN(AVERAGE('01 Direcc Estratégico POA 2020 '!R18,'01 Direcc Estratégico POA 2020 '!Z18,'01 Direcc Estratégico POA 2020 '!AH18,'01 Direcc Estratégico POA 2020 '!AP18),3)</f>
        <v>1</v>
      </c>
      <c r="J40" s="480">
        <f>'01 Direcc Estratégico POA 2020 '!AR18</f>
        <v>1</v>
      </c>
      <c r="K40" s="477">
        <f t="shared" si="0"/>
        <v>1</v>
      </c>
      <c r="L40" s="477">
        <f t="shared" si="1"/>
        <v>1</v>
      </c>
      <c r="M40" s="477">
        <f>'01 Direcc Estratégico POA 2020 '!AS18</f>
        <v>1</v>
      </c>
      <c r="N40" s="477" t="str">
        <f>'Rango en indicadores'!G10</f>
        <v>Mayor o igual A:</v>
      </c>
      <c r="O40" s="476">
        <f>'Rango en indicadores'!H10</f>
        <v>90</v>
      </c>
      <c r="P40" s="477" t="str">
        <f>'Rango en indicadores'!I10</f>
        <v>Desde (&gt;):</v>
      </c>
      <c r="Q40" s="476">
        <f>'Rango en indicadores'!J10</f>
        <v>80</v>
      </c>
      <c r="R40" s="477" t="str">
        <f>'Rango en indicadores'!K10</f>
        <v>Hasta (&lt;):</v>
      </c>
      <c r="S40" s="476">
        <f>'Rango en indicadores'!L10</f>
        <v>90</v>
      </c>
      <c r="T40" s="477" t="str">
        <f>'Rango en indicadores'!M10</f>
        <v>Menor o Igual A:</v>
      </c>
      <c r="U40" s="476">
        <f>'Rango en indicadores'!N10</f>
        <v>80</v>
      </c>
      <c r="V40" s="478" t="s">
        <v>837</v>
      </c>
    </row>
    <row r="41" spans="2:24" ht="15.75">
      <c r="C41" s="612" t="s">
        <v>602</v>
      </c>
      <c r="D41" s="613"/>
      <c r="E41" s="613"/>
      <c r="F41" s="613"/>
      <c r="G41" s="613"/>
      <c r="H41" s="613"/>
      <c r="I41" s="613"/>
      <c r="J41" s="614"/>
      <c r="K41" s="483">
        <f>IFERROR(AVERAGE(K35:K40),0)</f>
        <v>1.0019428571428572</v>
      </c>
      <c r="L41" s="483">
        <f>IFERROR(AVERAGE(L35:L40),0)</f>
        <v>0.99921666666666675</v>
      </c>
      <c r="M41" s="484">
        <f>AVERAGE(M35:M40)</f>
        <v>0.99921666666666675</v>
      </c>
      <c r="N41" s="462"/>
      <c r="O41" s="462"/>
      <c r="P41" s="462"/>
      <c r="Q41" s="462"/>
      <c r="R41" s="462"/>
      <c r="S41" s="462"/>
      <c r="T41" s="462"/>
      <c r="U41" s="462"/>
      <c r="V41" s="485"/>
    </row>
    <row r="42" spans="2:24">
      <c r="E42" s="432"/>
    </row>
    <row r="43" spans="2:24" ht="15.75">
      <c r="C43" s="486" t="s">
        <v>603</v>
      </c>
      <c r="D43" s="487"/>
      <c r="E43" s="432"/>
    </row>
    <row r="44" spans="2:24" ht="40.5" customHeight="1">
      <c r="C44" s="600" t="s">
        <v>592</v>
      </c>
      <c r="D44" s="599" t="s">
        <v>593</v>
      </c>
      <c r="E44" s="601" t="s">
        <v>594</v>
      </c>
      <c r="F44" s="602"/>
      <c r="G44" s="603"/>
      <c r="H44" s="599" t="s">
        <v>595</v>
      </c>
      <c r="I44" s="611" t="str">
        <f>$I$31</f>
        <v>Ejecución Acumulada Corte
31/12/2020</v>
      </c>
      <c r="J44" s="599" t="s">
        <v>596</v>
      </c>
      <c r="K44" s="599" t="s">
        <v>568</v>
      </c>
      <c r="L44" s="599"/>
      <c r="M44" s="599"/>
      <c r="N44" s="591" t="s">
        <v>666</v>
      </c>
      <c r="O44" s="591"/>
      <c r="P44" s="591"/>
      <c r="Q44" s="591"/>
      <c r="R44" s="591"/>
      <c r="S44" s="591"/>
      <c r="T44" s="591"/>
      <c r="U44" s="591"/>
      <c r="V44" s="599" t="s">
        <v>597</v>
      </c>
    </row>
    <row r="45" spans="2:24" ht="50.25" customHeight="1">
      <c r="C45" s="600"/>
      <c r="D45" s="599"/>
      <c r="E45" s="471" t="s">
        <v>660</v>
      </c>
      <c r="F45" s="471" t="str">
        <f>$C$5</f>
        <v>Cuarto Trimestre</v>
      </c>
      <c r="G45" s="469" t="str">
        <f>$G$31</f>
        <v>Acumulada Corte
31/12/2020</v>
      </c>
      <c r="H45" s="599"/>
      <c r="I45" s="611"/>
      <c r="J45" s="599"/>
      <c r="K45" s="471" t="str">
        <f>+$C$5</f>
        <v>Cuarto Trimestre</v>
      </c>
      <c r="L45" s="469" t="s">
        <v>779</v>
      </c>
      <c r="M45" s="472" t="s">
        <v>569</v>
      </c>
      <c r="N45" s="592" t="s">
        <v>754</v>
      </c>
      <c r="O45" s="593"/>
      <c r="P45" s="594" t="s">
        <v>661</v>
      </c>
      <c r="Q45" s="595"/>
      <c r="R45" s="595"/>
      <c r="S45" s="596"/>
      <c r="T45" s="597" t="s">
        <v>755</v>
      </c>
      <c r="U45" s="598"/>
      <c r="V45" s="599"/>
    </row>
    <row r="46" spans="2:24" ht="98.25" customHeight="1">
      <c r="B46" s="473">
        <f>+B40+1</f>
        <v>7</v>
      </c>
      <c r="C46" s="474" t="str">
        <f>'Rango en indicadores'!E11</f>
        <v>Espacios  de transferencia  de conocimientos realizados .</v>
      </c>
      <c r="D46" s="475" t="str">
        <f>'Rango en indicadores'!D11</f>
        <v>02-RI-01</v>
      </c>
      <c r="E46" s="476">
        <f>'02 G. Conoc Innovación POA 2020'!AQ13</f>
        <v>2</v>
      </c>
      <c r="F46" s="476">
        <f>+'02 G. Conoc Innovación POA 2020'!AO13</f>
        <v>1</v>
      </c>
      <c r="G46" s="476">
        <f>+'02 G. Conoc Innovación POA 2020'!Q13+'02 G. Conoc Innovación POA 2020'!Y13+'02 G. Conoc Innovación POA 2020'!AG13+'02 G. Conoc Innovación POA 2020'!AO13</f>
        <v>2</v>
      </c>
      <c r="H46" s="476">
        <f>+'02 G. Conoc Innovación POA 2020'!AP13</f>
        <v>2</v>
      </c>
      <c r="I46" s="476">
        <f>+'02 G. Conoc Innovación POA 2020'!R13+'02 G. Conoc Innovación POA 2020'!Z13+'02 G. Conoc Innovación POA 2020'!AH13+'02 G. Conoc Innovación POA 2020'!AP13</f>
        <v>3</v>
      </c>
      <c r="J46" s="476">
        <f>'02 G. Conoc Innovación POA 2020'!AR13</f>
        <v>3</v>
      </c>
      <c r="K46" s="488">
        <f>IF(AND(F46&gt;0),H46/F46,"No programado")</f>
        <v>2</v>
      </c>
      <c r="L46" s="488">
        <f>IF(AND(G46&gt;0),I46/G46,"No programado")</f>
        <v>1.5</v>
      </c>
      <c r="M46" s="452">
        <f>'02 G. Conoc Innovación POA 2020'!AS13</f>
        <v>1.5</v>
      </c>
      <c r="N46" s="452" t="str">
        <f>'Rango en indicadores'!G11</f>
        <v>Mayor o igual A:</v>
      </c>
      <c r="O46" s="476">
        <f>'Rango en indicadores'!H11</f>
        <v>90</v>
      </c>
      <c r="P46" s="452" t="str">
        <f>'Rango en indicadores'!I11</f>
        <v>Desde (&gt;):</v>
      </c>
      <c r="Q46" s="476">
        <f>'Rango en indicadores'!J11</f>
        <v>60</v>
      </c>
      <c r="R46" s="452" t="str">
        <f>'Rango en indicadores'!K11</f>
        <v>Hasta (&lt;):</v>
      </c>
      <c r="S46" s="476">
        <f>'Rango en indicadores'!L11</f>
        <v>90</v>
      </c>
      <c r="T46" s="452" t="str">
        <f>'Rango en indicadores'!M11</f>
        <v>Menor o Igual A:</v>
      </c>
      <c r="U46" s="476">
        <f>'Rango en indicadores'!N11</f>
        <v>60</v>
      </c>
      <c r="V46" s="478" t="s">
        <v>835</v>
      </c>
    </row>
    <row r="47" spans="2:24" ht="95.25" customHeight="1">
      <c r="B47" s="473">
        <f>+B46+1</f>
        <v>8</v>
      </c>
      <c r="C47" s="474" t="str">
        <f>'Rango en indicadores'!E12</f>
        <v>Espacios  de  ideación y creación de innovación pública realizados</v>
      </c>
      <c r="D47" s="475" t="str">
        <f>'Rango en indicadores'!D12</f>
        <v>02-RI-02</v>
      </c>
      <c r="E47" s="476">
        <f>'02 G. Conoc Innovación POA 2020'!AQ14</f>
        <v>2</v>
      </c>
      <c r="F47" s="476">
        <f>+'02 G. Conoc Innovación POA 2020'!AO14</f>
        <v>1</v>
      </c>
      <c r="G47" s="476">
        <f>+'02 G. Conoc Innovación POA 2020'!Q14+'02 G. Conoc Innovación POA 2020'!Y14+'02 G. Conoc Innovación POA 2020'!AG14+'02 G. Conoc Innovación POA 2020'!AO14</f>
        <v>2</v>
      </c>
      <c r="H47" s="479">
        <f>+'02 G. Conoc Innovación POA 2020'!AP14</f>
        <v>0</v>
      </c>
      <c r="I47" s="476">
        <f>+'02 G. Conoc Innovación POA 2020'!R14+'02 G. Conoc Innovación POA 2020'!Z14+'02 G. Conoc Innovación POA 2020'!AH14+'02 G. Conoc Innovación POA 2020'!AP14</f>
        <v>5</v>
      </c>
      <c r="J47" s="476">
        <f>'02 G. Conoc Innovación POA 2020'!AR14</f>
        <v>5</v>
      </c>
      <c r="K47" s="489">
        <f>IF(AND(F47&gt;0),H47/F47,"No programado")</f>
        <v>0</v>
      </c>
      <c r="L47" s="488">
        <f t="shared" ref="L47:L48" si="2">IF(AND(G47&gt;0),I47/G47,"No programado")</f>
        <v>2.5</v>
      </c>
      <c r="M47" s="452">
        <f>'02 G. Conoc Innovación POA 2020'!AS14</f>
        <v>2.5</v>
      </c>
      <c r="N47" s="452" t="str">
        <f>'Rango en indicadores'!G12</f>
        <v>Mayor o igual A:</v>
      </c>
      <c r="O47" s="476">
        <f>'Rango en indicadores'!H12</f>
        <v>90</v>
      </c>
      <c r="P47" s="452" t="str">
        <f>'Rango en indicadores'!I12</f>
        <v>Desde (&gt;):</v>
      </c>
      <c r="Q47" s="476">
        <f>'Rango en indicadores'!J12</f>
        <v>60</v>
      </c>
      <c r="R47" s="452" t="str">
        <f>'Rango en indicadores'!K12</f>
        <v>Hasta (&lt;):</v>
      </c>
      <c r="S47" s="476">
        <f>'Rango en indicadores'!L12</f>
        <v>90</v>
      </c>
      <c r="T47" s="452" t="str">
        <f>'Rango en indicadores'!M12</f>
        <v>Menor o Igual A:</v>
      </c>
      <c r="U47" s="476">
        <f>'Rango en indicadores'!N12</f>
        <v>60</v>
      </c>
      <c r="V47" s="478" t="s">
        <v>836</v>
      </c>
    </row>
    <row r="48" spans="2:24" ht="129" customHeight="1">
      <c r="B48" s="473">
        <f>+B47+1</f>
        <v>9</v>
      </c>
      <c r="C48" s="474" t="str">
        <f>'Rango en indicadores'!E13</f>
        <v>Mecanismo implementado para la documentación y/o registro de la memoria institucional,  conservación en el repositorio institucional y difusión</v>
      </c>
      <c r="D48" s="475" t="str">
        <f>'Rango en indicadores'!D13</f>
        <v>02-RI-03</v>
      </c>
      <c r="E48" s="479">
        <f>'02 G. Conoc Innovación POA 2020'!AQ15</f>
        <v>0.99999999999999989</v>
      </c>
      <c r="F48" s="479">
        <f>+'02 G. Conoc Innovación POA 2020'!AO15</f>
        <v>0.35</v>
      </c>
      <c r="G48" s="479">
        <f>+'02 G. Conoc Innovación POA 2020'!Q15+'02 G. Conoc Innovación POA 2020'!Y15+'02 G. Conoc Innovación POA 2020'!AG15+'02 G. Conoc Innovación POA 2020'!AO15</f>
        <v>0.99999999999999989</v>
      </c>
      <c r="H48" s="479">
        <f>+'02 G. Conoc Innovación POA 2020'!AP15</f>
        <v>0.5</v>
      </c>
      <c r="I48" s="481">
        <f>+'02 G. Conoc Innovación POA 2020'!R15+'02 G. Conoc Innovación POA 2020'!Z15+'02 G. Conoc Innovación POA 2020'!AH15+'02 G. Conoc Innovación POA 2020'!AP15</f>
        <v>1.0249999999999999</v>
      </c>
      <c r="J48" s="490">
        <f>'02 G. Conoc Innovación POA 2020'!AR15</f>
        <v>1.0249999999999999</v>
      </c>
      <c r="K48" s="488">
        <f>IF(AND(F48&gt;0),H48/F48,"No programado")</f>
        <v>1.4285714285714286</v>
      </c>
      <c r="L48" s="488">
        <f t="shared" si="2"/>
        <v>1.0250000000000001</v>
      </c>
      <c r="M48" s="452">
        <f>'02 G. Conoc Innovación POA 2020'!AS15</f>
        <v>1.0250000000000001</v>
      </c>
      <c r="N48" s="452" t="str">
        <f>'Rango en indicadores'!G13</f>
        <v>Mayor o igual A:</v>
      </c>
      <c r="O48" s="476">
        <f>'Rango en indicadores'!H13</f>
        <v>90</v>
      </c>
      <c r="P48" s="452" t="str">
        <f>'Rango en indicadores'!I13</f>
        <v>Desde (&gt;):</v>
      </c>
      <c r="Q48" s="476">
        <f>'Rango en indicadores'!J13</f>
        <v>60</v>
      </c>
      <c r="R48" s="452" t="str">
        <f>'Rango en indicadores'!K13</f>
        <v>Hasta (&lt;):</v>
      </c>
      <c r="S48" s="476">
        <f>'Rango en indicadores'!L13</f>
        <v>90</v>
      </c>
      <c r="T48" s="452" t="str">
        <f>'Rango en indicadores'!M13</f>
        <v>Menor o Igual A:</v>
      </c>
      <c r="U48" s="476">
        <f>'Rango en indicadores'!N13</f>
        <v>60</v>
      </c>
      <c r="V48" s="478" t="s">
        <v>838</v>
      </c>
    </row>
    <row r="49" spans="2:23" ht="15.75">
      <c r="C49" s="612" t="s">
        <v>602</v>
      </c>
      <c r="D49" s="613"/>
      <c r="E49" s="613"/>
      <c r="F49" s="613"/>
      <c r="G49" s="613"/>
      <c r="H49" s="613"/>
      <c r="I49" s="613"/>
      <c r="J49" s="614"/>
      <c r="K49" s="484">
        <f>IFERROR(AVERAGE(K46:K48),0)</f>
        <v>1.142857142857143</v>
      </c>
      <c r="L49" s="484">
        <f>IFERROR(AVERAGE(L46:L48),0)</f>
        <v>1.675</v>
      </c>
      <c r="M49" s="484">
        <f>IFERROR(AVERAGE(M46:M48),0)</f>
        <v>1.675</v>
      </c>
      <c r="N49" s="462"/>
      <c r="O49" s="462"/>
      <c r="P49" s="462"/>
      <c r="Q49" s="462"/>
      <c r="R49" s="462"/>
      <c r="S49" s="462"/>
      <c r="T49" s="462"/>
      <c r="U49" s="462"/>
      <c r="V49" s="485"/>
    </row>
    <row r="50" spans="2:23" s="466" customFormat="1" ht="15.75">
      <c r="C50" s="491"/>
      <c r="D50" s="492"/>
      <c r="E50" s="491"/>
      <c r="F50" s="491"/>
      <c r="G50" s="491"/>
      <c r="H50" s="491"/>
      <c r="I50" s="491"/>
      <c r="J50" s="491"/>
      <c r="K50" s="491"/>
      <c r="L50" s="491"/>
      <c r="M50" s="491"/>
      <c r="N50" s="491"/>
      <c r="O50" s="491"/>
      <c r="P50" s="491"/>
      <c r="Q50" s="491"/>
      <c r="R50" s="491"/>
      <c r="S50" s="491"/>
      <c r="T50" s="491"/>
      <c r="U50" s="491"/>
      <c r="V50" s="468"/>
    </row>
    <row r="51" spans="2:23" s="466" customFormat="1" ht="15.75">
      <c r="C51" s="470" t="s">
        <v>604</v>
      </c>
      <c r="D51" s="492"/>
      <c r="E51" s="491"/>
      <c r="F51" s="491"/>
      <c r="G51" s="491"/>
      <c r="H51" s="491"/>
      <c r="I51" s="491"/>
      <c r="J51" s="491"/>
      <c r="K51" s="491"/>
      <c r="L51" s="491"/>
      <c r="M51" s="491"/>
      <c r="N51" s="491"/>
      <c r="O51" s="491"/>
      <c r="P51" s="491"/>
      <c r="Q51" s="491"/>
      <c r="R51" s="491"/>
      <c r="S51" s="491"/>
      <c r="T51" s="491"/>
      <c r="U51" s="491"/>
      <c r="V51" s="468"/>
    </row>
    <row r="52" spans="2:23" ht="33.75" customHeight="1">
      <c r="C52" s="600" t="s">
        <v>592</v>
      </c>
      <c r="D52" s="599" t="s">
        <v>593</v>
      </c>
      <c r="E52" s="601" t="s">
        <v>594</v>
      </c>
      <c r="F52" s="602"/>
      <c r="G52" s="603"/>
      <c r="H52" s="599" t="s">
        <v>595</v>
      </c>
      <c r="I52" s="611" t="str">
        <f>$I$31</f>
        <v>Ejecución Acumulada Corte
31/12/2020</v>
      </c>
      <c r="J52" s="599" t="s">
        <v>596</v>
      </c>
      <c r="K52" s="599" t="s">
        <v>568</v>
      </c>
      <c r="L52" s="599"/>
      <c r="M52" s="599"/>
      <c r="N52" s="591" t="s">
        <v>666</v>
      </c>
      <c r="O52" s="591"/>
      <c r="P52" s="591"/>
      <c r="Q52" s="591"/>
      <c r="R52" s="591"/>
      <c r="S52" s="591"/>
      <c r="T52" s="591"/>
      <c r="U52" s="591"/>
      <c r="V52" s="599" t="s">
        <v>597</v>
      </c>
    </row>
    <row r="53" spans="2:23" ht="58.5" customHeight="1">
      <c r="C53" s="600"/>
      <c r="D53" s="599"/>
      <c r="E53" s="471" t="s">
        <v>660</v>
      </c>
      <c r="F53" s="471" t="str">
        <f>$C$5</f>
        <v>Cuarto Trimestre</v>
      </c>
      <c r="G53" s="469" t="str">
        <f>$G$31</f>
        <v>Acumulada Corte
31/12/2020</v>
      </c>
      <c r="H53" s="599"/>
      <c r="I53" s="611"/>
      <c r="J53" s="599"/>
      <c r="K53" s="471" t="str">
        <f>+$C$5</f>
        <v>Cuarto Trimestre</v>
      </c>
      <c r="L53" s="469" t="s">
        <v>779</v>
      </c>
      <c r="M53" s="472" t="s">
        <v>569</v>
      </c>
      <c r="N53" s="592" t="s">
        <v>754</v>
      </c>
      <c r="O53" s="593"/>
      <c r="P53" s="594" t="s">
        <v>661</v>
      </c>
      <c r="Q53" s="595"/>
      <c r="R53" s="595"/>
      <c r="S53" s="596"/>
      <c r="T53" s="597" t="s">
        <v>755</v>
      </c>
      <c r="U53" s="598"/>
      <c r="V53" s="599"/>
    </row>
    <row r="54" spans="2:23" ht="45">
      <c r="B54" s="473">
        <f>+B48+1</f>
        <v>10</v>
      </c>
      <c r="C54" s="474" t="str">
        <f>'Rango en indicadores'!E14</f>
        <v>Avance en la  implementación de las mejores prácticas para la adecuada gestión de la infraestructura tecnológica de la Entidad</v>
      </c>
      <c r="D54" s="475" t="str">
        <f>'Rango en indicadores'!D14</f>
        <v>03-RI-06</v>
      </c>
      <c r="E54" s="490">
        <f>'03 Direccionamient TIC POA 2020'!AQ13</f>
        <v>0.4</v>
      </c>
      <c r="F54" s="490">
        <f>+'03 Direccionamient TIC POA 2020'!AO13</f>
        <v>0.1</v>
      </c>
      <c r="G54" s="490">
        <f>+'03 Direccionamient TIC POA 2020'!Q13+'03 Direccionamient TIC POA 2020'!Y13+'03 Direccionamient TIC POA 2020'!AG13+'03 Direccionamient TIC POA 2020'!AO13</f>
        <v>0.4</v>
      </c>
      <c r="H54" s="490">
        <f>+'03 Direccionamient TIC POA 2020'!AP13</f>
        <v>0.1</v>
      </c>
      <c r="I54" s="490">
        <f>+'03 Direccionamient TIC POA 2020'!R13+'03 Direccionamient TIC POA 2020'!Z13+'03 Direccionamient TIC POA 2020'!AH13+'03 Direccionamient TIC POA 2020'!AP13</f>
        <v>0.4</v>
      </c>
      <c r="J54" s="490">
        <f>'03 Direccionamient TIC POA 2020'!AR13</f>
        <v>0.4</v>
      </c>
      <c r="K54" s="493">
        <f t="shared" ref="K54:K59" si="3">IF(AND(F54&gt;0),H54/F54,"No programado")</f>
        <v>1</v>
      </c>
      <c r="L54" s="493">
        <f>IF(AND(G54&gt;0),I54/G54,"No programado")</f>
        <v>1</v>
      </c>
      <c r="M54" s="452">
        <f>'03 Direccionamient TIC POA 2020'!AS13</f>
        <v>1</v>
      </c>
      <c r="N54" s="488" t="str">
        <f>'Rango en indicadores'!G14</f>
        <v>Mayor o igual A:</v>
      </c>
      <c r="O54" s="476">
        <f>'Rango en indicadores'!H14</f>
        <v>90</v>
      </c>
      <c r="P54" s="488" t="str">
        <f>'Rango en indicadores'!I14</f>
        <v>Desde (&gt;):</v>
      </c>
      <c r="Q54" s="476">
        <f>'Rango en indicadores'!J14</f>
        <v>69</v>
      </c>
      <c r="R54" s="488" t="str">
        <f>'Rango en indicadores'!K14</f>
        <v>Hasta (&lt;):</v>
      </c>
      <c r="S54" s="476">
        <f>'Rango en indicadores'!L14</f>
        <v>90</v>
      </c>
      <c r="T54" s="488" t="str">
        <f>'Rango en indicadores'!M14</f>
        <v>Menor o Igual A:</v>
      </c>
      <c r="U54" s="476">
        <f>'Rango en indicadores'!N14</f>
        <v>69</v>
      </c>
      <c r="V54" s="478" t="s">
        <v>837</v>
      </c>
    </row>
    <row r="55" spans="2:23" ht="86.25" customHeight="1">
      <c r="B55" s="473">
        <f>+B54+1</f>
        <v>11</v>
      </c>
      <c r="C55" s="474" t="str">
        <f>'Rango en indicadores'!E15</f>
        <v>Avance para mantener y evolucionar los sistemas de información de la Entidad acorde a las necesidades</v>
      </c>
      <c r="D55" s="475" t="str">
        <f>'Rango en indicadores'!D15</f>
        <v>03-RI-07</v>
      </c>
      <c r="E55" s="490">
        <f>'03 Direccionamient TIC POA 2020'!AQ14</f>
        <v>0.60000000000000009</v>
      </c>
      <c r="F55" s="490">
        <f>+'03 Direccionamient TIC POA 2020'!AO14</f>
        <v>0.15000000000000002</v>
      </c>
      <c r="G55" s="490">
        <f>+'03 Direccionamient TIC POA 2020'!Q14+'03 Direccionamient TIC POA 2020'!Y14+'03 Direccionamient TIC POA 2020'!AG14+'03 Direccionamient TIC POA 2020'!AO14</f>
        <v>0.60000000000000009</v>
      </c>
      <c r="H55" s="490">
        <f>+'03 Direccionamient TIC POA 2020'!AP14</f>
        <v>6.0000000000000005E-2</v>
      </c>
      <c r="I55" s="490">
        <f>+'03 Direccionamient TIC POA 2020'!R14+'03 Direccionamient TIC POA 2020'!Z14+'03 Direccionamient TIC POA 2020'!AH14+'03 Direccionamient TIC POA 2020'!AP14</f>
        <v>0.67</v>
      </c>
      <c r="J55" s="490">
        <f>'03 Direccionamient TIC POA 2020'!AR14</f>
        <v>0.67</v>
      </c>
      <c r="K55" s="493">
        <f t="shared" si="3"/>
        <v>0.39999999999999997</v>
      </c>
      <c r="L55" s="493">
        <f t="shared" ref="L55" si="4">IF(AND(G55&gt;0),I55/G55,"No programado")</f>
        <v>1.1166666666666665</v>
      </c>
      <c r="M55" s="452">
        <f>'03 Direccionamient TIC POA 2020'!AS14</f>
        <v>1.1166666666666665</v>
      </c>
      <c r="N55" s="488" t="str">
        <f>'Rango en indicadores'!G15</f>
        <v>Mayor o igual A:</v>
      </c>
      <c r="O55" s="476">
        <f>'Rango en indicadores'!H15</f>
        <v>90</v>
      </c>
      <c r="P55" s="488" t="str">
        <f>'Rango en indicadores'!I15</f>
        <v>Desde (&gt;):</v>
      </c>
      <c r="Q55" s="476">
        <f>'Rango en indicadores'!J15</f>
        <v>69</v>
      </c>
      <c r="R55" s="488" t="str">
        <f>'Rango en indicadores'!K15</f>
        <v>Hasta (&lt;):</v>
      </c>
      <c r="S55" s="476">
        <f>'Rango en indicadores'!L15</f>
        <v>90</v>
      </c>
      <c r="T55" s="488" t="str">
        <f>'Rango en indicadores'!M15</f>
        <v>Menor o Igual A:</v>
      </c>
      <c r="U55" s="476">
        <f>'Rango en indicadores'!N15</f>
        <v>69</v>
      </c>
      <c r="V55" s="478" t="s">
        <v>841</v>
      </c>
      <c r="W55" s="494"/>
    </row>
    <row r="56" spans="2:23" ht="45">
      <c r="B56" s="473">
        <f>+B55+1</f>
        <v>12</v>
      </c>
      <c r="C56" s="474" t="str">
        <f>'Rango en indicadores'!E16</f>
        <v>Avance en el desarrollo de las actividades requeridas para la implementación del Sistema de Gestión de Seguridad de la Información SGSI</v>
      </c>
      <c r="D56" s="475" t="str">
        <f>'Rango en indicadores'!D16</f>
        <v>03-RI-08</v>
      </c>
      <c r="E56" s="490">
        <f>'03 Direccionamient TIC POA 2020'!AQ15</f>
        <v>0.2</v>
      </c>
      <c r="F56" s="490">
        <f>+'03 Direccionamient TIC POA 2020'!AO15</f>
        <v>0</v>
      </c>
      <c r="G56" s="490">
        <f>+'03 Direccionamient TIC POA 2020'!Q15+'03 Direccionamient TIC POA 2020'!Y15+'03 Direccionamient TIC POA 2020'!AG15+'03 Direccionamient TIC POA 2020'!AO15</f>
        <v>0.2</v>
      </c>
      <c r="H56" s="490">
        <f>+'03 Direccionamient TIC POA 2020'!AP15</f>
        <v>1.0999999999999999E-2</v>
      </c>
      <c r="I56" s="490">
        <f>+'03 Direccionamient TIC POA 2020'!R15+'03 Direccionamient TIC POA 2020'!Z15+'03 Direccionamient TIC POA 2020'!AH15+'03 Direccionamient TIC POA 2020'!AP15</f>
        <v>0.19600000000000001</v>
      </c>
      <c r="J56" s="490">
        <f>'03 Direccionamient TIC POA 2020'!AR15</f>
        <v>0.19600000000000001</v>
      </c>
      <c r="K56" s="493" t="str">
        <f t="shared" si="3"/>
        <v>No programado</v>
      </c>
      <c r="L56" s="493">
        <f>IF(AND(G56&gt;0),I56/G56,"No programado")</f>
        <v>0.98</v>
      </c>
      <c r="M56" s="452">
        <f>'03 Direccionamient TIC POA 2020'!AS15</f>
        <v>0.98</v>
      </c>
      <c r="N56" s="488" t="str">
        <f>'Rango en indicadores'!G16</f>
        <v>Mayor o igual A:</v>
      </c>
      <c r="O56" s="476">
        <f>'Rango en indicadores'!H16</f>
        <v>90</v>
      </c>
      <c r="P56" s="488" t="str">
        <f>'Rango en indicadores'!I16</f>
        <v>Desde (&gt;):</v>
      </c>
      <c r="Q56" s="476">
        <f>'Rango en indicadores'!J16</f>
        <v>69</v>
      </c>
      <c r="R56" s="488" t="str">
        <f>'Rango en indicadores'!K16</f>
        <v>Hasta (&lt;):</v>
      </c>
      <c r="S56" s="476">
        <f>'Rango en indicadores'!L16</f>
        <v>90</v>
      </c>
      <c r="T56" s="488" t="str">
        <f>'Rango en indicadores'!M16</f>
        <v>Menor o Igual A:</v>
      </c>
      <c r="U56" s="476">
        <f>'Rango en indicadores'!N16</f>
        <v>69</v>
      </c>
      <c r="V56" s="478" t="s">
        <v>839</v>
      </c>
    </row>
    <row r="57" spans="2:23" ht="38.25">
      <c r="B57" s="473">
        <f>+B56+1</f>
        <v>13</v>
      </c>
      <c r="C57" s="474" t="str">
        <f>'Rango en indicadores'!E17</f>
        <v>Avance del desarrollo del plan de acción enmarcadas en el manual de la política de Gobierno Digital</v>
      </c>
      <c r="D57" s="475" t="str">
        <f>'Rango en indicadores'!D17</f>
        <v>03-RI-09</v>
      </c>
      <c r="E57" s="490">
        <f>'03 Direccionamient TIC POA 2020'!AQ16</f>
        <v>0.4</v>
      </c>
      <c r="F57" s="490">
        <f>+'03 Direccionamient TIC POA 2020'!AO16</f>
        <v>0.05</v>
      </c>
      <c r="G57" s="490">
        <f>+'03 Direccionamient TIC POA 2020'!Q16+'03 Direccionamient TIC POA 2020'!Y16+'03 Direccionamient TIC POA 2020'!AG16+'03 Direccionamient TIC POA 2020'!AO16</f>
        <v>0.4</v>
      </c>
      <c r="H57" s="490">
        <f>+'03 Direccionamient TIC POA 2020'!AP16</f>
        <v>0.05</v>
      </c>
      <c r="I57" s="490">
        <f>+'03 Direccionamient TIC POA 2020'!R16+'03 Direccionamient TIC POA 2020'!Z16+'03 Direccionamient TIC POA 2020'!AH16+'03 Direccionamient TIC POA 2020'!AP16</f>
        <v>0.4</v>
      </c>
      <c r="J57" s="490">
        <f>'03 Direccionamient TIC POA 2020'!AR16</f>
        <v>0.4</v>
      </c>
      <c r="K57" s="493">
        <f t="shared" si="3"/>
        <v>1</v>
      </c>
      <c r="L57" s="493">
        <f>IF(AND(G57&gt;0),I57/G57,"No programado")</f>
        <v>1</v>
      </c>
      <c r="M57" s="452">
        <f>'03 Direccionamient TIC POA 2020'!AS16</f>
        <v>1</v>
      </c>
      <c r="N57" s="488" t="str">
        <f>'Rango en indicadores'!G17</f>
        <v>Mayor o igual A:</v>
      </c>
      <c r="O57" s="476">
        <f>'Rango en indicadores'!H17</f>
        <v>90</v>
      </c>
      <c r="P57" s="488" t="str">
        <f>'Rango en indicadores'!I17</f>
        <v>Desde (&gt;):</v>
      </c>
      <c r="Q57" s="476">
        <f>'Rango en indicadores'!J17</f>
        <v>69</v>
      </c>
      <c r="R57" s="488" t="str">
        <f>'Rango en indicadores'!K17</f>
        <v>Hasta (&lt;):</v>
      </c>
      <c r="S57" s="476">
        <f>'Rango en indicadores'!L17</f>
        <v>90</v>
      </c>
      <c r="T57" s="488" t="str">
        <f>'Rango en indicadores'!M17</f>
        <v>Menor o Igual A:</v>
      </c>
      <c r="U57" s="476">
        <f>'Rango en indicadores'!N17</f>
        <v>69</v>
      </c>
      <c r="V57" s="478" t="s">
        <v>837</v>
      </c>
    </row>
    <row r="58" spans="2:23" ht="97.5" customHeight="1">
      <c r="B58" s="473">
        <f>+B57+1</f>
        <v>14</v>
      </c>
      <c r="C58" s="474" t="str">
        <f>'Rango en indicadores'!E18</f>
        <v>Porcentaje de requerimientos atendidos oportunamente</v>
      </c>
      <c r="D58" s="475" t="str">
        <f>'Rango en indicadores'!D18</f>
        <v>03-RI-10</v>
      </c>
      <c r="E58" s="490">
        <f>'03 Direccionamient TIC POA 2020'!AQ17</f>
        <v>0.91249999999999998</v>
      </c>
      <c r="F58" s="490">
        <f>+'03 Direccionamient TIC POA 2020'!AO17</f>
        <v>0.9</v>
      </c>
      <c r="G58" s="481">
        <f>E58</f>
        <v>0.91249999999999998</v>
      </c>
      <c r="H58" s="490">
        <f>+'03 Direccionamient TIC POA 2020'!AP17</f>
        <v>0.90200000000000002</v>
      </c>
      <c r="I58" s="481">
        <f>J58</f>
        <v>0.92300000000000004</v>
      </c>
      <c r="J58" s="490">
        <f>'03 Direccionamient TIC POA 2020'!AR17</f>
        <v>0.92300000000000004</v>
      </c>
      <c r="K58" s="493">
        <f t="shared" si="3"/>
        <v>1.0022222222222221</v>
      </c>
      <c r="L58" s="493">
        <f>IF(AND(G58&gt;0),I58/G58,"No programado")</f>
        <v>1.0115068493150685</v>
      </c>
      <c r="M58" s="452">
        <f>'03 Direccionamient TIC POA 2020'!AS17</f>
        <v>1.0115068493150685</v>
      </c>
      <c r="N58" s="488" t="str">
        <f>'Rango en indicadores'!G18</f>
        <v>Mayor o igual A:</v>
      </c>
      <c r="O58" s="476">
        <f>'Rango en indicadores'!H18</f>
        <v>90</v>
      </c>
      <c r="P58" s="488" t="str">
        <f>'Rango en indicadores'!I18</f>
        <v>Desde (&gt;):</v>
      </c>
      <c r="Q58" s="476">
        <f>'Rango en indicadores'!J18</f>
        <v>69</v>
      </c>
      <c r="R58" s="488" t="str">
        <f>'Rango en indicadores'!K18</f>
        <v>Hasta (&lt;):</v>
      </c>
      <c r="S58" s="476">
        <f>'Rango en indicadores'!L18</f>
        <v>90</v>
      </c>
      <c r="T58" s="488" t="str">
        <f>'Rango en indicadores'!M18</f>
        <v>Menor o Igual A:</v>
      </c>
      <c r="U58" s="476">
        <f>'Rango en indicadores'!N18</f>
        <v>69</v>
      </c>
      <c r="V58" s="478" t="s">
        <v>840</v>
      </c>
    </row>
    <row r="59" spans="2:23" ht="79.5" customHeight="1">
      <c r="B59" s="473">
        <f>+B58+1</f>
        <v>15</v>
      </c>
      <c r="C59" s="474" t="str">
        <f>'Rango en indicadores'!E19</f>
        <v>Porcentaje de usuarios satisfechos</v>
      </c>
      <c r="D59" s="475" t="str">
        <f>'Rango en indicadores'!D19</f>
        <v>03-RI-11</v>
      </c>
      <c r="E59" s="490">
        <f>'03 Direccionamient TIC POA 2020'!AQ18</f>
        <v>0.91249999999999998</v>
      </c>
      <c r="F59" s="490">
        <f>+'03 Direccionamient TIC POA 2020'!AO18</f>
        <v>0.9</v>
      </c>
      <c r="G59" s="481">
        <f>E59</f>
        <v>0.91249999999999998</v>
      </c>
      <c r="H59" s="490">
        <f>+'03 Direccionamient TIC POA 2020'!AP18</f>
        <v>0.94799999999999995</v>
      </c>
      <c r="I59" s="481">
        <f>ROUNDDOWN(AVERAGE('03 Direccionamient TIC POA 2020'!R18,'03 Direccionamient TIC POA 2020'!Z18,'03 Direccionamient TIC POA 2020'!AH18,'03 Direccionamient TIC POA 2020'!AP18),3)</f>
        <v>0.95799999999999996</v>
      </c>
      <c r="J59" s="490">
        <f>'03 Direccionamient TIC POA 2020'!AR18</f>
        <v>0.95799999999999996</v>
      </c>
      <c r="K59" s="493">
        <f t="shared" si="3"/>
        <v>1.0533333333333332</v>
      </c>
      <c r="L59" s="493">
        <f>IF(AND(G59&gt;0),I59/G59,"No programado")</f>
        <v>1.0498630136986302</v>
      </c>
      <c r="M59" s="452">
        <f>'03 Direccionamient TIC POA 2020'!AS18</f>
        <v>1.0498630136986302</v>
      </c>
      <c r="N59" s="488" t="str">
        <f>'Rango en indicadores'!G19</f>
        <v>Mayor o igual A:</v>
      </c>
      <c r="O59" s="476">
        <f>'Rango en indicadores'!H19</f>
        <v>90</v>
      </c>
      <c r="P59" s="488" t="str">
        <f>'Rango en indicadores'!I19</f>
        <v>Desde (&gt;):</v>
      </c>
      <c r="Q59" s="476">
        <f>'Rango en indicadores'!J19</f>
        <v>69</v>
      </c>
      <c r="R59" s="488" t="str">
        <f>'Rango en indicadores'!K19</f>
        <v>Hasta (&lt;):</v>
      </c>
      <c r="S59" s="476">
        <f>'Rango en indicadores'!L19</f>
        <v>90</v>
      </c>
      <c r="T59" s="488" t="str">
        <f>'Rango en indicadores'!M19</f>
        <v>Menor o Igual A:</v>
      </c>
      <c r="U59" s="476">
        <f>'Rango en indicadores'!N19</f>
        <v>69</v>
      </c>
      <c r="V59" s="478" t="s">
        <v>842</v>
      </c>
    </row>
    <row r="60" spans="2:23" ht="15.75">
      <c r="C60" s="612" t="s">
        <v>602</v>
      </c>
      <c r="D60" s="613"/>
      <c r="E60" s="613"/>
      <c r="F60" s="613"/>
      <c r="G60" s="613"/>
      <c r="H60" s="613"/>
      <c r="I60" s="613"/>
      <c r="J60" s="614"/>
      <c r="K60" s="484">
        <f>IFERROR(AVERAGE(K54:K59),0)</f>
        <v>0.89111111111111119</v>
      </c>
      <c r="L60" s="484">
        <f>IFERROR(AVERAGE(L54:L59),0)</f>
        <v>1.0263394216133941</v>
      </c>
      <c r="M60" s="484">
        <f>IFERROR(AVERAGE(M54:M59),0)</f>
        <v>1.0263394216133941</v>
      </c>
      <c r="N60" s="462"/>
      <c r="O60" s="462"/>
      <c r="P60" s="462"/>
      <c r="Q60" s="462"/>
      <c r="R60" s="462"/>
      <c r="S60" s="462"/>
      <c r="T60" s="462"/>
      <c r="U60" s="462"/>
      <c r="V60" s="485"/>
    </row>
    <row r="61" spans="2:23" s="466" customFormat="1">
      <c r="D61" s="467"/>
      <c r="V61" s="468"/>
    </row>
    <row r="62" spans="2:23" s="466" customFormat="1" ht="15.75">
      <c r="C62" s="470" t="s">
        <v>610</v>
      </c>
      <c r="D62" s="492"/>
      <c r="V62" s="468"/>
    </row>
    <row r="63" spans="2:23" ht="34.5" customHeight="1">
      <c r="C63" s="600" t="s">
        <v>592</v>
      </c>
      <c r="D63" s="599" t="s">
        <v>593</v>
      </c>
      <c r="E63" s="601" t="s">
        <v>594</v>
      </c>
      <c r="F63" s="602"/>
      <c r="G63" s="603"/>
      <c r="H63" s="599" t="s">
        <v>595</v>
      </c>
      <c r="I63" s="611" t="str">
        <f>$I$31</f>
        <v>Ejecución Acumulada Corte
31/12/2020</v>
      </c>
      <c r="J63" s="599" t="s">
        <v>596</v>
      </c>
      <c r="K63" s="599" t="s">
        <v>568</v>
      </c>
      <c r="L63" s="599"/>
      <c r="M63" s="599"/>
      <c r="N63" s="591" t="s">
        <v>666</v>
      </c>
      <c r="O63" s="591"/>
      <c r="P63" s="591"/>
      <c r="Q63" s="591"/>
      <c r="R63" s="591"/>
      <c r="S63" s="591"/>
      <c r="T63" s="591"/>
      <c r="U63" s="591"/>
      <c r="V63" s="599" t="s">
        <v>597</v>
      </c>
    </row>
    <row r="64" spans="2:23" ht="68.25" customHeight="1">
      <c r="C64" s="600"/>
      <c r="D64" s="599"/>
      <c r="E64" s="471" t="s">
        <v>660</v>
      </c>
      <c r="F64" s="471" t="str">
        <f>$C$5</f>
        <v>Cuarto Trimestre</v>
      </c>
      <c r="G64" s="469" t="str">
        <f>$G$31</f>
        <v>Acumulada Corte
31/12/2020</v>
      </c>
      <c r="H64" s="599"/>
      <c r="I64" s="611"/>
      <c r="J64" s="599"/>
      <c r="K64" s="471" t="str">
        <f>+$C$5</f>
        <v>Cuarto Trimestre</v>
      </c>
      <c r="L64" s="469" t="str">
        <f>$L$31</f>
        <v>Acumulado Corte 31/12/2020</v>
      </c>
      <c r="M64" s="472" t="s">
        <v>569</v>
      </c>
      <c r="N64" s="592" t="s">
        <v>754</v>
      </c>
      <c r="O64" s="593"/>
      <c r="P64" s="594" t="s">
        <v>661</v>
      </c>
      <c r="Q64" s="595"/>
      <c r="R64" s="595"/>
      <c r="S64" s="596"/>
      <c r="T64" s="597" t="s">
        <v>755</v>
      </c>
      <c r="U64" s="598"/>
      <c r="V64" s="599"/>
    </row>
    <row r="65" spans="2:22" ht="45">
      <c r="B65" s="473">
        <f>+B59+1</f>
        <v>16</v>
      </c>
      <c r="C65" s="474" t="str">
        <f>'Rango en indicadores'!E20</f>
        <v>Porcentaje de avance en el diseño e implementación de la estrategia de comunicación para la socialización de los servicios que brindan las personería locales</v>
      </c>
      <c r="D65" s="475" t="str">
        <f>'Rango en indicadores'!D20</f>
        <v>04-RI-01</v>
      </c>
      <c r="E65" s="490">
        <f>'04 Comunicación Estrat POA 2020'!AQ13</f>
        <v>1</v>
      </c>
      <c r="F65" s="490">
        <f>+'04 Comunicación Estrat POA 2020'!AO13</f>
        <v>1</v>
      </c>
      <c r="G65" s="481">
        <f>ROUNDDOWN(AVERAGE('04 Comunicación Estrat POA 2020'!Q13,'04 Comunicación Estrat POA 2020'!Y13,'04 Comunicación Estrat POA 2020'!AG13,'04 Comunicación Estrat POA 2020'!AP13),3)</f>
        <v>1</v>
      </c>
      <c r="H65" s="490">
        <f>+'04 Comunicación Estrat POA 2020'!AP13</f>
        <v>1</v>
      </c>
      <c r="I65" s="481">
        <f>ROUNDDOWN(AVERAGE('04 Comunicación Estrat POA 2020'!R13,'04 Comunicación Estrat POA 2020'!Z13,'04 Comunicación Estrat POA 2020'!AH13,'04 Comunicación Estrat POA 2020'!AP13),3)</f>
        <v>1</v>
      </c>
      <c r="J65" s="490">
        <f>'04 Comunicación Estrat POA 2020'!AR13</f>
        <v>1</v>
      </c>
      <c r="K65" s="493">
        <f>IF(AND(F65&gt;0),H65/F65,"No programado")</f>
        <v>1</v>
      </c>
      <c r="L65" s="493">
        <f>IF(AND(G65&gt;0),I65/G65,"No programado")</f>
        <v>1</v>
      </c>
      <c r="M65" s="452">
        <f>'04 Comunicación Estrat POA 2020'!AS13</f>
        <v>1</v>
      </c>
      <c r="N65" s="488" t="str">
        <f>'Rango en indicadores'!G20</f>
        <v>Mayor o igual A:</v>
      </c>
      <c r="O65" s="476">
        <f>'Rango en indicadores'!H20</f>
        <v>90</v>
      </c>
      <c r="P65" s="488" t="str">
        <f>'Rango en indicadores'!I20</f>
        <v>Desde (&gt;):</v>
      </c>
      <c r="Q65" s="476">
        <f>'Rango en indicadores'!J20</f>
        <v>69</v>
      </c>
      <c r="R65" s="488" t="str">
        <f>'Rango en indicadores'!K20</f>
        <v>Hasta (&lt;):</v>
      </c>
      <c r="S65" s="476">
        <f>'Rango en indicadores'!L20</f>
        <v>90</v>
      </c>
      <c r="T65" s="488" t="str">
        <f>'Rango en indicadores'!M20</f>
        <v>Menor o Igual A:</v>
      </c>
      <c r="U65" s="476">
        <f>'Rango en indicadores'!N20</f>
        <v>69</v>
      </c>
      <c r="V65" s="478" t="s">
        <v>837</v>
      </c>
    </row>
    <row r="66" spans="2:22" ht="45">
      <c r="B66" s="473">
        <f>+B65+1</f>
        <v>17</v>
      </c>
      <c r="C66" s="474" t="str">
        <f>'Rango en indicadores'!E21</f>
        <v>Porcentaje de avance en el diseño y ejecución de la campaña de sensibilización para ayudar a promover los derechos de las personas en el Distrito Capital.</v>
      </c>
      <c r="D66" s="475" t="str">
        <f>'Rango en indicadores'!D21</f>
        <v>04-RI-02</v>
      </c>
      <c r="E66" s="490">
        <f>'04 Comunicación Estrat POA 2020'!AQ14</f>
        <v>1</v>
      </c>
      <c r="F66" s="490">
        <f>+'04 Comunicación Estrat POA 2020'!AO14</f>
        <v>1</v>
      </c>
      <c r="G66" s="481">
        <f>ROUNDDOWN(AVERAGE('04 Comunicación Estrat POA 2020'!Q14,'04 Comunicación Estrat POA 2020'!Y14,'04 Comunicación Estrat POA 2020'!AG14,'04 Comunicación Estrat POA 2020'!AP14),3)</f>
        <v>1</v>
      </c>
      <c r="H66" s="490">
        <f>+'04 Comunicación Estrat POA 2020'!AP14</f>
        <v>1</v>
      </c>
      <c r="I66" s="481">
        <f>ROUNDDOWN(AVERAGE('04 Comunicación Estrat POA 2020'!R14,'04 Comunicación Estrat POA 2020'!Z14,'04 Comunicación Estrat POA 2020'!AH14,'04 Comunicación Estrat POA 2020'!AP14),3)</f>
        <v>1</v>
      </c>
      <c r="J66" s="490">
        <f>'04 Comunicación Estrat POA 2020'!AR14</f>
        <v>1</v>
      </c>
      <c r="K66" s="493">
        <f>IF(AND(F66&gt;0),H66/F66,"No programado")</f>
        <v>1</v>
      </c>
      <c r="L66" s="493">
        <f t="shared" ref="L66:L68" si="5">IF(AND(G66&gt;0),I66/G66,"No programado")</f>
        <v>1</v>
      </c>
      <c r="M66" s="452">
        <f>'04 Comunicación Estrat POA 2020'!AS14</f>
        <v>1</v>
      </c>
      <c r="N66" s="488" t="str">
        <f>'Rango en indicadores'!G21</f>
        <v>Mayor o igual A:</v>
      </c>
      <c r="O66" s="476">
        <f>'Rango en indicadores'!H21</f>
        <v>90</v>
      </c>
      <c r="P66" s="488" t="str">
        <f>'Rango en indicadores'!I21</f>
        <v>Desde (&gt;):</v>
      </c>
      <c r="Q66" s="476">
        <f>'Rango en indicadores'!J21</f>
        <v>69</v>
      </c>
      <c r="R66" s="488" t="str">
        <f>'Rango en indicadores'!K21</f>
        <v>Hasta (&lt;):</v>
      </c>
      <c r="S66" s="476">
        <f>'Rango en indicadores'!L21</f>
        <v>90</v>
      </c>
      <c r="T66" s="488" t="str">
        <f>'Rango en indicadores'!M21</f>
        <v>Menor o Igual A:</v>
      </c>
      <c r="U66" s="476">
        <f>'Rango en indicadores'!N21</f>
        <v>69</v>
      </c>
      <c r="V66" s="478" t="s">
        <v>837</v>
      </c>
    </row>
    <row r="67" spans="2:22" ht="45">
      <c r="B67" s="473">
        <f>+B66+1</f>
        <v>18</v>
      </c>
      <c r="C67" s="474" t="str">
        <f>'Rango en indicadores'!E22</f>
        <v>Porcentaje de avance en el diseño y ejecución de la campaña de divulgación para contribuir en la promoción de los derechos humanos en el distrito capital</v>
      </c>
      <c r="D67" s="475" t="str">
        <f>'Rango en indicadores'!D22</f>
        <v>04-RI-03</v>
      </c>
      <c r="E67" s="490">
        <f>'04 Comunicación Estrat POA 2020'!AQ15</f>
        <v>1</v>
      </c>
      <c r="F67" s="490">
        <f>+'04 Comunicación Estrat POA 2020'!AO15</f>
        <v>1</v>
      </c>
      <c r="G67" s="481">
        <f>ROUNDDOWN(AVERAGE('04 Comunicación Estrat POA 2020'!Q15,'04 Comunicación Estrat POA 2020'!Y15,'04 Comunicación Estrat POA 2020'!AG15,'04 Comunicación Estrat POA 2020'!AP15),3)</f>
        <v>1</v>
      </c>
      <c r="H67" s="490">
        <f>+'04 Comunicación Estrat POA 2020'!AP15</f>
        <v>1</v>
      </c>
      <c r="I67" s="481">
        <f>ROUNDDOWN(AVERAGE('04 Comunicación Estrat POA 2020'!R15,'04 Comunicación Estrat POA 2020'!Z15,'04 Comunicación Estrat POA 2020'!AH15,'04 Comunicación Estrat POA 2020'!AP15),3)</f>
        <v>1</v>
      </c>
      <c r="J67" s="490">
        <f>'04 Comunicación Estrat POA 2020'!AR15</f>
        <v>1</v>
      </c>
      <c r="K67" s="493">
        <f>IF(AND(F67&gt;0),H67/F67,"No programado")</f>
        <v>1</v>
      </c>
      <c r="L67" s="493">
        <f t="shared" si="5"/>
        <v>1</v>
      </c>
      <c r="M67" s="452">
        <f>'04 Comunicación Estrat POA 2020'!AS15</f>
        <v>1</v>
      </c>
      <c r="N67" s="488" t="str">
        <f>'Rango en indicadores'!G22</f>
        <v>Mayor o igual A:</v>
      </c>
      <c r="O67" s="476">
        <f>'Rango en indicadores'!H22</f>
        <v>90</v>
      </c>
      <c r="P67" s="488" t="str">
        <f>'Rango en indicadores'!I22</f>
        <v>Desde (&gt;):</v>
      </c>
      <c r="Q67" s="476">
        <f>'Rango en indicadores'!J22</f>
        <v>69</v>
      </c>
      <c r="R67" s="488" t="str">
        <f>'Rango en indicadores'!K22</f>
        <v>Hasta (&lt;):</v>
      </c>
      <c r="S67" s="476">
        <f>'Rango en indicadores'!L22</f>
        <v>90</v>
      </c>
      <c r="T67" s="488" t="str">
        <f>'Rango en indicadores'!M22</f>
        <v>Menor o Igual A:</v>
      </c>
      <c r="U67" s="476">
        <f>'Rango en indicadores'!N22</f>
        <v>69</v>
      </c>
      <c r="V67" s="478" t="s">
        <v>837</v>
      </c>
    </row>
    <row r="68" spans="2:22" ht="45">
      <c r="B68" s="473">
        <f>+B67+1</f>
        <v>19</v>
      </c>
      <c r="C68" s="474" t="str">
        <f>'Rango en indicadores'!E23</f>
        <v>Porcentaje de avance en el diseño y ejecución de la campaña de divulgación para promover una Cultura de Calidad, Buen Servicio y Mejora Continua</v>
      </c>
      <c r="D68" s="475" t="str">
        <f>'Rango en indicadores'!D23</f>
        <v>04-RI-04</v>
      </c>
      <c r="E68" s="490">
        <f>'04 Comunicación Estrat POA 2020'!AQ16</f>
        <v>1</v>
      </c>
      <c r="F68" s="490">
        <f>+'04 Comunicación Estrat POA 2020'!AO16</f>
        <v>1</v>
      </c>
      <c r="G68" s="481">
        <f>ROUNDDOWN(AVERAGE('04 Comunicación Estrat POA 2020'!Q16,'04 Comunicación Estrat POA 2020'!Y16,'04 Comunicación Estrat POA 2020'!AG16,'04 Comunicación Estrat POA 2020'!AP16),3)</f>
        <v>1</v>
      </c>
      <c r="H68" s="490">
        <f>+'04 Comunicación Estrat POA 2020'!AP16</f>
        <v>1</v>
      </c>
      <c r="I68" s="481">
        <f>ROUNDDOWN(AVERAGE('04 Comunicación Estrat POA 2020'!R16,'04 Comunicación Estrat POA 2020'!Z16,'04 Comunicación Estrat POA 2020'!AH16,'04 Comunicación Estrat POA 2020'!AP16),3)</f>
        <v>1</v>
      </c>
      <c r="J68" s="490">
        <f>'04 Comunicación Estrat POA 2020'!AR16</f>
        <v>1</v>
      </c>
      <c r="K68" s="493">
        <f>IF(AND(F68&gt;0),H68/F68,"No programado")</f>
        <v>1</v>
      </c>
      <c r="L68" s="493">
        <f t="shared" si="5"/>
        <v>1</v>
      </c>
      <c r="M68" s="452">
        <f>'04 Comunicación Estrat POA 2020'!AS16</f>
        <v>1</v>
      </c>
      <c r="N68" s="488" t="str">
        <f>'Rango en indicadores'!G23</f>
        <v>Mayor o igual A:</v>
      </c>
      <c r="O68" s="476">
        <f>'Rango en indicadores'!H23</f>
        <v>90</v>
      </c>
      <c r="P68" s="488" t="str">
        <f>'Rango en indicadores'!I23</f>
        <v>Desde (&gt;):</v>
      </c>
      <c r="Q68" s="476">
        <f>'Rango en indicadores'!J23</f>
        <v>69</v>
      </c>
      <c r="R68" s="488" t="str">
        <f>'Rango en indicadores'!K23</f>
        <v>Hasta (&lt;):</v>
      </c>
      <c r="S68" s="476">
        <f>'Rango en indicadores'!L23</f>
        <v>90</v>
      </c>
      <c r="T68" s="488" t="str">
        <f>'Rango en indicadores'!M23</f>
        <v>Menor o Igual A:</v>
      </c>
      <c r="U68" s="476">
        <f>'Rango en indicadores'!N23</f>
        <v>69</v>
      </c>
      <c r="V68" s="478" t="s">
        <v>837</v>
      </c>
    </row>
    <row r="69" spans="2:22" ht="90">
      <c r="B69" s="473">
        <f>+B68+1</f>
        <v>20</v>
      </c>
      <c r="C69" s="474" t="str">
        <f>'Rango en indicadores'!E24</f>
        <v>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v>
      </c>
      <c r="D69" s="475" t="str">
        <f>'Rango en indicadores'!D24</f>
        <v>04-RI-05</v>
      </c>
      <c r="E69" s="490">
        <f>'04 Comunicación Estrat POA 2020'!AQ17</f>
        <v>1</v>
      </c>
      <c r="F69" s="490">
        <f>+'04 Comunicación Estrat POA 2020'!AO17</f>
        <v>1</v>
      </c>
      <c r="G69" s="481">
        <f>ROUNDDOWN(AVERAGE('04 Comunicación Estrat POA 2020'!Q17,'04 Comunicación Estrat POA 2020'!Y17,'04 Comunicación Estrat POA 2020'!AG17,'04 Comunicación Estrat POA 2020'!AP17),3)</f>
        <v>1</v>
      </c>
      <c r="H69" s="490">
        <f>+'04 Comunicación Estrat POA 2020'!AP17</f>
        <v>1</v>
      </c>
      <c r="I69" s="481">
        <f>ROUNDDOWN(AVERAGE('04 Comunicación Estrat POA 2020'!R17,'04 Comunicación Estrat POA 2020'!Z17,'04 Comunicación Estrat POA 2020'!AH17,'04 Comunicación Estrat POA 2020'!AP17),3)</f>
        <v>1</v>
      </c>
      <c r="J69" s="490">
        <f>'04 Comunicación Estrat POA 2020'!AR17</f>
        <v>1</v>
      </c>
      <c r="K69" s="493">
        <f>IF(AND(F69&gt;0),H69/F69,"No programado")</f>
        <v>1</v>
      </c>
      <c r="L69" s="493">
        <f>IF(AND(G69&gt;0),I69/G69,"No programado")</f>
        <v>1</v>
      </c>
      <c r="M69" s="452">
        <f>'04 Comunicación Estrat POA 2020'!AS17</f>
        <v>1</v>
      </c>
      <c r="N69" s="488" t="str">
        <f>'Rango en indicadores'!G24</f>
        <v>Mayor o igual A:</v>
      </c>
      <c r="O69" s="476">
        <f>'Rango en indicadores'!H24</f>
        <v>90</v>
      </c>
      <c r="P69" s="488" t="str">
        <f>'Rango en indicadores'!I24</f>
        <v>Desde (&gt;):</v>
      </c>
      <c r="Q69" s="476">
        <f>'Rango en indicadores'!J24</f>
        <v>69</v>
      </c>
      <c r="R69" s="488" t="str">
        <f>'Rango en indicadores'!K24</f>
        <v>Hasta (&lt;):</v>
      </c>
      <c r="S69" s="476">
        <f>'Rango en indicadores'!L24</f>
        <v>90</v>
      </c>
      <c r="T69" s="488" t="str">
        <f>'Rango en indicadores'!M24</f>
        <v>Menor o Igual A:</v>
      </c>
      <c r="U69" s="476">
        <f>'Rango en indicadores'!N24</f>
        <v>69</v>
      </c>
      <c r="V69" s="478" t="s">
        <v>837</v>
      </c>
    </row>
    <row r="70" spans="2:22" ht="15.75">
      <c r="C70" s="612" t="s">
        <v>602</v>
      </c>
      <c r="D70" s="613"/>
      <c r="E70" s="613"/>
      <c r="F70" s="613"/>
      <c r="G70" s="613"/>
      <c r="H70" s="613"/>
      <c r="I70" s="613"/>
      <c r="J70" s="614"/>
      <c r="K70" s="484">
        <f>IFERROR(AVERAGE(K65:K69),0)</f>
        <v>1</v>
      </c>
      <c r="L70" s="484">
        <f>IFERROR(AVERAGE(L65:L69),0)</f>
        <v>1</v>
      </c>
      <c r="M70" s="484">
        <f>IFERROR(AVERAGE(M65:M69),0)</f>
        <v>1</v>
      </c>
      <c r="N70" s="495"/>
      <c r="O70" s="495"/>
      <c r="P70" s="495"/>
      <c r="Q70" s="495"/>
      <c r="R70" s="495"/>
      <c r="S70" s="495"/>
      <c r="T70" s="495"/>
      <c r="U70" s="495"/>
      <c r="V70" s="485"/>
    </row>
    <row r="71" spans="2:22" s="466" customFormat="1">
      <c r="D71" s="467"/>
      <c r="V71" s="468"/>
    </row>
    <row r="72" spans="2:22" s="466" customFormat="1" ht="15.75">
      <c r="C72" s="470" t="s">
        <v>614</v>
      </c>
      <c r="D72" s="492"/>
      <c r="V72" s="468"/>
    </row>
    <row r="73" spans="2:22" ht="33" customHeight="1">
      <c r="C73" s="600" t="s">
        <v>592</v>
      </c>
      <c r="D73" s="599" t="s">
        <v>593</v>
      </c>
      <c r="E73" s="601" t="s">
        <v>594</v>
      </c>
      <c r="F73" s="602"/>
      <c r="G73" s="603"/>
      <c r="H73" s="599" t="s">
        <v>595</v>
      </c>
      <c r="I73" s="611" t="str">
        <f>$I$31</f>
        <v>Ejecución Acumulada Corte
31/12/2020</v>
      </c>
      <c r="J73" s="599" t="s">
        <v>596</v>
      </c>
      <c r="K73" s="599" t="s">
        <v>568</v>
      </c>
      <c r="L73" s="599"/>
      <c r="M73" s="599"/>
      <c r="N73" s="591" t="s">
        <v>666</v>
      </c>
      <c r="O73" s="591"/>
      <c r="P73" s="591"/>
      <c r="Q73" s="591"/>
      <c r="R73" s="591"/>
      <c r="S73" s="591"/>
      <c r="T73" s="591"/>
      <c r="U73" s="591"/>
      <c r="V73" s="618" t="s">
        <v>597</v>
      </c>
    </row>
    <row r="74" spans="2:22" ht="63.75" customHeight="1">
      <c r="C74" s="600"/>
      <c r="D74" s="599"/>
      <c r="E74" s="471" t="s">
        <v>660</v>
      </c>
      <c r="F74" s="471" t="str">
        <f>$C$5</f>
        <v>Cuarto Trimestre</v>
      </c>
      <c r="G74" s="469" t="str">
        <f>$G$31</f>
        <v>Acumulada Corte
31/12/2020</v>
      </c>
      <c r="H74" s="599"/>
      <c r="I74" s="611"/>
      <c r="J74" s="599"/>
      <c r="K74" s="471" t="str">
        <f>+$C$5</f>
        <v>Cuarto Trimestre</v>
      </c>
      <c r="L74" s="469" t="str">
        <f>$L$31</f>
        <v>Acumulado Corte 31/12/2020</v>
      </c>
      <c r="M74" s="471" t="s">
        <v>569</v>
      </c>
      <c r="N74" s="592" t="s">
        <v>754</v>
      </c>
      <c r="O74" s="593"/>
      <c r="P74" s="594" t="s">
        <v>661</v>
      </c>
      <c r="Q74" s="595"/>
      <c r="R74" s="595"/>
      <c r="S74" s="596"/>
      <c r="T74" s="597" t="s">
        <v>755</v>
      </c>
      <c r="U74" s="598"/>
      <c r="V74" s="618"/>
    </row>
    <row r="75" spans="2:22" ht="45.75" customHeight="1">
      <c r="B75" s="473">
        <f>+B69+1</f>
        <v>21</v>
      </c>
      <c r="C75" s="474" t="str">
        <f>'Rango en indicadores'!E85</f>
        <v>Lineamientos mínimos requeridos</v>
      </c>
      <c r="D75" s="475" t="str">
        <f>'Rango en indicadores'!D85</f>
        <v>14-RI-01</v>
      </c>
      <c r="E75" s="490">
        <f>'14 Servicio al Usuario POA 2020'!AQ13</f>
        <v>1</v>
      </c>
      <c r="F75" s="490">
        <f>+'14 Servicio al Usuario POA 2020'!AO13</f>
        <v>0</v>
      </c>
      <c r="G75" s="490">
        <f>+'14 Servicio al Usuario POA 2020'!Q13+'14 Servicio al Usuario POA 2020'!Y13+'14 Servicio al Usuario POA 2020'!AG13+'14 Servicio al Usuario POA 2020'!AO13</f>
        <v>1</v>
      </c>
      <c r="H75" s="490">
        <f>+'14 Servicio al Usuario POA 2020'!AP13</f>
        <v>0</v>
      </c>
      <c r="I75" s="490">
        <f>+'14 Servicio al Usuario POA 2020'!R13+'14 Servicio al Usuario POA 2020'!Z13+'14 Servicio al Usuario POA 2020'!AH13+'14 Servicio al Usuario POA 2020'!AP13</f>
        <v>1</v>
      </c>
      <c r="J75" s="490">
        <f>'14 Servicio al Usuario POA 2020'!AR13</f>
        <v>1</v>
      </c>
      <c r="K75" s="452" t="str">
        <f>IF(AND(F75&gt;0),H75/F75,"No programado")</f>
        <v>No programado</v>
      </c>
      <c r="L75" s="452">
        <f>IF(AND(G75&gt;0),I75/G75,"No programado")</f>
        <v>1</v>
      </c>
      <c r="M75" s="452">
        <f>'14 Servicio al Usuario POA 2020'!AS13</f>
        <v>1</v>
      </c>
      <c r="N75" s="496" t="str">
        <f>'Rango en indicadores'!G85</f>
        <v>Mayor o igual A:</v>
      </c>
      <c r="O75" s="476">
        <f>'Rango en indicadores'!H85</f>
        <v>90</v>
      </c>
      <c r="P75" s="496" t="str">
        <f>'Rango en indicadores'!I85</f>
        <v>Desde (&gt;):</v>
      </c>
      <c r="Q75" s="476">
        <f>'Rango en indicadores'!J85</f>
        <v>70</v>
      </c>
      <c r="R75" s="496" t="str">
        <f>'Rango en indicadores'!K85</f>
        <v>Hasta (&lt;):</v>
      </c>
      <c r="S75" s="476">
        <f>'Rango en indicadores'!L85</f>
        <v>90</v>
      </c>
      <c r="T75" s="496" t="str">
        <f>'Rango en indicadores'!M85</f>
        <v>Menor o Igual A:</v>
      </c>
      <c r="U75" s="476">
        <f>'Rango en indicadores'!N85</f>
        <v>70</v>
      </c>
      <c r="V75" s="478" t="s">
        <v>855</v>
      </c>
    </row>
    <row r="76" spans="2:22" ht="44.25" customHeight="1">
      <c r="B76" s="473">
        <f>+B75+1</f>
        <v>22</v>
      </c>
      <c r="C76" s="474" t="str">
        <f>'Rango en indicadores'!E86</f>
        <v>Eficacia de la implementación de los lineamientos</v>
      </c>
      <c r="D76" s="475" t="str">
        <f>'Rango en indicadores'!D86</f>
        <v>14-RI-02</v>
      </c>
      <c r="E76" s="490">
        <f>'14 Servicio al Usuario POA 2020'!AQ14</f>
        <v>1</v>
      </c>
      <c r="F76" s="490">
        <f>+'14 Servicio al Usuario POA 2020'!AO14</f>
        <v>0</v>
      </c>
      <c r="G76" s="490">
        <f>+'14 Servicio al Usuario POA 2020'!Q14+'14 Servicio al Usuario POA 2020'!Y14+'14 Servicio al Usuario POA 2020'!AG14+'14 Servicio al Usuario POA 2020'!AO14</f>
        <v>1</v>
      </c>
      <c r="H76" s="490">
        <f>+'14 Servicio al Usuario POA 2020'!AP14</f>
        <v>0</v>
      </c>
      <c r="I76" s="490">
        <f>+'14 Servicio al Usuario POA 2020'!R14+'14 Servicio al Usuario POA 2020'!Z14+'14 Servicio al Usuario POA 2020'!AH14+'14 Servicio al Usuario POA 2020'!AP14</f>
        <v>1</v>
      </c>
      <c r="J76" s="490">
        <f>'14 Servicio al Usuario POA 2020'!AR14</f>
        <v>1</v>
      </c>
      <c r="K76" s="452" t="str">
        <f>IF(AND(F76&gt;0),H76/F76,"No programado")</f>
        <v>No programado</v>
      </c>
      <c r="L76" s="452">
        <f t="shared" ref="L76:L77" si="6">IF(AND(G76&gt;0),I76/G76,"No programado")</f>
        <v>1</v>
      </c>
      <c r="M76" s="452">
        <f>'14 Servicio al Usuario POA 2020'!AS14</f>
        <v>1</v>
      </c>
      <c r="N76" s="496" t="str">
        <f>'Rango en indicadores'!G86</f>
        <v>Mayor o igual A:</v>
      </c>
      <c r="O76" s="476">
        <f>'Rango en indicadores'!H86</f>
        <v>90</v>
      </c>
      <c r="P76" s="496" t="str">
        <f>'Rango en indicadores'!I86</f>
        <v>Desde (&gt;):</v>
      </c>
      <c r="Q76" s="476">
        <f>'Rango en indicadores'!J86</f>
        <v>70</v>
      </c>
      <c r="R76" s="496" t="str">
        <f>'Rango en indicadores'!K86</f>
        <v>Hasta (&lt;):</v>
      </c>
      <c r="S76" s="476">
        <f>'Rango en indicadores'!L86</f>
        <v>90</v>
      </c>
      <c r="T76" s="496" t="str">
        <f>'Rango en indicadores'!M86</f>
        <v>Menor o Igual A:</v>
      </c>
      <c r="U76" s="476">
        <f>'Rango en indicadores'!N86</f>
        <v>70</v>
      </c>
      <c r="V76" s="478" t="s">
        <v>855</v>
      </c>
    </row>
    <row r="77" spans="2:22" ht="38.25">
      <c r="B77" s="473">
        <f>+B76+1</f>
        <v>23</v>
      </c>
      <c r="C77" s="474" t="str">
        <f>'Rango en indicadores'!E87</f>
        <v>Medición de la satisfacción de los usuarios</v>
      </c>
      <c r="D77" s="475" t="str">
        <f>'Rango en indicadores'!D87</f>
        <v>14-RI-03</v>
      </c>
      <c r="E77" s="490">
        <f>'14 Servicio al Usuario POA 2020'!AQ15</f>
        <v>1</v>
      </c>
      <c r="F77" s="490">
        <f>+'14 Servicio al Usuario POA 2020'!AO15</f>
        <v>0.05</v>
      </c>
      <c r="G77" s="490">
        <f>+'14 Servicio al Usuario POA 2020'!Q15+'14 Servicio al Usuario POA 2020'!Y15+'14 Servicio al Usuario POA 2020'!AG15+'14 Servicio al Usuario POA 2020'!AO15</f>
        <v>1</v>
      </c>
      <c r="H77" s="490">
        <f>+'14 Servicio al Usuario POA 2020'!AP15</f>
        <v>0.05</v>
      </c>
      <c r="I77" s="490">
        <f>+'14 Servicio al Usuario POA 2020'!R15+'14 Servicio al Usuario POA 2020'!Z15+'14 Servicio al Usuario POA 2020'!AH15+'14 Servicio al Usuario POA 2020'!AP15</f>
        <v>1</v>
      </c>
      <c r="J77" s="490">
        <f>'14 Servicio al Usuario POA 2020'!AR15</f>
        <v>1</v>
      </c>
      <c r="K77" s="452">
        <f>IF(AND(F77&gt;0),H77/F77,"No programado")</f>
        <v>1</v>
      </c>
      <c r="L77" s="452">
        <f t="shared" si="6"/>
        <v>1</v>
      </c>
      <c r="M77" s="452">
        <f>'14 Servicio al Usuario POA 2020'!AS15</f>
        <v>1</v>
      </c>
      <c r="N77" s="496" t="str">
        <f>'Rango en indicadores'!G87</f>
        <v>Mayor o igual A:</v>
      </c>
      <c r="O77" s="476">
        <f>'Rango en indicadores'!H87</f>
        <v>90</v>
      </c>
      <c r="P77" s="496" t="str">
        <f>'Rango en indicadores'!I87</f>
        <v>Desde (&gt;):</v>
      </c>
      <c r="Q77" s="476">
        <f>'Rango en indicadores'!J87</f>
        <v>70</v>
      </c>
      <c r="R77" s="496" t="str">
        <f>'Rango en indicadores'!K87</f>
        <v>Hasta (&lt;):</v>
      </c>
      <c r="S77" s="476">
        <f>'Rango en indicadores'!L87</f>
        <v>90</v>
      </c>
      <c r="T77" s="496" t="str">
        <f>'Rango en indicadores'!M87</f>
        <v>Menor o Igual A:</v>
      </c>
      <c r="U77" s="476">
        <f>'Rango en indicadores'!N87</f>
        <v>70</v>
      </c>
      <c r="V77" s="478" t="s">
        <v>837</v>
      </c>
    </row>
    <row r="78" spans="2:22" ht="15.75">
      <c r="C78" s="612" t="s">
        <v>602</v>
      </c>
      <c r="D78" s="613"/>
      <c r="E78" s="613"/>
      <c r="F78" s="613"/>
      <c r="G78" s="613"/>
      <c r="H78" s="613"/>
      <c r="I78" s="613"/>
      <c r="J78" s="614"/>
      <c r="K78" s="484">
        <f>IFERROR(AVERAGE(K75:K76),0)</f>
        <v>0</v>
      </c>
      <c r="L78" s="484">
        <f>IFERROR(AVERAGE(L75:L76),0)</f>
        <v>1</v>
      </c>
      <c r="M78" s="484">
        <f>IFERROR(AVERAGE(M75:M77),0)</f>
        <v>1</v>
      </c>
      <c r="N78" s="495"/>
      <c r="O78" s="495"/>
      <c r="P78" s="495"/>
      <c r="Q78" s="495"/>
      <c r="R78" s="495"/>
      <c r="S78" s="495"/>
      <c r="T78" s="495"/>
      <c r="U78" s="495"/>
      <c r="V78" s="485"/>
    </row>
    <row r="79" spans="2:22" s="466" customFormat="1">
      <c r="D79" s="467"/>
      <c r="V79" s="468"/>
    </row>
    <row r="80" spans="2:22" s="466" customFormat="1" ht="15.75">
      <c r="C80" s="470" t="s">
        <v>615</v>
      </c>
      <c r="D80" s="492"/>
      <c r="V80" s="468"/>
    </row>
    <row r="81" spans="2:24" ht="32.25" customHeight="1">
      <c r="C81" s="600" t="s">
        <v>592</v>
      </c>
      <c r="D81" s="599" t="s">
        <v>593</v>
      </c>
      <c r="E81" s="601" t="s">
        <v>594</v>
      </c>
      <c r="F81" s="602"/>
      <c r="G81" s="603"/>
      <c r="H81" s="599" t="s">
        <v>595</v>
      </c>
      <c r="I81" s="611" t="str">
        <f>$I$31</f>
        <v>Ejecución Acumulada Corte
31/12/2020</v>
      </c>
      <c r="J81" s="599" t="s">
        <v>596</v>
      </c>
      <c r="K81" s="599" t="s">
        <v>568</v>
      </c>
      <c r="L81" s="599"/>
      <c r="M81" s="599"/>
      <c r="N81" s="591" t="s">
        <v>666</v>
      </c>
      <c r="O81" s="591"/>
      <c r="P81" s="591"/>
      <c r="Q81" s="591"/>
      <c r="R81" s="591"/>
      <c r="S81" s="591"/>
      <c r="T81" s="591"/>
      <c r="U81" s="591"/>
      <c r="V81" s="618" t="s">
        <v>597</v>
      </c>
    </row>
    <row r="82" spans="2:24" ht="61.5" customHeight="1">
      <c r="C82" s="600"/>
      <c r="D82" s="599"/>
      <c r="E82" s="471" t="s">
        <v>660</v>
      </c>
      <c r="F82" s="471" t="str">
        <f>$C$5</f>
        <v>Cuarto Trimestre</v>
      </c>
      <c r="G82" s="469" t="str">
        <f>$G$31</f>
        <v>Acumulada Corte
31/12/2020</v>
      </c>
      <c r="H82" s="599"/>
      <c r="I82" s="611"/>
      <c r="J82" s="599"/>
      <c r="K82" s="471" t="str">
        <f>+$C$5</f>
        <v>Cuarto Trimestre</v>
      </c>
      <c r="L82" s="469" t="str">
        <f>$L$31</f>
        <v>Acumulado Corte 31/12/2020</v>
      </c>
      <c r="M82" s="471" t="s">
        <v>569</v>
      </c>
      <c r="N82" s="592" t="s">
        <v>754</v>
      </c>
      <c r="O82" s="593"/>
      <c r="P82" s="594" t="s">
        <v>661</v>
      </c>
      <c r="Q82" s="595"/>
      <c r="R82" s="595"/>
      <c r="S82" s="596"/>
      <c r="T82" s="597" t="s">
        <v>755</v>
      </c>
      <c r="U82" s="598"/>
      <c r="V82" s="618"/>
    </row>
    <row r="83" spans="2:24" ht="89.25" customHeight="1">
      <c r="B83" s="473">
        <f>+B77+1</f>
        <v>24</v>
      </c>
      <c r="C83" s="474" t="str">
        <f>'Rango en indicadores'!E25</f>
        <v xml:space="preserve">Acciones de promoción y apropiación de derechos y deberes realizadas. </v>
      </c>
      <c r="D83" s="475" t="str">
        <f>'Rango en indicadores'!D25</f>
        <v>05-RI-05</v>
      </c>
      <c r="E83" s="497">
        <f>'05 Prom Defen Derechos POA 2020'!AQ13</f>
        <v>106</v>
      </c>
      <c r="F83" s="497">
        <f>+'05 Prom Defen Derechos POA 2020'!AO13</f>
        <v>20</v>
      </c>
      <c r="G83" s="497">
        <f>+'05 Prom Defen Derechos POA 2020'!Q13+'05 Prom Defen Derechos POA 2020'!Y13+'05 Prom Defen Derechos POA 2020'!AG13+'05 Prom Defen Derechos POA 2020'!AO13</f>
        <v>106</v>
      </c>
      <c r="H83" s="497">
        <f>+'14 Servicio al Usuario POA 2020'!AP13</f>
        <v>0</v>
      </c>
      <c r="I83" s="497">
        <f>+'05 Prom Defen Derechos POA 2020'!R13+'05 Prom Defen Derechos POA 2020'!Z13+'05 Prom Defen Derechos POA 2020'!AH13+'05 Prom Defen Derechos POA 2020'!AP13</f>
        <v>118</v>
      </c>
      <c r="J83" s="497">
        <f>'05 Prom Defen Derechos POA 2020'!AR13</f>
        <v>118</v>
      </c>
      <c r="K83" s="477">
        <f t="shared" ref="K83:K103" si="7">IF(AND(F83&gt;0),H83/F83,"No programado")</f>
        <v>0</v>
      </c>
      <c r="L83" s="477">
        <f>IF(AND(G83&gt;0),I83/G83,"No programado")</f>
        <v>1.1132075471698113</v>
      </c>
      <c r="M83" s="477">
        <f>'05 Prom Defen Derechos POA 2020'!AS13</f>
        <v>1.1132075471698113</v>
      </c>
      <c r="N83" s="488" t="str">
        <f>'Rango en indicadores'!G25</f>
        <v>Mayor A:</v>
      </c>
      <c r="O83" s="476">
        <f>'Rango en indicadores'!H25</f>
        <v>95</v>
      </c>
      <c r="P83" s="488" t="str">
        <f>'Rango en indicadores'!I25</f>
        <v>Desde (&gt;=):</v>
      </c>
      <c r="Q83" s="476">
        <f>'Rango en indicadores'!J25</f>
        <v>85</v>
      </c>
      <c r="R83" s="488" t="str">
        <f>'Rango en indicadores'!K25</f>
        <v>Hasta (&lt;=):</v>
      </c>
      <c r="S83" s="476">
        <f>'Rango en indicadores'!L25</f>
        <v>95</v>
      </c>
      <c r="T83" s="488" t="str">
        <f>'Rango en indicadores'!M25</f>
        <v>Menor A:</v>
      </c>
      <c r="U83" s="476">
        <f>'Rango en indicadores'!N25</f>
        <v>85</v>
      </c>
      <c r="V83" s="478" t="s">
        <v>880</v>
      </c>
      <c r="W83" s="498"/>
      <c r="X83" s="498"/>
    </row>
    <row r="84" spans="2:24" ht="76.5">
      <c r="B84" s="473">
        <f>+B83+1</f>
        <v>25</v>
      </c>
      <c r="C84" s="474" t="str">
        <f>'Rango en indicadores'!E26</f>
        <v xml:space="preserve">Numero de personas sensibilizadas en derechos y deberes. </v>
      </c>
      <c r="D84" s="475" t="str">
        <f>'Rango en indicadores'!D26</f>
        <v>05-RI-06</v>
      </c>
      <c r="E84" s="497">
        <f>'05 Prom Defen Derechos POA 2020'!AQ14</f>
        <v>384354</v>
      </c>
      <c r="F84" s="497">
        <f>+'05 Prom Defen Derechos POA 2020'!AO14</f>
        <v>129060</v>
      </c>
      <c r="G84" s="497">
        <f>+'05 Prom Defen Derechos POA 2020'!Q14+'05 Prom Defen Derechos POA 2020'!Y14+'05 Prom Defen Derechos POA 2020'!AG14+'05 Prom Defen Derechos POA 2020'!AO14</f>
        <v>384354</v>
      </c>
      <c r="H84" s="497">
        <f>+'14 Servicio al Usuario POA 2020'!AP14</f>
        <v>0</v>
      </c>
      <c r="I84" s="497">
        <f>+'05 Prom Defen Derechos POA 2020'!R14+'05 Prom Defen Derechos POA 2020'!Z14+'05 Prom Defen Derechos POA 2020'!AH14+'05 Prom Defen Derechos POA 2020'!AP14</f>
        <v>392117</v>
      </c>
      <c r="J84" s="497">
        <f>'05 Prom Defen Derechos POA 2020'!AR14</f>
        <v>392117</v>
      </c>
      <c r="K84" s="477">
        <f t="shared" si="7"/>
        <v>0</v>
      </c>
      <c r="L84" s="477">
        <f>IF(AND(G84&gt;0),I84/G84,"No programado")</f>
        <v>1.0201975262388319</v>
      </c>
      <c r="M84" s="477">
        <f>'05 Prom Defen Derechos POA 2020'!AS14</f>
        <v>1.0201975262388319</v>
      </c>
      <c r="N84" s="488" t="str">
        <f>'Rango en indicadores'!G26</f>
        <v>Mayor A:</v>
      </c>
      <c r="O84" s="476">
        <f>'Rango en indicadores'!H26</f>
        <v>95</v>
      </c>
      <c r="P84" s="488" t="str">
        <f>'Rango en indicadores'!I26</f>
        <v>Desde (&gt;=):</v>
      </c>
      <c r="Q84" s="476">
        <f>'Rango en indicadores'!J26</f>
        <v>85</v>
      </c>
      <c r="R84" s="488" t="str">
        <f>'Rango en indicadores'!K26</f>
        <v>Hasta (&lt;=):</v>
      </c>
      <c r="S84" s="476">
        <f>'Rango en indicadores'!L26</f>
        <v>95</v>
      </c>
      <c r="T84" s="488" t="str">
        <f>'Rango en indicadores'!M26</f>
        <v>Menor A:</v>
      </c>
      <c r="U84" s="476">
        <f>'Rango en indicadores'!N26</f>
        <v>85</v>
      </c>
      <c r="V84" s="478" t="s">
        <v>843</v>
      </c>
      <c r="W84" s="498"/>
      <c r="X84" s="498"/>
    </row>
    <row r="85" spans="2:24" ht="102">
      <c r="B85" s="588">
        <f>+B84+1</f>
        <v>26</v>
      </c>
      <c r="C85" s="619" t="str">
        <f>'Rango en indicadores'!E27</f>
        <v xml:space="preserve">Intervenciones adelantadas en el ejercicio del ministerio Público en defensa de los derechos </v>
      </c>
      <c r="D85" s="475" t="str">
        <f>'Rango en indicadores'!D27</f>
        <v>05-RI-07MP</v>
      </c>
      <c r="E85" s="497">
        <f>'05 Prom Defen Derechos POA 2020'!AQ15</f>
        <v>112505</v>
      </c>
      <c r="F85" s="497">
        <f>+'05 Prom Defen Derechos POA 2020'!AO15</f>
        <v>29830</v>
      </c>
      <c r="G85" s="497">
        <f>+'05 Prom Defen Derechos POA 2020'!Q15+'05 Prom Defen Derechos POA 2020'!Y15+'05 Prom Defen Derechos POA 2020'!AG15+'05 Prom Defen Derechos POA 2020'!AO15</f>
        <v>112505</v>
      </c>
      <c r="H85" s="497">
        <f>+'14 Servicio al Usuario POA 2020'!AP15</f>
        <v>0.05</v>
      </c>
      <c r="I85" s="497">
        <f>+'05 Prom Defen Derechos POA 2020'!R15+'05 Prom Defen Derechos POA 2020'!Z15+'05 Prom Defen Derechos POA 2020'!AH15+'05 Prom Defen Derechos POA 2020'!AP15</f>
        <v>127425</v>
      </c>
      <c r="J85" s="497">
        <f>'05 Prom Defen Derechos POA 2020'!AR15</f>
        <v>127425</v>
      </c>
      <c r="K85" s="477">
        <f t="shared" si="7"/>
        <v>1.6761649346295676E-6</v>
      </c>
      <c r="L85" s="477">
        <f>IF(AND(G85&gt;0),I85/G85,"No programado")</f>
        <v>1.1326163281631927</v>
      </c>
      <c r="M85" s="477">
        <f>'05 Prom Defen Derechos POA 2020'!AS15</f>
        <v>1.1326163281631927</v>
      </c>
      <c r="N85" s="488" t="str">
        <f>'Rango en indicadores'!G27</f>
        <v>Mayor A:</v>
      </c>
      <c r="O85" s="476">
        <f>'Rango en indicadores'!H27</f>
        <v>90</v>
      </c>
      <c r="P85" s="488" t="str">
        <f>'Rango en indicadores'!I27</f>
        <v>Desde (&gt;=):</v>
      </c>
      <c r="Q85" s="476">
        <f>'Rango en indicadores'!J27</f>
        <v>80</v>
      </c>
      <c r="R85" s="488" t="str">
        <f>'Rango en indicadores'!K27</f>
        <v>Hasta (&lt;=):</v>
      </c>
      <c r="S85" s="476">
        <f>'Rango en indicadores'!L27</f>
        <v>90</v>
      </c>
      <c r="T85" s="488" t="str">
        <f>'Rango en indicadores'!M27</f>
        <v>Menor A:</v>
      </c>
      <c r="U85" s="476">
        <f>'Rango en indicadores'!N27</f>
        <v>80</v>
      </c>
      <c r="V85" s="478" t="s">
        <v>844</v>
      </c>
      <c r="W85" s="498"/>
      <c r="X85" s="498"/>
    </row>
    <row r="86" spans="2:24" ht="102">
      <c r="B86" s="590"/>
      <c r="C86" s="620"/>
      <c r="D86" s="475" t="str">
        <f>'Rango en indicadores'!D28</f>
        <v>05-RI-07PC</v>
      </c>
      <c r="E86" s="497">
        <f>'05 Prom Defen Derechos POA 2020'!AQ16</f>
        <v>240</v>
      </c>
      <c r="F86" s="497">
        <f>+'05 Prom Defen Derechos POA 2020'!AO16</f>
        <v>61</v>
      </c>
      <c r="G86" s="497">
        <f>+'05 Prom Defen Derechos POA 2020'!Q16+'05 Prom Defen Derechos POA 2020'!Y16+'05 Prom Defen Derechos POA 2020'!AG16+'05 Prom Defen Derechos POA 2020'!AO16</f>
        <v>240</v>
      </c>
      <c r="H86" s="497">
        <f>+'14 Servicio al Usuario POA 2020'!AP16</f>
        <v>0</v>
      </c>
      <c r="I86" s="497">
        <f>+'05 Prom Defen Derechos POA 2020'!R16+'05 Prom Defen Derechos POA 2020'!Z16+'05 Prom Defen Derechos POA 2020'!AH16+'05 Prom Defen Derechos POA 2020'!AP16</f>
        <v>293</v>
      </c>
      <c r="J86" s="497">
        <f>'05 Prom Defen Derechos POA 2020'!AR16</f>
        <v>293</v>
      </c>
      <c r="K86" s="477">
        <f t="shared" si="7"/>
        <v>0</v>
      </c>
      <c r="L86" s="477">
        <f>IF(AND(G86&gt;0),I86/G86,"No programado")</f>
        <v>1.2208333333333334</v>
      </c>
      <c r="M86" s="477">
        <f>'05 Prom Defen Derechos POA 2020'!AS16</f>
        <v>1.2208333333333334</v>
      </c>
      <c r="N86" s="488" t="str">
        <f>'Rango en indicadores'!G28</f>
        <v>Mayor A:</v>
      </c>
      <c r="O86" s="476">
        <f>'Rango en indicadores'!H28</f>
        <v>90</v>
      </c>
      <c r="P86" s="488" t="str">
        <f>'Rango en indicadores'!I28</f>
        <v>Desde (&gt;=):</v>
      </c>
      <c r="Q86" s="476">
        <f>'Rango en indicadores'!J28</f>
        <v>80</v>
      </c>
      <c r="R86" s="488" t="str">
        <f>'Rango en indicadores'!K28</f>
        <v>Hasta (&lt;=):</v>
      </c>
      <c r="S86" s="476">
        <f>'Rango en indicadores'!L28</f>
        <v>90</v>
      </c>
      <c r="T86" s="488" t="str">
        <f>'Rango en indicadores'!M28</f>
        <v>Menor A:</v>
      </c>
      <c r="U86" s="476">
        <f>'Rango en indicadores'!N28</f>
        <v>80</v>
      </c>
      <c r="V86" s="499" t="s">
        <v>845</v>
      </c>
      <c r="W86" s="498"/>
      <c r="X86" s="498"/>
    </row>
    <row r="87" spans="2:24" ht="63.75">
      <c r="B87" s="473">
        <f>+B85+1</f>
        <v>27</v>
      </c>
      <c r="C87" s="474" t="str">
        <f>'Rango en indicadores'!E29</f>
        <v>Acciones adelantadas en favor de las víctimas del conflicto armado.</v>
      </c>
      <c r="D87" s="475" t="str">
        <f>'Rango en indicadores'!D29</f>
        <v>05-RI-08</v>
      </c>
      <c r="E87" s="497">
        <f>'05 Prom Defen Derechos POA 2020'!AQ17</f>
        <v>4256</v>
      </c>
      <c r="F87" s="497">
        <f>+'05 Prom Defen Derechos POA 2020'!AO17</f>
        <v>0</v>
      </c>
      <c r="G87" s="497">
        <f>+'05 Prom Defen Derechos POA 2020'!Q17+'05 Prom Defen Derechos POA 2020'!Y17+'05 Prom Defen Derechos POA 2020'!AG17+'05 Prom Defen Derechos POA 2020'!AO17</f>
        <v>4256</v>
      </c>
      <c r="H87" s="497">
        <f>+'14 Servicio al Usuario POA 2020'!AP17</f>
        <v>0</v>
      </c>
      <c r="I87" s="497">
        <f>+'05 Prom Defen Derechos POA 2020'!R17+'05 Prom Defen Derechos POA 2020'!Z17+'05 Prom Defen Derechos POA 2020'!AH17+'05 Prom Defen Derechos POA 2020'!AP17</f>
        <v>4034</v>
      </c>
      <c r="J87" s="497">
        <f>'05 Prom Defen Derechos POA 2020'!AR17</f>
        <v>4034</v>
      </c>
      <c r="K87" s="477" t="str">
        <f t="shared" si="7"/>
        <v>No programado</v>
      </c>
      <c r="L87" s="477">
        <f t="shared" ref="L87:L103" si="8">IF(AND(G87&gt;0),I87/G87,"No programado")</f>
        <v>0.94783834586466165</v>
      </c>
      <c r="M87" s="477">
        <f>'05 Prom Defen Derechos POA 2020'!AS17</f>
        <v>0.94783834586466165</v>
      </c>
      <c r="N87" s="488" t="str">
        <f>'Rango en indicadores'!G29</f>
        <v>Mayor A:</v>
      </c>
      <c r="O87" s="476">
        <f>'Rango en indicadores'!H29</f>
        <v>90</v>
      </c>
      <c r="P87" s="488" t="str">
        <f>'Rango en indicadores'!I29</f>
        <v>Desde (&gt;=):</v>
      </c>
      <c r="Q87" s="476">
        <f>'Rango en indicadores'!J29</f>
        <v>80</v>
      </c>
      <c r="R87" s="488" t="str">
        <f>'Rango en indicadores'!K29</f>
        <v>Hasta (&lt;=):</v>
      </c>
      <c r="S87" s="476">
        <f>'Rango en indicadores'!L29</f>
        <v>90</v>
      </c>
      <c r="T87" s="488" t="str">
        <f>'Rango en indicadores'!M29</f>
        <v>Menor A:</v>
      </c>
      <c r="U87" s="476">
        <f>'Rango en indicadores'!N29</f>
        <v>80</v>
      </c>
      <c r="V87" s="478" t="s">
        <v>846</v>
      </c>
      <c r="W87" s="498"/>
      <c r="X87" s="498"/>
    </row>
    <row r="88" spans="2:24" ht="102">
      <c r="B88" s="588">
        <f>+B87+1</f>
        <v>28</v>
      </c>
      <c r="C88" s="619" t="str">
        <f>'Rango en indicadores'!E30</f>
        <v>Requerimientos finalizados en defensa de los derechos.</v>
      </c>
      <c r="D88" s="475" t="str">
        <f>'Rango en indicadores'!D30</f>
        <v>05-RI-09MP</v>
      </c>
      <c r="E88" s="497">
        <f>'05 Prom Defen Derechos POA 2020'!AQ18</f>
        <v>84525</v>
      </c>
      <c r="F88" s="497">
        <f>+'05 Prom Defen Derechos POA 2020'!AO18</f>
        <v>15291</v>
      </c>
      <c r="G88" s="497">
        <f>+'05 Prom Defen Derechos POA 2020'!Q18+'05 Prom Defen Derechos POA 2020'!Y18+'05 Prom Defen Derechos POA 2020'!AG18+'05 Prom Defen Derechos POA 2020'!AO18</f>
        <v>84525</v>
      </c>
      <c r="H88" s="497">
        <f>+'14 Servicio al Usuario POA 2020'!AP18</f>
        <v>0</v>
      </c>
      <c r="I88" s="497">
        <f>+'05 Prom Defen Derechos POA 2020'!R18+'05 Prom Defen Derechos POA 2020'!Z18+'05 Prom Defen Derechos POA 2020'!AH18+'05 Prom Defen Derechos POA 2020'!AP18</f>
        <v>87833</v>
      </c>
      <c r="J88" s="497">
        <f>'05 Prom Defen Derechos POA 2020'!AR18</f>
        <v>87833</v>
      </c>
      <c r="K88" s="477">
        <f t="shared" si="7"/>
        <v>0</v>
      </c>
      <c r="L88" s="477">
        <f t="shared" si="8"/>
        <v>1.0391363501922508</v>
      </c>
      <c r="M88" s="477">
        <f>'05 Prom Defen Derechos POA 2020'!AS18</f>
        <v>1.0391363501922508</v>
      </c>
      <c r="N88" s="488" t="str">
        <f>'Rango en indicadores'!G30</f>
        <v>Mayor A:</v>
      </c>
      <c r="O88" s="476">
        <f>'Rango en indicadores'!H30</f>
        <v>90</v>
      </c>
      <c r="P88" s="488" t="str">
        <f>'Rango en indicadores'!I30</f>
        <v>Desde (&gt;=):</v>
      </c>
      <c r="Q88" s="476">
        <f>'Rango en indicadores'!J30</f>
        <v>80</v>
      </c>
      <c r="R88" s="488" t="str">
        <f>'Rango en indicadores'!K30</f>
        <v>Hasta (&lt;=):</v>
      </c>
      <c r="S88" s="476">
        <f>'Rango en indicadores'!L30</f>
        <v>90</v>
      </c>
      <c r="T88" s="488" t="str">
        <f>'Rango en indicadores'!M30</f>
        <v>Menor A:</v>
      </c>
      <c r="U88" s="476">
        <f>'Rango en indicadores'!N30</f>
        <v>80</v>
      </c>
      <c r="V88" s="478" t="s">
        <v>881</v>
      </c>
      <c r="W88" s="498"/>
      <c r="X88" s="498"/>
    </row>
    <row r="89" spans="2:24" ht="102">
      <c r="B89" s="589"/>
      <c r="C89" s="621"/>
      <c r="D89" s="475" t="str">
        <f>'Rango en indicadores'!D31</f>
        <v>05-RI-09L</v>
      </c>
      <c r="E89" s="497">
        <f>'05 Prom Defen Derechos POA 2020'!AQ19</f>
        <v>21500</v>
      </c>
      <c r="F89" s="497">
        <f>+'05 Prom Defen Derechos POA 2020'!AO19</f>
        <v>4100</v>
      </c>
      <c r="G89" s="497">
        <f>+'05 Prom Defen Derechos POA 2020'!Q19+'05 Prom Defen Derechos POA 2020'!Y19+'05 Prom Defen Derechos POA 2020'!AG19+'05 Prom Defen Derechos POA 2020'!AO19</f>
        <v>21500</v>
      </c>
      <c r="H89" s="497">
        <f>+'14 Servicio al Usuario POA 2020'!AP19</f>
        <v>0</v>
      </c>
      <c r="I89" s="497">
        <f>+'05 Prom Defen Derechos POA 2020'!R19+'05 Prom Defen Derechos POA 2020'!Z19+'05 Prom Defen Derechos POA 2020'!AH19+'05 Prom Defen Derechos POA 2020'!AP19</f>
        <v>23090</v>
      </c>
      <c r="J89" s="497">
        <f>'05 Prom Defen Derechos POA 2020'!AR19</f>
        <v>23090</v>
      </c>
      <c r="K89" s="477">
        <f t="shared" si="7"/>
        <v>0</v>
      </c>
      <c r="L89" s="477">
        <f t="shared" si="8"/>
        <v>1.0739534883720929</v>
      </c>
      <c r="M89" s="477">
        <f>'05 Prom Defen Derechos POA 2020'!AS19</f>
        <v>1.0739534883720929</v>
      </c>
      <c r="N89" s="488" t="str">
        <f>'Rango en indicadores'!G31</f>
        <v>Mayor A:</v>
      </c>
      <c r="O89" s="476">
        <f>'Rango en indicadores'!H31</f>
        <v>90</v>
      </c>
      <c r="P89" s="488" t="str">
        <f>'Rango en indicadores'!I31</f>
        <v>Desde (&gt;=):</v>
      </c>
      <c r="Q89" s="476">
        <f>'Rango en indicadores'!J31</f>
        <v>80</v>
      </c>
      <c r="R89" s="488" t="str">
        <f>'Rango en indicadores'!K31</f>
        <v>Hasta (&lt;=):</v>
      </c>
      <c r="S89" s="476">
        <f>'Rango en indicadores'!L31</f>
        <v>90</v>
      </c>
      <c r="T89" s="488" t="str">
        <f>'Rango en indicadores'!M31</f>
        <v>Menor A:</v>
      </c>
      <c r="U89" s="476">
        <f>'Rango en indicadores'!N31</f>
        <v>80</v>
      </c>
      <c r="V89" s="478" t="s">
        <v>882</v>
      </c>
      <c r="W89" s="500"/>
      <c r="X89" s="498"/>
    </row>
    <row r="90" spans="2:24" ht="102">
      <c r="B90" s="590"/>
      <c r="C90" s="620"/>
      <c r="D90" s="475" t="str">
        <f>'Rango en indicadores'!D32</f>
        <v>05-RI-09PC</v>
      </c>
      <c r="E90" s="497">
        <f>'05 Prom Defen Derechos POA 2020'!AQ20</f>
        <v>16000</v>
      </c>
      <c r="F90" s="497">
        <f>+'05 Prom Defen Derechos POA 2020'!AO20</f>
        <v>3750</v>
      </c>
      <c r="G90" s="497">
        <f>+'05 Prom Defen Derechos POA 2020'!Q20+'05 Prom Defen Derechos POA 2020'!Y20+'05 Prom Defen Derechos POA 2020'!AG20+'05 Prom Defen Derechos POA 2020'!AO20</f>
        <v>16000</v>
      </c>
      <c r="H90" s="497">
        <f>+'14 Servicio al Usuario POA 2020'!AP20</f>
        <v>0</v>
      </c>
      <c r="I90" s="497">
        <f>+'05 Prom Defen Derechos POA 2020'!R20+'05 Prom Defen Derechos POA 2020'!Z20+'05 Prom Defen Derechos POA 2020'!AH20+'05 Prom Defen Derechos POA 2020'!AP20</f>
        <v>20013</v>
      </c>
      <c r="J90" s="497">
        <f>'05 Prom Defen Derechos POA 2020'!AR20</f>
        <v>20013</v>
      </c>
      <c r="K90" s="477">
        <f t="shared" si="7"/>
        <v>0</v>
      </c>
      <c r="L90" s="477">
        <f t="shared" si="8"/>
        <v>1.2508125000000001</v>
      </c>
      <c r="M90" s="477">
        <f>'05 Prom Defen Derechos POA 2020'!AS20</f>
        <v>1.2508125000000001</v>
      </c>
      <c r="N90" s="488" t="str">
        <f>'Rango en indicadores'!G32</f>
        <v>Mayor A:</v>
      </c>
      <c r="O90" s="476">
        <f>'Rango en indicadores'!H32</f>
        <v>90</v>
      </c>
      <c r="P90" s="488" t="str">
        <f>'Rango en indicadores'!I32</f>
        <v>Desde (&gt;=):</v>
      </c>
      <c r="Q90" s="476">
        <f>'Rango en indicadores'!J32</f>
        <v>80</v>
      </c>
      <c r="R90" s="488" t="str">
        <f>'Rango en indicadores'!K32</f>
        <v>Hasta (&lt;=):</v>
      </c>
      <c r="S90" s="476">
        <f>'Rango en indicadores'!L32</f>
        <v>90</v>
      </c>
      <c r="T90" s="488" t="str">
        <f>'Rango en indicadores'!M32</f>
        <v>Menor A:</v>
      </c>
      <c r="U90" s="476">
        <f>'Rango en indicadores'!N32</f>
        <v>80</v>
      </c>
      <c r="V90" s="478" t="s">
        <v>883</v>
      </c>
      <c r="W90" s="498"/>
      <c r="X90" s="498"/>
    </row>
    <row r="91" spans="2:24" ht="77.25" customHeight="1">
      <c r="B91" s="473">
        <f>+B88+1</f>
        <v>29</v>
      </c>
      <c r="C91" s="474" t="str">
        <f>'Rango en indicadores'!E33</f>
        <v xml:space="preserve">% de Tutelas con fallos a favor. </v>
      </c>
      <c r="D91" s="475" t="str">
        <f>'Rango en indicadores'!D33</f>
        <v>05-RI-10</v>
      </c>
      <c r="E91" s="479">
        <f>'05 Prom Defen Derechos POA 2020'!AQ21</f>
        <v>0.80000000000000016</v>
      </c>
      <c r="F91" s="481">
        <f>+'05 Prom Defen Derechos POA 2020'!AO21</f>
        <v>0.80000000000000016</v>
      </c>
      <c r="G91" s="481">
        <f>ROUNDDOWN(AVERAGE('05 Prom Defen Derechos POA 2020'!Q21,'05 Prom Defen Derechos POA 2020'!Y21,'05 Prom Defen Derechos POA 2020'!AG21,'05 Prom Defen Derechos POA 2020'!AO21),3)</f>
        <v>0.8</v>
      </c>
      <c r="H91" s="481">
        <f>+'05 Prom Defen Derechos POA 2020'!AP21</f>
        <v>0.87766666666666671</v>
      </c>
      <c r="I91" s="481">
        <f>ROUNDDOWN(AVERAGE('05 Prom Defen Derechos POA 2020'!R21,'05 Prom Defen Derechos POA 2020'!Z21,'05 Prom Defen Derechos POA 2020'!AH21,'05 Prom Defen Derechos POA 2020'!AP21),3)</f>
        <v>0.85099999999999998</v>
      </c>
      <c r="J91" s="481">
        <f>'05 Prom Defen Derechos POA 2020'!AR21</f>
        <v>0.85099999999999998</v>
      </c>
      <c r="K91" s="477">
        <f t="shared" si="7"/>
        <v>1.0970833333333332</v>
      </c>
      <c r="L91" s="477">
        <f t="shared" si="8"/>
        <v>1.06375</v>
      </c>
      <c r="M91" s="477">
        <f>'05 Prom Defen Derechos POA 2020'!AS21</f>
        <v>1.0637499999999998</v>
      </c>
      <c r="N91" s="488" t="str">
        <f>'Rango en indicadores'!G33</f>
        <v>Mayor A:</v>
      </c>
      <c r="O91" s="476">
        <f>'Rango en indicadores'!H33</f>
        <v>80</v>
      </c>
      <c r="P91" s="488" t="str">
        <f>'Rango en indicadores'!I33</f>
        <v>Desde (&gt;=):</v>
      </c>
      <c r="Q91" s="476">
        <f>'Rango en indicadores'!J33</f>
        <v>70</v>
      </c>
      <c r="R91" s="488" t="str">
        <f>'Rango en indicadores'!K33</f>
        <v>Hasta (&lt;=):</v>
      </c>
      <c r="S91" s="476">
        <f>'Rango en indicadores'!L33</f>
        <v>80</v>
      </c>
      <c r="T91" s="488" t="str">
        <f>'Rango en indicadores'!M33</f>
        <v>Menor A:</v>
      </c>
      <c r="U91" s="476">
        <f>'Rango en indicadores'!N33</f>
        <v>70</v>
      </c>
      <c r="V91" s="478" t="s">
        <v>847</v>
      </c>
      <c r="W91" s="498"/>
      <c r="X91" s="498"/>
    </row>
    <row r="92" spans="2:24" ht="38.25">
      <c r="B92" s="473">
        <f>+B91+1</f>
        <v>30</v>
      </c>
      <c r="C92" s="474" t="str">
        <f>'Rango en indicadores'!E34</f>
        <v>Solicitudes de conciliación atendidas.</v>
      </c>
      <c r="D92" s="475" t="str">
        <f>'Rango en indicadores'!D34</f>
        <v>05-RI-12</v>
      </c>
      <c r="E92" s="497">
        <f>'05 Prom Defen Derechos POA 2020'!AQ22</f>
        <v>7460</v>
      </c>
      <c r="F92" s="497">
        <f>+'05 Prom Defen Derechos POA 2020'!AO22</f>
        <v>0</v>
      </c>
      <c r="G92" s="497">
        <f>+'05 Prom Defen Derechos POA 2020'!Q22+'05 Prom Defen Derechos POA 2020'!Y22+'05 Prom Defen Derechos POA 2020'!AG22+'05 Prom Defen Derechos POA 2020'!AO22</f>
        <v>7460</v>
      </c>
      <c r="H92" s="497">
        <f>+'14 Servicio al Usuario POA 2020'!AP22</f>
        <v>0</v>
      </c>
      <c r="I92" s="497">
        <f>+'05 Prom Defen Derechos POA 2020'!R22+'05 Prom Defen Derechos POA 2020'!Z22+'05 Prom Defen Derechos POA 2020'!AH22+'05 Prom Defen Derechos POA 2020'!AP22</f>
        <v>7465</v>
      </c>
      <c r="J92" s="497">
        <f>'05 Prom Defen Derechos POA 2020'!AR22</f>
        <v>7465</v>
      </c>
      <c r="K92" s="477" t="str">
        <f t="shared" ref="K92" si="9">IF(AND(F92&gt;0),H92/F92,"No programado")</f>
        <v>No programado</v>
      </c>
      <c r="L92" s="477">
        <f t="shared" si="8"/>
        <v>1.0006702412868633</v>
      </c>
      <c r="M92" s="477">
        <f>'05 Prom Defen Derechos POA 2020'!AS22</f>
        <v>1.0006702412868633</v>
      </c>
      <c r="N92" s="488" t="str">
        <f>'Rango en indicadores'!G34</f>
        <v>Mayor A:</v>
      </c>
      <c r="O92" s="476">
        <f>'Rango en indicadores'!H34</f>
        <v>90</v>
      </c>
      <c r="P92" s="488" t="str">
        <f>'Rango en indicadores'!I34</f>
        <v>Desde (&gt;=):</v>
      </c>
      <c r="Q92" s="476">
        <f>'Rango en indicadores'!J34</f>
        <v>80</v>
      </c>
      <c r="R92" s="488" t="str">
        <f>'Rango en indicadores'!K34</f>
        <v>Hasta (&lt;=):</v>
      </c>
      <c r="S92" s="476">
        <f>'Rango en indicadores'!L34</f>
        <v>90</v>
      </c>
      <c r="T92" s="488" t="str">
        <f>'Rango en indicadores'!M34</f>
        <v>Menor A:</v>
      </c>
      <c r="U92" s="476">
        <f>'Rango en indicadores'!N34</f>
        <v>80</v>
      </c>
      <c r="V92" s="478" t="s">
        <v>837</v>
      </c>
      <c r="W92" s="498"/>
      <c r="X92" s="498"/>
    </row>
    <row r="93" spans="2:24" ht="38.25">
      <c r="B93" s="473">
        <f t="shared" ref="B93:B103" si="10">+B92+1</f>
        <v>31</v>
      </c>
      <c r="C93" s="474" t="str">
        <f>'Rango en indicadores'!E35</f>
        <v>Informe de seguimiento a la política publica para victimas del conflicto armado.</v>
      </c>
      <c r="D93" s="475" t="str">
        <f>'Rango en indicadores'!D35</f>
        <v>05-RI-13</v>
      </c>
      <c r="E93" s="497">
        <f>'05 Prom Defen Derechos POA 2020'!AQ23</f>
        <v>1</v>
      </c>
      <c r="F93" s="497">
        <f>+'05 Prom Defen Derechos POA 2020'!AO23</f>
        <v>1</v>
      </c>
      <c r="G93" s="497">
        <f>+'05 Prom Defen Derechos POA 2020'!Q23+'05 Prom Defen Derechos POA 2020'!Y23+'05 Prom Defen Derechos POA 2020'!AG23+'05 Prom Defen Derechos POA 2020'!AO23</f>
        <v>1</v>
      </c>
      <c r="H93" s="497">
        <f>+'14 Servicio al Usuario POA 2020'!AP23</f>
        <v>0</v>
      </c>
      <c r="I93" s="497">
        <f>+'05 Prom Defen Derechos POA 2020'!R23+'05 Prom Defen Derechos POA 2020'!Z23+'05 Prom Defen Derechos POA 2020'!AH23+'05 Prom Defen Derechos POA 2020'!AP23</f>
        <v>1</v>
      </c>
      <c r="J93" s="497">
        <f>'05 Prom Defen Derechos POA 2020'!AR23</f>
        <v>1</v>
      </c>
      <c r="K93" s="501">
        <f t="shared" si="7"/>
        <v>0</v>
      </c>
      <c r="L93" s="501">
        <f t="shared" si="8"/>
        <v>1</v>
      </c>
      <c r="M93" s="477">
        <f>'05 Prom Defen Derechos POA 2020'!AS23</f>
        <v>1</v>
      </c>
      <c r="N93" s="488" t="str">
        <f>'Rango en indicadores'!G35</f>
        <v>Mayor o igual A:</v>
      </c>
      <c r="O93" s="476">
        <f>'Rango en indicadores'!H35</f>
        <v>100</v>
      </c>
      <c r="P93" s="488" t="str">
        <f>'Rango en indicadores'!I35</f>
        <v>Desde (&gt;):</v>
      </c>
      <c r="Q93" s="476">
        <f>'Rango en indicadores'!J35</f>
        <v>99</v>
      </c>
      <c r="R93" s="488" t="str">
        <f>'Rango en indicadores'!K35</f>
        <v>Hasta (&lt;):</v>
      </c>
      <c r="S93" s="476">
        <f>'Rango en indicadores'!L35</f>
        <v>100</v>
      </c>
      <c r="T93" s="488" t="str">
        <f>'Rango en indicadores'!M35</f>
        <v>Menor o Igual A:</v>
      </c>
      <c r="U93" s="476">
        <f>'Rango en indicadores'!N35</f>
        <v>99</v>
      </c>
      <c r="V93" s="478" t="s">
        <v>837</v>
      </c>
    </row>
    <row r="94" spans="2:24" ht="45">
      <c r="B94" s="473">
        <f t="shared" si="10"/>
        <v>32</v>
      </c>
      <c r="C94" s="474" t="str">
        <f>'Rango en indicadores'!E36</f>
        <v>Informe de seguimiento sobre el cumplimiento la Política Pública de Mujeres y Equidad de Género en el Distrito Capital.</v>
      </c>
      <c r="D94" s="475" t="str">
        <f>'Rango en indicadores'!D36</f>
        <v>05-RI-14</v>
      </c>
      <c r="E94" s="497">
        <f>'05 Prom Defen Derechos POA 2020'!AQ24</f>
        <v>1</v>
      </c>
      <c r="F94" s="497">
        <f>+'05 Prom Defen Derechos POA 2020'!AO24</f>
        <v>1</v>
      </c>
      <c r="G94" s="497">
        <f>+'05 Prom Defen Derechos POA 2020'!Q24+'05 Prom Defen Derechos POA 2020'!Y24+'05 Prom Defen Derechos POA 2020'!AG24+'05 Prom Defen Derechos POA 2020'!AO24</f>
        <v>1</v>
      </c>
      <c r="H94" s="497">
        <f>+'14 Servicio al Usuario POA 2020'!AP24</f>
        <v>0</v>
      </c>
      <c r="I94" s="497">
        <f>+'05 Prom Defen Derechos POA 2020'!R24+'05 Prom Defen Derechos POA 2020'!Z24+'05 Prom Defen Derechos POA 2020'!AH24+'05 Prom Defen Derechos POA 2020'!AP24</f>
        <v>1</v>
      </c>
      <c r="J94" s="497">
        <f>'05 Prom Defen Derechos POA 2020'!AR24</f>
        <v>1</v>
      </c>
      <c r="K94" s="501">
        <f t="shared" si="7"/>
        <v>0</v>
      </c>
      <c r="L94" s="501">
        <f t="shared" si="8"/>
        <v>1</v>
      </c>
      <c r="M94" s="477">
        <f>'05 Prom Defen Derechos POA 2020'!AS24</f>
        <v>1</v>
      </c>
      <c r="N94" s="488" t="str">
        <f>'Rango en indicadores'!G36</f>
        <v>Mayor o igual A:</v>
      </c>
      <c r="O94" s="476">
        <f>'Rango en indicadores'!H36</f>
        <v>100</v>
      </c>
      <c r="P94" s="488" t="str">
        <f>'Rango en indicadores'!I36</f>
        <v>Desde (&gt;):</v>
      </c>
      <c r="Q94" s="476">
        <f>'Rango en indicadores'!J36</f>
        <v>99</v>
      </c>
      <c r="R94" s="488" t="str">
        <f>'Rango en indicadores'!K36</f>
        <v>Hasta (&lt;):</v>
      </c>
      <c r="S94" s="476">
        <f>'Rango en indicadores'!L36</f>
        <v>100</v>
      </c>
      <c r="T94" s="488" t="str">
        <f>'Rango en indicadores'!M36</f>
        <v>Menor o Igual A:</v>
      </c>
      <c r="U94" s="476">
        <f>'Rango en indicadores'!N36</f>
        <v>99</v>
      </c>
      <c r="V94" s="478" t="s">
        <v>837</v>
      </c>
    </row>
    <row r="95" spans="2:24" ht="38.25">
      <c r="B95" s="473">
        <f t="shared" si="10"/>
        <v>33</v>
      </c>
      <c r="C95" s="474" t="str">
        <f>'Rango en indicadores'!E37</f>
        <v xml:space="preserve">Mecanismo de prevención de los peligros que enfrentan los jóvenes de Bogotá D.C. </v>
      </c>
      <c r="D95" s="475" t="str">
        <f>'Rango en indicadores'!D37</f>
        <v>05-RI-15</v>
      </c>
      <c r="E95" s="497">
        <f>'05 Prom Defen Derechos POA 2020'!AQ25</f>
        <v>5</v>
      </c>
      <c r="F95" s="497">
        <f>+'05 Prom Defen Derechos POA 2020'!AO25</f>
        <v>1</v>
      </c>
      <c r="G95" s="497">
        <f>+'05 Prom Defen Derechos POA 2020'!Q25+'05 Prom Defen Derechos POA 2020'!Y25+'05 Prom Defen Derechos POA 2020'!AG25+'05 Prom Defen Derechos POA 2020'!AO25</f>
        <v>5</v>
      </c>
      <c r="H95" s="497">
        <f>+'14 Servicio al Usuario POA 2020'!AP25</f>
        <v>0</v>
      </c>
      <c r="I95" s="497">
        <f>+'05 Prom Defen Derechos POA 2020'!R25+'05 Prom Defen Derechos POA 2020'!Z25+'05 Prom Defen Derechos POA 2020'!AH25+'05 Prom Defen Derechos POA 2020'!AP25</f>
        <v>5</v>
      </c>
      <c r="J95" s="497">
        <f>'05 Prom Defen Derechos POA 2020'!AR25</f>
        <v>5</v>
      </c>
      <c r="K95" s="477">
        <f t="shared" si="7"/>
        <v>0</v>
      </c>
      <c r="L95" s="477">
        <f t="shared" si="8"/>
        <v>1</v>
      </c>
      <c r="M95" s="477">
        <f>'05 Prom Defen Derechos POA 2020'!AS25</f>
        <v>1</v>
      </c>
      <c r="N95" s="488" t="str">
        <f>'Rango en indicadores'!G37</f>
        <v>Mayor A:</v>
      </c>
      <c r="O95" s="476">
        <f>'Rango en indicadores'!H37</f>
        <v>95</v>
      </c>
      <c r="P95" s="488" t="str">
        <f>'Rango en indicadores'!I37</f>
        <v>Desde (&gt;=):</v>
      </c>
      <c r="Q95" s="476">
        <f>'Rango en indicadores'!J37</f>
        <v>85</v>
      </c>
      <c r="R95" s="488" t="str">
        <f>'Rango en indicadores'!K37</f>
        <v>Hasta (&lt;=):</v>
      </c>
      <c r="S95" s="476">
        <f>'Rango en indicadores'!L37</f>
        <v>95</v>
      </c>
      <c r="T95" s="488" t="str">
        <f>'Rango en indicadores'!M37</f>
        <v>Menor A:</v>
      </c>
      <c r="U95" s="476">
        <f>'Rango en indicadores'!N37</f>
        <v>85</v>
      </c>
      <c r="V95" s="478" t="s">
        <v>837</v>
      </c>
    </row>
    <row r="96" spans="2:24" ht="45">
      <c r="B96" s="473">
        <f t="shared" si="10"/>
        <v>34</v>
      </c>
      <c r="C96" s="474" t="str">
        <f>'Rango en indicadores'!E38</f>
        <v xml:space="preserve">Espacios de transferencia y fortalecimiento de conocimientos realizados para la atención de personas que acuden a la Personería de Bogotá, D. C. </v>
      </c>
      <c r="D96" s="475" t="str">
        <f>'Rango en indicadores'!D38</f>
        <v>05-RI-16</v>
      </c>
      <c r="E96" s="497">
        <f>'05 Prom Defen Derechos POA 2020'!AQ26</f>
        <v>20</v>
      </c>
      <c r="F96" s="497">
        <f>+'05 Prom Defen Derechos POA 2020'!AO26</f>
        <v>1</v>
      </c>
      <c r="G96" s="497">
        <f>+'05 Prom Defen Derechos POA 2020'!Q26+'05 Prom Defen Derechos POA 2020'!Y26+'05 Prom Defen Derechos POA 2020'!AG26+'05 Prom Defen Derechos POA 2020'!AO26</f>
        <v>20</v>
      </c>
      <c r="H96" s="497">
        <f>+'14 Servicio al Usuario POA 2020'!AP26</f>
        <v>0</v>
      </c>
      <c r="I96" s="497">
        <f>+'05 Prom Defen Derechos POA 2020'!R26+'05 Prom Defen Derechos POA 2020'!Z26+'05 Prom Defen Derechos POA 2020'!AH26+'05 Prom Defen Derechos POA 2020'!AP26</f>
        <v>20</v>
      </c>
      <c r="J96" s="497">
        <f>'05 Prom Defen Derechos POA 2020'!AR26</f>
        <v>20</v>
      </c>
      <c r="K96" s="501">
        <f t="shared" si="7"/>
        <v>0</v>
      </c>
      <c r="L96" s="477">
        <f t="shared" si="8"/>
        <v>1</v>
      </c>
      <c r="M96" s="477">
        <f>'05 Prom Defen Derechos POA 2020'!AS26</f>
        <v>1</v>
      </c>
      <c r="N96" s="488" t="str">
        <f>'Rango en indicadores'!G38</f>
        <v>Mayor A:</v>
      </c>
      <c r="O96" s="476">
        <f>'Rango en indicadores'!H38</f>
        <v>95</v>
      </c>
      <c r="P96" s="488" t="str">
        <f>'Rango en indicadores'!I38</f>
        <v>Desde (&gt;=):</v>
      </c>
      <c r="Q96" s="476">
        <f>'Rango en indicadores'!J38</f>
        <v>85</v>
      </c>
      <c r="R96" s="488" t="str">
        <f>'Rango en indicadores'!K38</f>
        <v>Hasta (&lt;=):</v>
      </c>
      <c r="S96" s="476">
        <f>'Rango en indicadores'!L38</f>
        <v>95</v>
      </c>
      <c r="T96" s="488" t="str">
        <f>'Rango en indicadores'!M38</f>
        <v>Menor A:</v>
      </c>
      <c r="U96" s="476">
        <f>'Rango en indicadores'!N38</f>
        <v>85</v>
      </c>
      <c r="V96" s="478" t="s">
        <v>837</v>
      </c>
      <c r="W96" s="498"/>
      <c r="X96" s="498"/>
    </row>
    <row r="97" spans="2:24" ht="105" customHeight="1">
      <c r="B97" s="473">
        <f t="shared" si="10"/>
        <v>35</v>
      </c>
      <c r="C97" s="474" t="str">
        <f>'Rango en indicadores'!E39</f>
        <v>Decisiones de fondo y de archivo verificadas</v>
      </c>
      <c r="D97" s="475" t="str">
        <f>'Rango en indicadores'!D39</f>
        <v>05-RI-17</v>
      </c>
      <c r="E97" s="497">
        <f>'05 Prom Defen Derechos POA 2020'!AQ27</f>
        <v>20000</v>
      </c>
      <c r="F97" s="497">
        <f>+'05 Prom Defen Derechos POA 2020'!AO27</f>
        <v>4000</v>
      </c>
      <c r="G97" s="497">
        <f>+'05 Prom Defen Derechos POA 2020'!Q27+'05 Prom Defen Derechos POA 2020'!Y27+'05 Prom Defen Derechos POA 2020'!AG27+'05 Prom Defen Derechos POA 2020'!AO27</f>
        <v>20000</v>
      </c>
      <c r="H97" s="497">
        <f>+'14 Servicio al Usuario POA 2020'!AP27</f>
        <v>0</v>
      </c>
      <c r="I97" s="497">
        <f>+'05 Prom Defen Derechos POA 2020'!R27+'05 Prom Defen Derechos POA 2020'!Z27+'05 Prom Defen Derechos POA 2020'!AH27+'05 Prom Defen Derechos POA 2020'!AP27</f>
        <v>17319</v>
      </c>
      <c r="J97" s="497">
        <f>'05 Prom Defen Derechos POA 2020'!AR27</f>
        <v>17319</v>
      </c>
      <c r="K97" s="477">
        <f t="shared" si="7"/>
        <v>0</v>
      </c>
      <c r="L97" s="477">
        <f t="shared" si="8"/>
        <v>0.86595</v>
      </c>
      <c r="M97" s="477">
        <f>'05 Prom Defen Derechos POA 2020'!AS27</f>
        <v>0.86595</v>
      </c>
      <c r="N97" s="488" t="str">
        <f>'Rango en indicadores'!G39</f>
        <v>Mayor A:</v>
      </c>
      <c r="O97" s="476">
        <f>'Rango en indicadores'!H39</f>
        <v>90</v>
      </c>
      <c r="P97" s="488" t="str">
        <f>'Rango en indicadores'!I39</f>
        <v>Desde (&gt;=):</v>
      </c>
      <c r="Q97" s="476">
        <f>'Rango en indicadores'!J39</f>
        <v>70</v>
      </c>
      <c r="R97" s="488" t="str">
        <f>'Rango en indicadores'!K39</f>
        <v>Hasta (&lt;=):</v>
      </c>
      <c r="S97" s="476">
        <f>'Rango en indicadores'!L39</f>
        <v>90</v>
      </c>
      <c r="T97" s="488" t="str">
        <f>'Rango en indicadores'!M39</f>
        <v>Menor A:</v>
      </c>
      <c r="U97" s="476">
        <f>'Rango en indicadores'!N39</f>
        <v>70</v>
      </c>
      <c r="V97" s="499" t="s">
        <v>848</v>
      </c>
      <c r="W97" s="498"/>
      <c r="X97" s="498"/>
    </row>
    <row r="98" spans="2:24" ht="84.75" customHeight="1">
      <c r="B98" s="473">
        <f t="shared" si="10"/>
        <v>36</v>
      </c>
      <c r="C98" s="474" t="str">
        <f>'Rango en indicadores'!E40</f>
        <v>Asistencia a Audiencias Públicas</v>
      </c>
      <c r="D98" s="475" t="str">
        <f>'Rango en indicadores'!D40</f>
        <v>05-RI-27</v>
      </c>
      <c r="E98" s="497">
        <f>'05 Prom Defen Derechos POA 2020'!AQ28</f>
        <v>5500</v>
      </c>
      <c r="F98" s="497">
        <f>+'05 Prom Defen Derechos POA 2020'!AO28</f>
        <v>1100</v>
      </c>
      <c r="G98" s="497">
        <f>+'05 Prom Defen Derechos POA 2020'!Q28+'05 Prom Defen Derechos POA 2020'!Y28+'05 Prom Defen Derechos POA 2020'!AG28+'05 Prom Defen Derechos POA 2020'!AO28</f>
        <v>5500</v>
      </c>
      <c r="H98" s="497">
        <f>+'14 Servicio al Usuario POA 2020'!AP28</f>
        <v>0</v>
      </c>
      <c r="I98" s="497">
        <f>+'05 Prom Defen Derechos POA 2020'!R28+'05 Prom Defen Derechos POA 2020'!Z28+'05 Prom Defen Derechos POA 2020'!AH28+'05 Prom Defen Derechos POA 2020'!AP28</f>
        <v>6108</v>
      </c>
      <c r="J98" s="497">
        <f>'05 Prom Defen Derechos POA 2020'!AR28</f>
        <v>6108</v>
      </c>
      <c r="K98" s="477">
        <f t="shared" si="7"/>
        <v>0</v>
      </c>
      <c r="L98" s="477">
        <f t="shared" si="8"/>
        <v>1.1105454545454545</v>
      </c>
      <c r="M98" s="477">
        <f>'05 Prom Defen Derechos POA 2020'!AS28</f>
        <v>1.1105454545454545</v>
      </c>
      <c r="N98" s="488" t="str">
        <f>'Rango en indicadores'!G40</f>
        <v>Mayor A:</v>
      </c>
      <c r="O98" s="476">
        <f>'Rango en indicadores'!H40</f>
        <v>90</v>
      </c>
      <c r="P98" s="488" t="str">
        <f>'Rango en indicadores'!I40</f>
        <v>Desde (&gt;=):</v>
      </c>
      <c r="Q98" s="476">
        <f>'Rango en indicadores'!J40</f>
        <v>70</v>
      </c>
      <c r="R98" s="488" t="str">
        <f>'Rango en indicadores'!K40</f>
        <v>Hasta (&lt;=):</v>
      </c>
      <c r="S98" s="476">
        <f>'Rango en indicadores'!L40</f>
        <v>90</v>
      </c>
      <c r="T98" s="488" t="str">
        <f>'Rango en indicadores'!M40</f>
        <v>Menor A:</v>
      </c>
      <c r="U98" s="476">
        <f>'Rango en indicadores'!N40</f>
        <v>70</v>
      </c>
      <c r="V98" s="478" t="s">
        <v>849</v>
      </c>
      <c r="W98" s="498"/>
      <c r="X98" s="498"/>
    </row>
    <row r="99" spans="2:24" ht="117" customHeight="1">
      <c r="B99" s="473">
        <f t="shared" si="10"/>
        <v>37</v>
      </c>
      <c r="C99" s="474" t="str">
        <f>'Rango en indicadores'!E41</f>
        <v>Sensibilizaciones realizadas en valores, derechos y  obligaciones</v>
      </c>
      <c r="D99" s="475" t="str">
        <f>'Rango en indicadores'!D41</f>
        <v>05-RI-28</v>
      </c>
      <c r="E99" s="497">
        <f>'05 Prom Defen Derechos POA 2020'!AQ29</f>
        <v>8000</v>
      </c>
      <c r="F99" s="497">
        <f>+'05 Prom Defen Derechos POA 2020'!AO29</f>
        <v>1400</v>
      </c>
      <c r="G99" s="497">
        <f>+'05 Prom Defen Derechos POA 2020'!Q29+'05 Prom Defen Derechos POA 2020'!Y29+'05 Prom Defen Derechos POA 2020'!AG29+'05 Prom Defen Derechos POA 2020'!AO29</f>
        <v>8000</v>
      </c>
      <c r="H99" s="497">
        <f>+'14 Servicio al Usuario POA 2020'!AP29</f>
        <v>0</v>
      </c>
      <c r="I99" s="497">
        <f>+'05 Prom Defen Derechos POA 2020'!R29+'05 Prom Defen Derechos POA 2020'!Z29+'05 Prom Defen Derechos POA 2020'!AH29+'05 Prom Defen Derechos POA 2020'!AP29</f>
        <v>62247</v>
      </c>
      <c r="J99" s="497">
        <f>'05 Prom Defen Derechos POA 2020'!AR29</f>
        <v>62247</v>
      </c>
      <c r="K99" s="477">
        <f t="shared" si="7"/>
        <v>0</v>
      </c>
      <c r="L99" s="477">
        <f t="shared" si="8"/>
        <v>7.780875</v>
      </c>
      <c r="M99" s="477">
        <f>'05 Prom Defen Derechos POA 2020'!AS29</f>
        <v>7.780875</v>
      </c>
      <c r="N99" s="488" t="str">
        <f>'Rango en indicadores'!G41</f>
        <v>Mayor A:</v>
      </c>
      <c r="O99" s="476">
        <f>'Rango en indicadores'!H41</f>
        <v>90</v>
      </c>
      <c r="P99" s="488" t="str">
        <f>'Rango en indicadores'!I41</f>
        <v>Desde (&gt;=):</v>
      </c>
      <c r="Q99" s="476">
        <f>'Rango en indicadores'!J41</f>
        <v>70</v>
      </c>
      <c r="R99" s="488" t="str">
        <f>'Rango en indicadores'!K41</f>
        <v>Hasta (&lt;=):</v>
      </c>
      <c r="S99" s="476">
        <f>'Rango en indicadores'!L41</f>
        <v>90</v>
      </c>
      <c r="T99" s="488" t="str">
        <f>'Rango en indicadores'!M41</f>
        <v>Menor A:</v>
      </c>
      <c r="U99" s="476">
        <f>'Rango en indicadores'!N41</f>
        <v>70</v>
      </c>
      <c r="V99" s="478" t="s">
        <v>850</v>
      </c>
      <c r="W99" s="502"/>
      <c r="X99" s="498"/>
    </row>
    <row r="100" spans="2:24" ht="91.5" customHeight="1">
      <c r="B100" s="473">
        <f t="shared" si="10"/>
        <v>38</v>
      </c>
      <c r="C100" s="474" t="str">
        <f>'Rango en indicadores'!E42</f>
        <v>Actividades realizadas para fortalecer y promover la participación ciudadana</v>
      </c>
      <c r="D100" s="475" t="str">
        <f>'Rango en indicadores'!D42</f>
        <v>05-RI-29</v>
      </c>
      <c r="E100" s="497">
        <f>'05 Prom Defen Derechos POA 2020'!AQ30</f>
        <v>40</v>
      </c>
      <c r="F100" s="497">
        <f>+'05 Prom Defen Derechos POA 2020'!AO30</f>
        <v>0</v>
      </c>
      <c r="G100" s="497">
        <f>+'05 Prom Defen Derechos POA 2020'!Q30+'05 Prom Defen Derechos POA 2020'!Y30+'05 Prom Defen Derechos POA 2020'!AG30+'05 Prom Defen Derechos POA 2020'!AO30</f>
        <v>40</v>
      </c>
      <c r="H100" s="497">
        <f>+'14 Servicio al Usuario POA 2020'!AP30</f>
        <v>0</v>
      </c>
      <c r="I100" s="497">
        <f>+'05 Prom Defen Derechos POA 2020'!R30+'05 Prom Defen Derechos POA 2020'!Z30+'05 Prom Defen Derechos POA 2020'!AH30+'05 Prom Defen Derechos POA 2020'!AP30</f>
        <v>59</v>
      </c>
      <c r="J100" s="497">
        <f>'05 Prom Defen Derechos POA 2020'!AR30</f>
        <v>59</v>
      </c>
      <c r="K100" s="477" t="str">
        <f t="shared" si="7"/>
        <v>No programado</v>
      </c>
      <c r="L100" s="477">
        <f t="shared" si="8"/>
        <v>1.4750000000000001</v>
      </c>
      <c r="M100" s="477">
        <f>'05 Prom Defen Derechos POA 2020'!AS30</f>
        <v>1.4750000000000001</v>
      </c>
      <c r="N100" s="488" t="str">
        <f>'Rango en indicadores'!G42</f>
        <v>Mayor A:</v>
      </c>
      <c r="O100" s="476">
        <f>'Rango en indicadores'!H42</f>
        <v>90</v>
      </c>
      <c r="P100" s="488" t="str">
        <f>'Rango en indicadores'!I42</f>
        <v>Desde (&gt;=):</v>
      </c>
      <c r="Q100" s="476">
        <f>'Rango en indicadores'!J42</f>
        <v>70</v>
      </c>
      <c r="R100" s="488" t="str">
        <f>'Rango en indicadores'!K42</f>
        <v>Hasta (&lt;=):</v>
      </c>
      <c r="S100" s="476">
        <f>'Rango en indicadores'!L42</f>
        <v>90</v>
      </c>
      <c r="T100" s="488" t="str">
        <f>'Rango en indicadores'!M42</f>
        <v>Menor A:</v>
      </c>
      <c r="U100" s="476">
        <f>'Rango en indicadores'!N42</f>
        <v>70</v>
      </c>
      <c r="V100" s="478" t="s">
        <v>851</v>
      </c>
      <c r="W100" s="498"/>
      <c r="X100" s="498"/>
    </row>
    <row r="101" spans="2:24" ht="90.75" customHeight="1">
      <c r="B101" s="473">
        <f t="shared" si="10"/>
        <v>39</v>
      </c>
      <c r="C101" s="474" t="str">
        <f>'Rango en indicadores'!E43</f>
        <v>Sensibilización en medio ambiente</v>
      </c>
      <c r="D101" s="475" t="str">
        <f>'Rango en indicadores'!D43</f>
        <v>05-RI-30</v>
      </c>
      <c r="E101" s="497">
        <f>'05 Prom Defen Derechos POA 2020'!AQ31</f>
        <v>2000</v>
      </c>
      <c r="F101" s="497">
        <f>+'05 Prom Defen Derechos POA 2020'!AO31</f>
        <v>450</v>
      </c>
      <c r="G101" s="497">
        <f>+'05 Prom Defen Derechos POA 2020'!Q31+'05 Prom Defen Derechos POA 2020'!Y31+'05 Prom Defen Derechos POA 2020'!AG31+'05 Prom Defen Derechos POA 2020'!AO31</f>
        <v>2000</v>
      </c>
      <c r="H101" s="497">
        <f>+'14 Servicio al Usuario POA 2020'!AP31</f>
        <v>0</v>
      </c>
      <c r="I101" s="497">
        <f>+'05 Prom Defen Derechos POA 2020'!R31+'05 Prom Defen Derechos POA 2020'!Z31+'05 Prom Defen Derechos POA 2020'!AH31+'05 Prom Defen Derechos POA 2020'!AP31</f>
        <v>2276</v>
      </c>
      <c r="J101" s="497">
        <f>'05 Prom Defen Derechos POA 2020'!AR31</f>
        <v>2276</v>
      </c>
      <c r="K101" s="477">
        <f t="shared" si="7"/>
        <v>0</v>
      </c>
      <c r="L101" s="477">
        <f t="shared" si="8"/>
        <v>1.1379999999999999</v>
      </c>
      <c r="M101" s="477">
        <f>'05 Prom Defen Derechos POA 2020'!AS31</f>
        <v>1.1379999999999999</v>
      </c>
      <c r="N101" s="488" t="str">
        <f>'Rango en indicadores'!G43</f>
        <v>Mayor A:</v>
      </c>
      <c r="O101" s="476">
        <f>'Rango en indicadores'!H43</f>
        <v>90</v>
      </c>
      <c r="P101" s="488" t="str">
        <f>'Rango en indicadores'!I43</f>
        <v>Desde (&gt;=):</v>
      </c>
      <c r="Q101" s="476">
        <f>'Rango en indicadores'!J43</f>
        <v>70</v>
      </c>
      <c r="R101" s="488" t="str">
        <f>'Rango en indicadores'!K43</f>
        <v>Hasta (&lt;=):</v>
      </c>
      <c r="S101" s="476">
        <f>'Rango en indicadores'!L43</f>
        <v>90</v>
      </c>
      <c r="T101" s="488" t="str">
        <f>'Rango en indicadores'!M43</f>
        <v>Menor A:</v>
      </c>
      <c r="U101" s="476">
        <f>'Rango en indicadores'!N43</f>
        <v>70</v>
      </c>
      <c r="V101" s="478" t="s">
        <v>852</v>
      </c>
      <c r="W101" s="498"/>
      <c r="X101" s="498"/>
    </row>
    <row r="102" spans="2:24" ht="84.75" customHeight="1">
      <c r="B102" s="473">
        <f t="shared" si="10"/>
        <v>40</v>
      </c>
      <c r="C102" s="474" t="str">
        <f>'Rango en indicadores'!E44</f>
        <v>Elaboración de tutelas</v>
      </c>
      <c r="D102" s="475" t="str">
        <f>'Rango en indicadores'!D44</f>
        <v>05-RI-31</v>
      </c>
      <c r="E102" s="497">
        <f>'05 Prom Defen Derechos POA 2020'!AQ32</f>
        <v>1000</v>
      </c>
      <c r="F102" s="497">
        <f>+'05 Prom Defen Derechos POA 2020'!AO32</f>
        <v>200</v>
      </c>
      <c r="G102" s="497">
        <f>+'05 Prom Defen Derechos POA 2020'!Q32+'05 Prom Defen Derechos POA 2020'!Y32+'05 Prom Defen Derechos POA 2020'!AG32+'05 Prom Defen Derechos POA 2020'!AO32</f>
        <v>1000</v>
      </c>
      <c r="H102" s="497">
        <f>+'14 Servicio al Usuario POA 2020'!AP32</f>
        <v>0</v>
      </c>
      <c r="I102" s="497">
        <f>+'05 Prom Defen Derechos POA 2020'!R32+'05 Prom Defen Derechos POA 2020'!Z32+'05 Prom Defen Derechos POA 2020'!AH32+'05 Prom Defen Derechos POA 2020'!AP32</f>
        <v>727</v>
      </c>
      <c r="J102" s="497">
        <f>'05 Prom Defen Derechos POA 2020'!AR32</f>
        <v>727</v>
      </c>
      <c r="K102" s="477">
        <f t="shared" si="7"/>
        <v>0</v>
      </c>
      <c r="L102" s="477">
        <f t="shared" si="8"/>
        <v>0.72699999999999998</v>
      </c>
      <c r="M102" s="477">
        <f>'05 Prom Defen Derechos POA 2020'!AS32</f>
        <v>0.72699999999999998</v>
      </c>
      <c r="N102" s="488" t="str">
        <f>'Rango en indicadores'!G44</f>
        <v>Mayor A:</v>
      </c>
      <c r="O102" s="476">
        <f>'Rango en indicadores'!H44</f>
        <v>90</v>
      </c>
      <c r="P102" s="488" t="str">
        <f>'Rango en indicadores'!I44</f>
        <v>Desde (&gt;=):</v>
      </c>
      <c r="Q102" s="476">
        <f>'Rango en indicadores'!J44</f>
        <v>70</v>
      </c>
      <c r="R102" s="488" t="str">
        <f>'Rango en indicadores'!K44</f>
        <v>Hasta (&lt;=):</v>
      </c>
      <c r="S102" s="476">
        <f>'Rango en indicadores'!L44</f>
        <v>90</v>
      </c>
      <c r="T102" s="488" t="str">
        <f>'Rango en indicadores'!M44</f>
        <v>Menor A:</v>
      </c>
      <c r="U102" s="476">
        <f>'Rango en indicadores'!N44</f>
        <v>70</v>
      </c>
      <c r="V102" s="499" t="s">
        <v>853</v>
      </c>
      <c r="W102" s="498"/>
      <c r="X102" s="498"/>
    </row>
    <row r="103" spans="2:24" ht="84" customHeight="1">
      <c r="B103" s="473">
        <f t="shared" si="10"/>
        <v>41</v>
      </c>
      <c r="C103" s="474" t="str">
        <f>'Rango en indicadores'!E45</f>
        <v>Intervenciones realizadas (impulsos realizados)</v>
      </c>
      <c r="D103" s="475" t="str">
        <f>'Rango en indicadores'!D45</f>
        <v>05-RI-32</v>
      </c>
      <c r="E103" s="497">
        <f>'05 Prom Defen Derechos POA 2020'!AQ33</f>
        <v>5000</v>
      </c>
      <c r="F103" s="497">
        <f>+'05 Prom Defen Derechos POA 2020'!AO33</f>
        <v>700</v>
      </c>
      <c r="G103" s="497">
        <f>+'05 Prom Defen Derechos POA 2020'!Q33+'05 Prom Defen Derechos POA 2020'!Y33+'05 Prom Defen Derechos POA 2020'!AG33+'05 Prom Defen Derechos POA 2020'!AO33</f>
        <v>5000</v>
      </c>
      <c r="H103" s="497">
        <f>+'14 Servicio al Usuario POA 2020'!AP33</f>
        <v>0</v>
      </c>
      <c r="I103" s="497">
        <f>+'05 Prom Defen Derechos POA 2020'!R33+'05 Prom Defen Derechos POA 2020'!Z33+'05 Prom Defen Derechos POA 2020'!AH33+'05 Prom Defen Derechos POA 2020'!AP33</f>
        <v>5571</v>
      </c>
      <c r="J103" s="497">
        <f>'05 Prom Defen Derechos POA 2020'!AR33</f>
        <v>5571</v>
      </c>
      <c r="K103" s="477">
        <f t="shared" si="7"/>
        <v>0</v>
      </c>
      <c r="L103" s="477">
        <f t="shared" si="8"/>
        <v>1.1142000000000001</v>
      </c>
      <c r="M103" s="477">
        <f>'05 Prom Defen Derechos POA 2020'!AS33</f>
        <v>1.1142000000000001</v>
      </c>
      <c r="N103" s="488" t="str">
        <f>'Rango en indicadores'!G45</f>
        <v>Mayor A:</v>
      </c>
      <c r="O103" s="476">
        <f>'Rango en indicadores'!H45</f>
        <v>90</v>
      </c>
      <c r="P103" s="488" t="str">
        <f>'Rango en indicadores'!I45</f>
        <v>Desde (&gt;=):</v>
      </c>
      <c r="Q103" s="476">
        <f>'Rango en indicadores'!J45</f>
        <v>70</v>
      </c>
      <c r="R103" s="488" t="str">
        <f>'Rango en indicadores'!K45</f>
        <v>Hasta (&lt;=):</v>
      </c>
      <c r="S103" s="476">
        <f>'Rango en indicadores'!L45</f>
        <v>90</v>
      </c>
      <c r="T103" s="488" t="str">
        <f>'Rango en indicadores'!M45</f>
        <v>Menor A:</v>
      </c>
      <c r="U103" s="476">
        <f>'Rango en indicadores'!N45</f>
        <v>70</v>
      </c>
      <c r="V103" s="478" t="s">
        <v>854</v>
      </c>
      <c r="W103" s="498"/>
      <c r="X103" s="498"/>
    </row>
    <row r="104" spans="2:24" ht="15.75">
      <c r="C104" s="612" t="s">
        <v>602</v>
      </c>
      <c r="D104" s="613"/>
      <c r="E104" s="613"/>
      <c r="F104" s="613"/>
      <c r="G104" s="613"/>
      <c r="H104" s="613"/>
      <c r="I104" s="613"/>
      <c r="J104" s="614"/>
      <c r="K104" s="484">
        <f>IFERROR(AVERAGE(K83:K103),0)</f>
        <v>6.094916719434821E-2</v>
      </c>
      <c r="L104" s="484">
        <f>IFERROR(AVERAGE(L83:L103),0)</f>
        <v>1.3845041007222141</v>
      </c>
      <c r="M104" s="484">
        <f>IFERROR(AVERAGE(M83:M103),0)</f>
        <v>1.3845041007222141</v>
      </c>
      <c r="N104" s="495"/>
      <c r="O104" s="495"/>
      <c r="P104" s="495"/>
      <c r="Q104" s="495"/>
      <c r="R104" s="495"/>
      <c r="S104" s="495"/>
      <c r="T104" s="495"/>
      <c r="U104" s="495"/>
      <c r="V104" s="485"/>
    </row>
    <row r="105" spans="2:24" s="466" customFormat="1">
      <c r="D105" s="467"/>
      <c r="V105" s="468"/>
    </row>
    <row r="106" spans="2:24" s="466" customFormat="1" ht="15.75">
      <c r="C106" s="470" t="s">
        <v>616</v>
      </c>
      <c r="D106" s="492"/>
      <c r="V106" s="468"/>
    </row>
    <row r="107" spans="2:24" ht="33.75" customHeight="1">
      <c r="C107" s="600" t="s">
        <v>592</v>
      </c>
      <c r="D107" s="599" t="s">
        <v>593</v>
      </c>
      <c r="E107" s="601" t="s">
        <v>594</v>
      </c>
      <c r="F107" s="602"/>
      <c r="G107" s="603"/>
      <c r="H107" s="599" t="s">
        <v>595</v>
      </c>
      <c r="I107" s="611" t="str">
        <f>$I$31</f>
        <v>Ejecución Acumulada Corte
31/12/2020</v>
      </c>
      <c r="J107" s="599" t="s">
        <v>596</v>
      </c>
      <c r="K107" s="599" t="s">
        <v>568</v>
      </c>
      <c r="L107" s="599"/>
      <c r="M107" s="599"/>
      <c r="N107" s="591" t="s">
        <v>666</v>
      </c>
      <c r="O107" s="591"/>
      <c r="P107" s="591"/>
      <c r="Q107" s="591"/>
      <c r="R107" s="591"/>
      <c r="S107" s="591"/>
      <c r="T107" s="591"/>
      <c r="U107" s="591"/>
      <c r="V107" s="618" t="s">
        <v>597</v>
      </c>
    </row>
    <row r="108" spans="2:24" ht="60.75" customHeight="1">
      <c r="C108" s="600"/>
      <c r="D108" s="599"/>
      <c r="E108" s="471" t="s">
        <v>660</v>
      </c>
      <c r="F108" s="471" t="str">
        <f>$C$5</f>
        <v>Cuarto Trimestre</v>
      </c>
      <c r="G108" s="469" t="str">
        <f>$G$31</f>
        <v>Acumulada Corte
31/12/2020</v>
      </c>
      <c r="H108" s="599"/>
      <c r="I108" s="611"/>
      <c r="J108" s="599"/>
      <c r="K108" s="471" t="str">
        <f>+$C$5</f>
        <v>Cuarto Trimestre</v>
      </c>
      <c r="L108" s="469" t="str">
        <f>$L$31</f>
        <v>Acumulado Corte 31/12/2020</v>
      </c>
      <c r="M108" s="471" t="s">
        <v>569</v>
      </c>
      <c r="N108" s="592" t="s">
        <v>754</v>
      </c>
      <c r="O108" s="593"/>
      <c r="P108" s="594" t="s">
        <v>661</v>
      </c>
      <c r="Q108" s="595"/>
      <c r="R108" s="595"/>
      <c r="S108" s="596"/>
      <c r="T108" s="597" t="s">
        <v>755</v>
      </c>
      <c r="U108" s="598"/>
      <c r="V108" s="618"/>
    </row>
    <row r="109" spans="2:24" ht="38.25">
      <c r="B109" s="473">
        <f>+B103+1</f>
        <v>42</v>
      </c>
      <c r="C109" s="474" t="str">
        <f>'Rango en indicadores'!E46</f>
        <v xml:space="preserve">Audiencias  y mesas de trabajo realizadas 
</v>
      </c>
      <c r="D109" s="475" t="str">
        <f>'Rango en indicadores'!D46</f>
        <v>06-RI-02</v>
      </c>
      <c r="E109" s="497">
        <f>'06 Prev Ctrl Func Públ POA 2020'!AQ13</f>
        <v>11</v>
      </c>
      <c r="F109" s="497">
        <f>+'06 Prev Ctrl Func Públ POA 2020'!AO13</f>
        <v>3</v>
      </c>
      <c r="G109" s="497">
        <f>+'06 Prev Ctrl Func Públ POA 2020'!Q13+'06 Prev Ctrl Func Públ POA 2020'!Y13+'06 Prev Ctrl Func Públ POA 2020'!AG13+'06 Prev Ctrl Func Públ POA 2020'!AO13</f>
        <v>11</v>
      </c>
      <c r="H109" s="497">
        <f>+'06 Prev Ctrl Func Públ POA 2020'!AP13</f>
        <v>3</v>
      </c>
      <c r="I109" s="497">
        <f>+'06 Prev Ctrl Func Públ POA 2020'!R13+'06 Prev Ctrl Func Públ POA 2020'!Z13+'06 Prev Ctrl Func Públ POA 2020'!AH13+'06 Prev Ctrl Func Públ POA 2020'!AP13</f>
        <v>11</v>
      </c>
      <c r="J109" s="497">
        <f>'06 Prev Ctrl Func Públ POA 2020'!AR13</f>
        <v>11</v>
      </c>
      <c r="K109" s="503">
        <f t="shared" ref="K109:K114" si="11">IF(AND(F109&gt;0),H109/F109,"No programado")</f>
        <v>1</v>
      </c>
      <c r="L109" s="503">
        <f>IF(AND(G109&gt;0),I109/G109,"No programado")</f>
        <v>1</v>
      </c>
      <c r="M109" s="503">
        <f>'06 Prev Ctrl Func Públ POA 2020'!AS13</f>
        <v>1</v>
      </c>
      <c r="N109" s="488" t="str">
        <f>'Rango en indicadores'!G46</f>
        <v>Mayor A:</v>
      </c>
      <c r="O109" s="476">
        <f>'Rango en indicadores'!H46</f>
        <v>90</v>
      </c>
      <c r="P109" s="488" t="str">
        <f>'Rango en indicadores'!I46</f>
        <v>Desde (&gt;=):</v>
      </c>
      <c r="Q109" s="476">
        <f>'Rango en indicadores'!J46</f>
        <v>69</v>
      </c>
      <c r="R109" s="488" t="str">
        <f>'Rango en indicadores'!K46</f>
        <v>Hasta (&lt;=):</v>
      </c>
      <c r="S109" s="476">
        <f>'Rango en indicadores'!L46</f>
        <v>90</v>
      </c>
      <c r="T109" s="488" t="str">
        <f>'Rango en indicadores'!M46</f>
        <v>Menor A:</v>
      </c>
      <c r="U109" s="476">
        <f>'Rango en indicadores'!N46</f>
        <v>69</v>
      </c>
      <c r="V109" s="478" t="s">
        <v>837</v>
      </c>
    </row>
    <row r="110" spans="2:24" ht="76.5">
      <c r="B110" s="473">
        <f>+B109+1</f>
        <v>43</v>
      </c>
      <c r="C110" s="474" t="str">
        <f>'Rango en indicadores'!E47</f>
        <v>Acciones de prevención y control a la función pública realizadas</v>
      </c>
      <c r="D110" s="475" t="str">
        <f>'Rango en indicadores'!D47</f>
        <v>06-RI-04</v>
      </c>
      <c r="E110" s="497">
        <f>'06 Prev Ctrl Func Públ POA 2020'!AQ14</f>
        <v>96</v>
      </c>
      <c r="F110" s="497">
        <f>+'06 Prev Ctrl Func Públ POA 2020'!AO14</f>
        <v>24</v>
      </c>
      <c r="G110" s="497">
        <f>+'06 Prev Ctrl Func Públ POA 2020'!Q14+'06 Prev Ctrl Func Públ POA 2020'!Y14+'06 Prev Ctrl Func Públ POA 2020'!AG14+'06 Prev Ctrl Func Públ POA 2020'!AO14</f>
        <v>96</v>
      </c>
      <c r="H110" s="497">
        <f>+'06 Prev Ctrl Func Públ POA 2020'!AP14</f>
        <v>40</v>
      </c>
      <c r="I110" s="497">
        <f>+'06 Prev Ctrl Func Públ POA 2020'!R14+'06 Prev Ctrl Func Públ POA 2020'!Z14+'06 Prev Ctrl Func Públ POA 2020'!AH14+'06 Prev Ctrl Func Públ POA 2020'!AP14</f>
        <v>107</v>
      </c>
      <c r="J110" s="497">
        <f>'06 Prev Ctrl Func Públ POA 2020'!AR14</f>
        <v>107</v>
      </c>
      <c r="K110" s="503">
        <f t="shared" si="11"/>
        <v>1.6666666666666667</v>
      </c>
      <c r="L110" s="503">
        <f t="shared" ref="L110:L114" si="12">IF(AND(G110&gt;0),I110/G110,"No programado")</f>
        <v>1.1145833333333333</v>
      </c>
      <c r="M110" s="503">
        <f>'06 Prev Ctrl Func Públ POA 2020'!AS14</f>
        <v>1.1145833333333333</v>
      </c>
      <c r="N110" s="488" t="str">
        <f>'Rango en indicadores'!G47</f>
        <v>Mayor A:</v>
      </c>
      <c r="O110" s="476">
        <f>'Rango en indicadores'!H47</f>
        <v>90</v>
      </c>
      <c r="P110" s="488" t="str">
        <f>'Rango en indicadores'!I47</f>
        <v>Desde (&gt;=):</v>
      </c>
      <c r="Q110" s="476">
        <f>'Rango en indicadores'!J47</f>
        <v>69</v>
      </c>
      <c r="R110" s="488" t="str">
        <f>'Rango en indicadores'!K47</f>
        <v>Hasta (&lt;=):</v>
      </c>
      <c r="S110" s="476">
        <f>'Rango en indicadores'!L47</f>
        <v>90</v>
      </c>
      <c r="T110" s="488" t="str">
        <f>'Rango en indicadores'!M47</f>
        <v>Menor A:</v>
      </c>
      <c r="U110" s="476">
        <f>'Rango en indicadores'!N47</f>
        <v>69</v>
      </c>
      <c r="V110" s="478" t="s">
        <v>856</v>
      </c>
      <c r="W110" s="498"/>
      <c r="X110" s="498"/>
    </row>
    <row r="111" spans="2:24" ht="76.5">
      <c r="B111" s="473">
        <f>+B110+1</f>
        <v>44</v>
      </c>
      <c r="C111" s="474" t="str">
        <f>'Rango en indicadores'!E48</f>
        <v>Seguimientos realizados</v>
      </c>
      <c r="D111" s="475" t="str">
        <f>'Rango en indicadores'!D48</f>
        <v>06-RI-05</v>
      </c>
      <c r="E111" s="497">
        <f>'06 Prev Ctrl Func Públ POA 2020'!AQ15</f>
        <v>46</v>
      </c>
      <c r="F111" s="497">
        <f>+'06 Prev Ctrl Func Públ POA 2020'!AO15</f>
        <v>13</v>
      </c>
      <c r="G111" s="497">
        <f>+'06 Prev Ctrl Func Públ POA 2020'!Q15+'06 Prev Ctrl Func Públ POA 2020'!Y15+'06 Prev Ctrl Func Públ POA 2020'!AG15+'06 Prev Ctrl Func Públ POA 2020'!AO15</f>
        <v>46</v>
      </c>
      <c r="H111" s="497">
        <f>+'06 Prev Ctrl Func Públ POA 2020'!AP15</f>
        <v>19</v>
      </c>
      <c r="I111" s="497">
        <f>+'06 Prev Ctrl Func Públ POA 2020'!R15+'06 Prev Ctrl Func Públ POA 2020'!Z15+'06 Prev Ctrl Func Públ POA 2020'!AH15+'06 Prev Ctrl Func Públ POA 2020'!AP15</f>
        <v>51</v>
      </c>
      <c r="J111" s="497">
        <f>'06 Prev Ctrl Func Públ POA 2020'!AR15</f>
        <v>51</v>
      </c>
      <c r="K111" s="503">
        <f t="shared" si="11"/>
        <v>1.4615384615384615</v>
      </c>
      <c r="L111" s="503">
        <f t="shared" si="12"/>
        <v>1.1086956521739131</v>
      </c>
      <c r="M111" s="503">
        <f>'06 Prev Ctrl Func Públ POA 2020'!AS15</f>
        <v>1.1086956521739131</v>
      </c>
      <c r="N111" s="488" t="str">
        <f>'Rango en indicadores'!G48</f>
        <v>Mayor A:</v>
      </c>
      <c r="O111" s="476">
        <f>'Rango en indicadores'!H48</f>
        <v>90</v>
      </c>
      <c r="P111" s="488" t="str">
        <f>'Rango en indicadores'!I48</f>
        <v>Desde (&gt;=):</v>
      </c>
      <c r="Q111" s="476">
        <f>'Rango en indicadores'!J48</f>
        <v>69</v>
      </c>
      <c r="R111" s="488" t="str">
        <f>'Rango en indicadores'!K48</f>
        <v>Hasta (&lt;=):</v>
      </c>
      <c r="S111" s="476">
        <f>'Rango en indicadores'!L48</f>
        <v>90</v>
      </c>
      <c r="T111" s="488" t="str">
        <f>'Rango en indicadores'!M48</f>
        <v>Menor A:</v>
      </c>
      <c r="U111" s="476">
        <f>'Rango en indicadores'!N48</f>
        <v>69</v>
      </c>
      <c r="V111" s="478" t="s">
        <v>857</v>
      </c>
      <c r="W111" s="498"/>
      <c r="X111" s="498"/>
    </row>
    <row r="112" spans="2:24" ht="76.5">
      <c r="B112" s="473">
        <f>+B111+1</f>
        <v>45</v>
      </c>
      <c r="C112" s="474" t="str">
        <f>'Rango en indicadores'!E49</f>
        <v>Seguimiento presupuestal</v>
      </c>
      <c r="D112" s="475" t="str">
        <f>'Rango en indicadores'!D49</f>
        <v>06-RI-06</v>
      </c>
      <c r="E112" s="497">
        <f>'06 Prev Ctrl Func Públ POA 2020'!AQ16</f>
        <v>60</v>
      </c>
      <c r="F112" s="497">
        <f>+'06 Prev Ctrl Func Públ POA 2020'!AO16</f>
        <v>20</v>
      </c>
      <c r="G112" s="497">
        <f>+'06 Prev Ctrl Func Públ POA 2020'!Q16+'06 Prev Ctrl Func Públ POA 2020'!Y16+'06 Prev Ctrl Func Públ POA 2020'!AG16+'06 Prev Ctrl Func Públ POA 2020'!AO16</f>
        <v>60</v>
      </c>
      <c r="H112" s="497">
        <f>+'06 Prev Ctrl Func Públ POA 2020'!AP16</f>
        <v>21</v>
      </c>
      <c r="I112" s="497">
        <f>+'06 Prev Ctrl Func Públ POA 2020'!R16+'06 Prev Ctrl Func Públ POA 2020'!Z16+'06 Prev Ctrl Func Públ POA 2020'!AH16+'06 Prev Ctrl Func Públ POA 2020'!AP16</f>
        <v>57</v>
      </c>
      <c r="J112" s="497">
        <f>'06 Prev Ctrl Func Públ POA 2020'!AR16</f>
        <v>57</v>
      </c>
      <c r="K112" s="503">
        <f t="shared" si="11"/>
        <v>1.05</v>
      </c>
      <c r="L112" s="503">
        <f t="shared" si="12"/>
        <v>0.95</v>
      </c>
      <c r="M112" s="503">
        <f>'06 Prev Ctrl Func Públ POA 2020'!AS16</f>
        <v>0.95</v>
      </c>
      <c r="N112" s="488" t="str">
        <f>'Rango en indicadores'!G49</f>
        <v>Mayor A:</v>
      </c>
      <c r="O112" s="476">
        <f>'Rango en indicadores'!H49</f>
        <v>90</v>
      </c>
      <c r="P112" s="488" t="str">
        <f>'Rango en indicadores'!I49</f>
        <v>Desde (&gt;=):</v>
      </c>
      <c r="Q112" s="476">
        <f>'Rango en indicadores'!J49</f>
        <v>70</v>
      </c>
      <c r="R112" s="488" t="str">
        <f>'Rango en indicadores'!K49</f>
        <v>Hasta (&lt;=):</v>
      </c>
      <c r="S112" s="476">
        <f>'Rango en indicadores'!L49</f>
        <v>90</v>
      </c>
      <c r="T112" s="488" t="str">
        <f>'Rango en indicadores'!M49</f>
        <v>Menor A:</v>
      </c>
      <c r="U112" s="476">
        <f>'Rango en indicadores'!N49</f>
        <v>70</v>
      </c>
      <c r="V112" s="499" t="s">
        <v>858</v>
      </c>
      <c r="W112" s="498"/>
      <c r="X112" s="498"/>
    </row>
    <row r="113" spans="2:24" ht="38.25">
      <c r="B113" s="473">
        <f>+B112+1</f>
        <v>46</v>
      </c>
      <c r="C113" s="474" t="str">
        <f>'Rango en indicadores'!E50</f>
        <v>Porcentaje de contratos revisados a petición de parte</v>
      </c>
      <c r="D113" s="475" t="str">
        <f>'Rango en indicadores'!D50</f>
        <v>06-RI-07</v>
      </c>
      <c r="E113" s="481">
        <f>'06 Prev Ctrl Func Públ POA 2020'!AQ17</f>
        <v>1</v>
      </c>
      <c r="F113" s="479">
        <f>+'06 Prev Ctrl Func Públ POA 2020'!AO17</f>
        <v>1</v>
      </c>
      <c r="G113" s="481">
        <f>ROUNDDOWN(AVERAGE('06 Prev Ctrl Func Públ POA 2020'!Q17,'06 Prev Ctrl Func Públ POA 2020'!Y17,'06 Prev Ctrl Func Públ POA 2020'!AG17),3)</f>
        <v>1</v>
      </c>
      <c r="H113" s="479">
        <f>'06 Prev Ctrl Func Públ POA 2020'!AH17</f>
        <v>1</v>
      </c>
      <c r="I113" s="481">
        <f>ROUNDDOWN(AVERAGE('06 Prev Ctrl Func Públ POA 2020'!R17,'06 Prev Ctrl Func Públ POA 2020'!Z17,'06 Prev Ctrl Func Públ POA 2020'!AH17,'06 Prev Ctrl Func Públ POA 2020'!AP17),3)</f>
        <v>1</v>
      </c>
      <c r="J113" s="481">
        <f>'06 Prev Ctrl Func Públ POA 2020'!AR17</f>
        <v>1</v>
      </c>
      <c r="K113" s="503">
        <f t="shared" si="11"/>
        <v>1</v>
      </c>
      <c r="L113" s="503">
        <f t="shared" si="12"/>
        <v>1</v>
      </c>
      <c r="M113" s="503">
        <f>'06 Prev Ctrl Func Públ POA 2020'!AS17</f>
        <v>1</v>
      </c>
      <c r="N113" s="488" t="str">
        <f>'Rango en indicadores'!G50</f>
        <v>Mayor A:</v>
      </c>
      <c r="O113" s="476">
        <f>'Rango en indicadores'!H50</f>
        <v>90</v>
      </c>
      <c r="P113" s="488" t="str">
        <f>'Rango en indicadores'!I50</f>
        <v>Desde (&gt;=):</v>
      </c>
      <c r="Q113" s="476">
        <f>'Rango en indicadores'!J50</f>
        <v>70</v>
      </c>
      <c r="R113" s="488" t="str">
        <f>'Rango en indicadores'!K50</f>
        <v>Hasta (&lt;=):</v>
      </c>
      <c r="S113" s="476">
        <f>'Rango en indicadores'!L50</f>
        <v>90</v>
      </c>
      <c r="T113" s="488" t="str">
        <f>'Rango en indicadores'!M50</f>
        <v>Menor A:</v>
      </c>
      <c r="U113" s="476">
        <f>'Rango en indicadores'!N50</f>
        <v>70</v>
      </c>
      <c r="V113" s="478" t="s">
        <v>837</v>
      </c>
    </row>
    <row r="114" spans="2:24" ht="89.25">
      <c r="B114" s="473">
        <f>+B113+1</f>
        <v>47</v>
      </c>
      <c r="C114" s="474" t="str">
        <f>'Rango en indicadores'!E51</f>
        <v>Contratos revisados de oficio</v>
      </c>
      <c r="D114" s="475" t="str">
        <f>'Rango en indicadores'!D51</f>
        <v>06-RI-08</v>
      </c>
      <c r="E114" s="497">
        <f>'06 Prev Ctrl Func Públ POA 2020'!AQ18</f>
        <v>800</v>
      </c>
      <c r="F114" s="497">
        <f>+'06 Prev Ctrl Func Públ POA 2020'!AO18</f>
        <v>180</v>
      </c>
      <c r="G114" s="497">
        <f>+'06 Prev Ctrl Func Públ POA 2020'!Q18+'06 Prev Ctrl Func Públ POA 2020'!Y18+'06 Prev Ctrl Func Públ POA 2020'!AG18+'06 Prev Ctrl Func Públ POA 2020'!AO18+'06 Prev Ctrl Func Públ POA 2020'!AP17</f>
        <v>801</v>
      </c>
      <c r="H114" s="497">
        <f>+'06 Prev Ctrl Func Públ POA 2020'!AP18</f>
        <v>194</v>
      </c>
      <c r="I114" s="497">
        <f>+'06 Prev Ctrl Func Públ POA 2020'!R18+'06 Prev Ctrl Func Públ POA 2020'!Z18+'06 Prev Ctrl Func Públ POA 2020'!AH18+'06 Prev Ctrl Func Públ POA 2020'!AP18</f>
        <v>726</v>
      </c>
      <c r="J114" s="497">
        <f>'06 Prev Ctrl Func Públ POA 2020'!AR18</f>
        <v>726</v>
      </c>
      <c r="K114" s="503">
        <f t="shared" si="11"/>
        <v>1.0777777777777777</v>
      </c>
      <c r="L114" s="503">
        <f t="shared" si="12"/>
        <v>0.90636704119850187</v>
      </c>
      <c r="M114" s="503">
        <f>'06 Prev Ctrl Func Públ POA 2020'!AS18</f>
        <v>0.90749999999999997</v>
      </c>
      <c r="N114" s="488" t="str">
        <f>'Rango en indicadores'!G51</f>
        <v>Mayor A:</v>
      </c>
      <c r="O114" s="476">
        <f>'Rango en indicadores'!H51</f>
        <v>90</v>
      </c>
      <c r="P114" s="488" t="str">
        <f>'Rango en indicadores'!I51</f>
        <v>Desde (&gt;=):</v>
      </c>
      <c r="Q114" s="476">
        <f>'Rango en indicadores'!J51</f>
        <v>70</v>
      </c>
      <c r="R114" s="488" t="str">
        <f>'Rango en indicadores'!K51</f>
        <v>Hasta (&lt;=):</v>
      </c>
      <c r="S114" s="476">
        <f>'Rango en indicadores'!L51</f>
        <v>90</v>
      </c>
      <c r="T114" s="488" t="str">
        <f>'Rango en indicadores'!M51</f>
        <v>Menor A:</v>
      </c>
      <c r="U114" s="476">
        <f>'Rango en indicadores'!N51</f>
        <v>70</v>
      </c>
      <c r="V114" s="499" t="s">
        <v>859</v>
      </c>
      <c r="W114" s="498"/>
      <c r="X114" s="498"/>
    </row>
    <row r="115" spans="2:24" ht="15.75">
      <c r="C115" s="622" t="s">
        <v>602</v>
      </c>
      <c r="D115" s="622"/>
      <c r="E115" s="622"/>
      <c r="F115" s="622"/>
      <c r="G115" s="622"/>
      <c r="H115" s="622"/>
      <c r="I115" s="504"/>
      <c r="J115" s="504"/>
      <c r="K115" s="484">
        <f>IFERROR(AVERAGE(K109:K114),0)</f>
        <v>1.2093304843304844</v>
      </c>
      <c r="L115" s="484">
        <f>IFERROR(AVERAGE(L109:L114),0)</f>
        <v>1.0132743377842914</v>
      </c>
      <c r="M115" s="484">
        <f>IFERROR(AVERAGE(M109:M114),0)</f>
        <v>1.0134631642512077</v>
      </c>
      <c r="N115" s="495"/>
      <c r="O115" s="495"/>
      <c r="P115" s="495"/>
      <c r="Q115" s="495"/>
      <c r="R115" s="495"/>
      <c r="S115" s="495"/>
      <c r="T115" s="495"/>
      <c r="U115" s="495"/>
      <c r="V115" s="485"/>
    </row>
    <row r="116" spans="2:24" s="466" customFormat="1">
      <c r="D116" s="467"/>
      <c r="V116" s="468"/>
    </row>
    <row r="117" spans="2:24" s="466" customFormat="1" ht="15.75">
      <c r="C117" s="470" t="s">
        <v>622</v>
      </c>
      <c r="D117" s="492"/>
      <c r="V117" s="468"/>
    </row>
    <row r="118" spans="2:24" ht="30" customHeight="1">
      <c r="C118" s="600" t="s">
        <v>592</v>
      </c>
      <c r="D118" s="599" t="s">
        <v>593</v>
      </c>
      <c r="E118" s="601" t="s">
        <v>594</v>
      </c>
      <c r="F118" s="602"/>
      <c r="G118" s="603"/>
      <c r="H118" s="599" t="s">
        <v>595</v>
      </c>
      <c r="I118" s="611" t="str">
        <f>$I$31</f>
        <v>Ejecución Acumulada Corte
31/12/2020</v>
      </c>
      <c r="J118" s="599" t="s">
        <v>596</v>
      </c>
      <c r="K118" s="599" t="s">
        <v>568</v>
      </c>
      <c r="L118" s="599"/>
      <c r="M118" s="599"/>
      <c r="N118" s="591" t="s">
        <v>666</v>
      </c>
      <c r="O118" s="591"/>
      <c r="P118" s="591"/>
      <c r="Q118" s="591"/>
      <c r="R118" s="591"/>
      <c r="S118" s="591"/>
      <c r="T118" s="591"/>
      <c r="U118" s="591"/>
      <c r="V118" s="618" t="s">
        <v>597</v>
      </c>
    </row>
    <row r="119" spans="2:24" ht="51.75" customHeight="1">
      <c r="C119" s="600"/>
      <c r="D119" s="599"/>
      <c r="E119" s="471" t="s">
        <v>660</v>
      </c>
      <c r="F119" s="471" t="str">
        <f>$C$5</f>
        <v>Cuarto Trimestre</v>
      </c>
      <c r="G119" s="469" t="str">
        <f>$G$31</f>
        <v>Acumulada Corte
31/12/2020</v>
      </c>
      <c r="H119" s="599"/>
      <c r="I119" s="611"/>
      <c r="J119" s="599"/>
      <c r="K119" s="471" t="str">
        <f>+$C$5</f>
        <v>Cuarto Trimestre</v>
      </c>
      <c r="L119" s="469" t="str">
        <f>$L$31</f>
        <v>Acumulado Corte 31/12/2020</v>
      </c>
      <c r="M119" s="471" t="s">
        <v>569</v>
      </c>
      <c r="N119" s="592" t="s">
        <v>754</v>
      </c>
      <c r="O119" s="593"/>
      <c r="P119" s="594" t="s">
        <v>661</v>
      </c>
      <c r="Q119" s="595"/>
      <c r="R119" s="595"/>
      <c r="S119" s="596"/>
      <c r="T119" s="597" t="s">
        <v>755</v>
      </c>
      <c r="U119" s="598"/>
      <c r="V119" s="618"/>
    </row>
    <row r="120" spans="2:24" ht="63.75">
      <c r="B120" s="473">
        <f>+B114+1</f>
        <v>48</v>
      </c>
      <c r="C120" s="474" t="str">
        <f>'Rango en indicadores'!E52</f>
        <v>Citaciones a audiencia emitidas</v>
      </c>
      <c r="D120" s="475" t="str">
        <f>'Rango en indicadores'!D52</f>
        <v>07-RI-01</v>
      </c>
      <c r="E120" s="497">
        <f>'07 Potestad Discip POA 2020'!AQ13</f>
        <v>20</v>
      </c>
      <c r="F120" s="497">
        <f>+'07 Potestad Discip POA 2020'!AO13</f>
        <v>20</v>
      </c>
      <c r="G120" s="497">
        <f>+'07 Potestad Discip POA 2020'!Q13+'07 Potestad Discip POA 2020'!Y13+'07 Potestad Discip POA 2020'!AG13+'07 Potestad Discip POA 2020'!AO13</f>
        <v>20</v>
      </c>
      <c r="H120" s="497">
        <f>+'07 Potestad Discip POA 2020'!AP13</f>
        <v>9</v>
      </c>
      <c r="I120" s="497">
        <f>+'07 Potestad Discip POA 2020'!R13+'07 Potestad Discip POA 2020'!Z13+'07 Potestad Discip POA 2020'!AH13+'07 Potestad Discip POA 2020'!AP13</f>
        <v>13</v>
      </c>
      <c r="J120" s="497">
        <f>'07 Potestad Discip POA 2020'!AR13</f>
        <v>13</v>
      </c>
      <c r="K120" s="505">
        <f>IF(AND(F120&gt;0),H120/F120,"No programado")</f>
        <v>0.45</v>
      </c>
      <c r="L120" s="505">
        <f>IF(AND(G120&gt;0),I120/G120,"No programado")</f>
        <v>0.65</v>
      </c>
      <c r="M120" s="452">
        <f>'07 Potestad Discip POA 2020'!AS13</f>
        <v>0.65</v>
      </c>
      <c r="N120" s="488" t="str">
        <f>'Rango en indicadores'!G52</f>
        <v>Mayor o igual A:</v>
      </c>
      <c r="O120" s="476">
        <f>'Rango en indicadores'!H52</f>
        <v>90</v>
      </c>
      <c r="P120" s="488" t="str">
        <f>'Rango en indicadores'!I52</f>
        <v>Desde (&gt;):</v>
      </c>
      <c r="Q120" s="476">
        <f>'Rango en indicadores'!J52</f>
        <v>69</v>
      </c>
      <c r="R120" s="488" t="str">
        <f>'Rango en indicadores'!K52</f>
        <v>Hasta (&lt;):</v>
      </c>
      <c r="S120" s="476">
        <f>'Rango en indicadores'!L52</f>
        <v>90</v>
      </c>
      <c r="T120" s="488" t="str">
        <f>'Rango en indicadores'!M52</f>
        <v>Menor o Igual A:</v>
      </c>
      <c r="U120" s="476">
        <f>'Rango en indicadores'!N52</f>
        <v>69</v>
      </c>
      <c r="V120" s="499" t="s">
        <v>860</v>
      </c>
    </row>
    <row r="121" spans="2:24" ht="80.25" customHeight="1">
      <c r="B121" s="473">
        <f>+B120+1</f>
        <v>49</v>
      </c>
      <c r="C121" s="474" t="str">
        <f>'Rango en indicadores'!E53</f>
        <v>Número de citaciones a audiencia emitidas que terminan con fallo</v>
      </c>
      <c r="D121" s="475" t="str">
        <f>'Rango en indicadores'!D53</f>
        <v>07-RI-02</v>
      </c>
      <c r="E121" s="497">
        <f>'07 Potestad Discip POA 2020'!AQ14</f>
        <v>10</v>
      </c>
      <c r="F121" s="497">
        <f>+'07 Potestad Discip POA 2020'!AO14</f>
        <v>10</v>
      </c>
      <c r="G121" s="497">
        <f>+'07 Potestad Discip POA 2020'!Q14+'07 Potestad Discip POA 2020'!Y14+'07 Potestad Discip POA 2020'!AG14+'07 Potestad Discip POA 2020'!AO14</f>
        <v>10</v>
      </c>
      <c r="H121" s="497">
        <f>+'07 Potestad Discip POA 2020'!AP14</f>
        <v>4</v>
      </c>
      <c r="I121" s="497">
        <f>+'07 Potestad Discip POA 2020'!R14+'07 Potestad Discip POA 2020'!Z14+'07 Potestad Discip POA 2020'!AH14+'07 Potestad Discip POA 2020'!AP14</f>
        <v>4</v>
      </c>
      <c r="J121" s="497">
        <f>'07 Potestad Discip POA 2020'!AR14</f>
        <v>4</v>
      </c>
      <c r="K121" s="505">
        <f>IF(AND(F121&gt;0),H121/F121,"No programado")</f>
        <v>0.4</v>
      </c>
      <c r="L121" s="505">
        <f t="shared" ref="L121:L123" si="13">IF(AND(G121&gt;0),I121/G121,"No programado")</f>
        <v>0.4</v>
      </c>
      <c r="M121" s="452">
        <f>'07 Potestad Discip POA 2020'!AS14</f>
        <v>0.4</v>
      </c>
      <c r="N121" s="488" t="str">
        <f>'Rango en indicadores'!G53</f>
        <v>Mayor o igual A:</v>
      </c>
      <c r="O121" s="476">
        <f>'Rango en indicadores'!H53</f>
        <v>90</v>
      </c>
      <c r="P121" s="488" t="str">
        <f>'Rango en indicadores'!I53</f>
        <v>Desde (&gt;):</v>
      </c>
      <c r="Q121" s="476">
        <f>'Rango en indicadores'!J53</f>
        <v>69</v>
      </c>
      <c r="R121" s="488" t="str">
        <f>'Rango en indicadores'!K53</f>
        <v>Hasta (&lt;):</v>
      </c>
      <c r="S121" s="476">
        <f>'Rango en indicadores'!L53</f>
        <v>90</v>
      </c>
      <c r="T121" s="488" t="str">
        <f>'Rango en indicadores'!M53</f>
        <v>Menor o Igual A:</v>
      </c>
      <c r="U121" s="476">
        <f>'Rango en indicadores'!N53</f>
        <v>69</v>
      </c>
      <c r="V121" s="499" t="s">
        <v>861</v>
      </c>
    </row>
    <row r="122" spans="2:24" ht="83.25" customHeight="1">
      <c r="B122" s="473">
        <f>+B121+1</f>
        <v>50</v>
      </c>
      <c r="C122" s="474" t="str">
        <f>'Rango en indicadores'!E54</f>
        <v>Fallos proferidos</v>
      </c>
      <c r="D122" s="475" t="str">
        <f>'Rango en indicadores'!D54</f>
        <v>07-RI-03</v>
      </c>
      <c r="E122" s="497">
        <f>'07 Potestad Discip POA 2020'!AQ15</f>
        <v>50</v>
      </c>
      <c r="F122" s="497">
        <f>+'07 Potestad Discip POA 2020'!AO15</f>
        <v>42</v>
      </c>
      <c r="G122" s="497">
        <f>+'07 Potestad Discip POA 2020'!Q15+'07 Potestad Discip POA 2020'!Y15+'07 Potestad Discip POA 2020'!AG15+'07 Potestad Discip POA 2020'!AO15</f>
        <v>50</v>
      </c>
      <c r="H122" s="497">
        <f>+'07 Potestad Discip POA 2020'!AP15</f>
        <v>23</v>
      </c>
      <c r="I122" s="497">
        <f>+'07 Potestad Discip POA 2020'!R15+'07 Potestad Discip POA 2020'!Z15+'07 Potestad Discip POA 2020'!AH15+'07 Potestad Discip POA 2020'!AP15</f>
        <v>55</v>
      </c>
      <c r="J122" s="497">
        <f>'07 Potestad Discip POA 2020'!AR15</f>
        <v>55</v>
      </c>
      <c r="K122" s="452">
        <f>IF(AND(F122&gt;0),H122/F122,"No programado")</f>
        <v>0.54761904761904767</v>
      </c>
      <c r="L122" s="505">
        <f t="shared" si="13"/>
        <v>1.1000000000000001</v>
      </c>
      <c r="M122" s="452">
        <f>'07 Potestad Discip POA 2020'!AS15</f>
        <v>1.1000000000000001</v>
      </c>
      <c r="N122" s="488" t="str">
        <f>'Rango en indicadores'!G54</f>
        <v>Mayor o igual A:</v>
      </c>
      <c r="O122" s="476">
        <f>'Rango en indicadores'!H54</f>
        <v>90</v>
      </c>
      <c r="P122" s="488" t="str">
        <f>'Rango en indicadores'!I54</f>
        <v>Desde (&gt;):</v>
      </c>
      <c r="Q122" s="476">
        <f>'Rango en indicadores'!J54</f>
        <v>69</v>
      </c>
      <c r="R122" s="488" t="str">
        <f>'Rango en indicadores'!K54</f>
        <v>Hasta (&lt;):</v>
      </c>
      <c r="S122" s="476">
        <f>'Rango en indicadores'!L54</f>
        <v>90</v>
      </c>
      <c r="T122" s="488" t="str">
        <f>'Rango en indicadores'!M54</f>
        <v>Menor o Igual A:</v>
      </c>
      <c r="U122" s="476">
        <f>'Rango en indicadores'!N54</f>
        <v>69</v>
      </c>
      <c r="V122" s="478" t="s">
        <v>862</v>
      </c>
      <c r="W122" s="498"/>
      <c r="X122" s="498"/>
    </row>
    <row r="123" spans="2:24" ht="38.25">
      <c r="B123" s="473">
        <f>+B122+1</f>
        <v>51</v>
      </c>
      <c r="C123" s="474" t="str">
        <f>'Rango en indicadores'!E55</f>
        <v>Decisiones de fondo</v>
      </c>
      <c r="D123" s="475" t="str">
        <f>'Rango en indicadores'!D55</f>
        <v>07-RI-04</v>
      </c>
      <c r="E123" s="497">
        <f>'07 Potestad Discip POA 2020'!AQ16</f>
        <v>900</v>
      </c>
      <c r="F123" s="497">
        <f>+'07 Potestad Discip POA 2020'!AO16</f>
        <v>656</v>
      </c>
      <c r="G123" s="497">
        <f>+'07 Potestad Discip POA 2020'!Q16+'07 Potestad Discip POA 2020'!Y16+'07 Potestad Discip POA 2020'!AG16+'07 Potestad Discip POA 2020'!AO16</f>
        <v>900</v>
      </c>
      <c r="H123" s="497">
        <f>+'07 Potestad Discip POA 2020'!AP16</f>
        <v>344</v>
      </c>
      <c r="I123" s="497">
        <f>+'07 Potestad Discip POA 2020'!R16+'07 Potestad Discip POA 2020'!Z16+'07 Potestad Discip POA 2020'!AH16+'07 Potestad Discip POA 2020'!AP16</f>
        <v>902</v>
      </c>
      <c r="J123" s="497">
        <f>'07 Potestad Discip POA 2020'!AR16</f>
        <v>902</v>
      </c>
      <c r="K123" s="452">
        <f>IF(AND(F123&gt;0),H123/F123,"No programado")</f>
        <v>0.52439024390243905</v>
      </c>
      <c r="L123" s="505">
        <f t="shared" si="13"/>
        <v>1.0022222222222221</v>
      </c>
      <c r="M123" s="452">
        <f>'07 Potestad Discip POA 2020'!AS16</f>
        <v>1.0022222222222221</v>
      </c>
      <c r="N123" s="488" t="str">
        <f>'Rango en indicadores'!G55</f>
        <v>Mayor o igual A:</v>
      </c>
      <c r="O123" s="476">
        <f>'Rango en indicadores'!H55</f>
        <v>90</v>
      </c>
      <c r="P123" s="488" t="str">
        <f>'Rango en indicadores'!I55</f>
        <v>Desde (&gt;):</v>
      </c>
      <c r="Q123" s="476">
        <f>'Rango en indicadores'!J55</f>
        <v>69</v>
      </c>
      <c r="R123" s="488" t="str">
        <f>'Rango en indicadores'!K55</f>
        <v>Hasta (&lt;):</v>
      </c>
      <c r="S123" s="476">
        <f>'Rango en indicadores'!L55</f>
        <v>90</v>
      </c>
      <c r="T123" s="488" t="str">
        <f>'Rango en indicadores'!M55</f>
        <v>Menor o Igual A:</v>
      </c>
      <c r="U123" s="476">
        <f>'Rango en indicadores'!N55</f>
        <v>69</v>
      </c>
      <c r="V123" s="478" t="s">
        <v>837</v>
      </c>
      <c r="W123" s="498"/>
      <c r="X123" s="498"/>
    </row>
    <row r="124" spans="2:24" ht="15.75">
      <c r="C124" s="612" t="s">
        <v>602</v>
      </c>
      <c r="D124" s="613"/>
      <c r="E124" s="613"/>
      <c r="F124" s="613"/>
      <c r="G124" s="613"/>
      <c r="H124" s="613"/>
      <c r="I124" s="613"/>
      <c r="J124" s="614"/>
      <c r="K124" s="484">
        <f>IFERROR(AVERAGE(K120:K123),0)</f>
        <v>0.4805023228803717</v>
      </c>
      <c r="L124" s="484">
        <f>IFERROR(AVERAGE(L120:L123),0)</f>
        <v>0.78805555555555562</v>
      </c>
      <c r="M124" s="484">
        <f>IFERROR(AVERAGE(M120:M123),0)</f>
        <v>0.78805555555555562</v>
      </c>
      <c r="N124" s="483"/>
      <c r="O124" s="483"/>
      <c r="P124" s="483"/>
      <c r="Q124" s="483"/>
      <c r="R124" s="483"/>
      <c r="S124" s="483"/>
      <c r="T124" s="483"/>
      <c r="U124" s="483"/>
      <c r="V124" s="478"/>
    </row>
    <row r="125" spans="2:24" s="466" customFormat="1">
      <c r="D125" s="467"/>
      <c r="V125" s="506"/>
    </row>
    <row r="126" spans="2:24" s="466" customFormat="1" ht="15.75">
      <c r="C126" s="470" t="s">
        <v>627</v>
      </c>
      <c r="D126" s="492"/>
      <c r="V126" s="506"/>
    </row>
    <row r="127" spans="2:24" ht="33" customHeight="1">
      <c r="C127" s="600" t="s">
        <v>592</v>
      </c>
      <c r="D127" s="599" t="s">
        <v>593</v>
      </c>
      <c r="E127" s="601" t="s">
        <v>594</v>
      </c>
      <c r="F127" s="602"/>
      <c r="G127" s="603"/>
      <c r="H127" s="599" t="s">
        <v>595</v>
      </c>
      <c r="I127" s="611" t="str">
        <f>$I$31</f>
        <v>Ejecución Acumulada Corte
31/12/2020</v>
      </c>
      <c r="J127" s="599" t="s">
        <v>596</v>
      </c>
      <c r="K127" s="599" t="s">
        <v>568</v>
      </c>
      <c r="L127" s="599"/>
      <c r="M127" s="599"/>
      <c r="N127" s="591" t="s">
        <v>666</v>
      </c>
      <c r="O127" s="591"/>
      <c r="P127" s="591"/>
      <c r="Q127" s="591"/>
      <c r="R127" s="591"/>
      <c r="S127" s="591"/>
      <c r="T127" s="591"/>
      <c r="U127" s="591"/>
      <c r="V127" s="618" t="s">
        <v>597</v>
      </c>
    </row>
    <row r="128" spans="2:24" ht="56.25" customHeight="1">
      <c r="C128" s="600"/>
      <c r="D128" s="599"/>
      <c r="E128" s="471" t="s">
        <v>660</v>
      </c>
      <c r="F128" s="471" t="str">
        <f>$C$5</f>
        <v>Cuarto Trimestre</v>
      </c>
      <c r="G128" s="469" t="str">
        <f>$G$31</f>
        <v>Acumulada Corte
31/12/2020</v>
      </c>
      <c r="H128" s="599"/>
      <c r="I128" s="611"/>
      <c r="J128" s="599"/>
      <c r="K128" s="471" t="str">
        <f>+$C$5</f>
        <v>Cuarto Trimestre</v>
      </c>
      <c r="L128" s="469" t="str">
        <f>$L$31</f>
        <v>Acumulado Corte 31/12/2020</v>
      </c>
      <c r="M128" s="471" t="s">
        <v>569</v>
      </c>
      <c r="N128" s="592" t="s">
        <v>754</v>
      </c>
      <c r="O128" s="593"/>
      <c r="P128" s="594" t="s">
        <v>661</v>
      </c>
      <c r="Q128" s="595"/>
      <c r="R128" s="595"/>
      <c r="S128" s="596"/>
      <c r="T128" s="597" t="s">
        <v>755</v>
      </c>
      <c r="U128" s="598"/>
      <c r="V128" s="618"/>
    </row>
    <row r="129" spans="2:24" ht="48" customHeight="1">
      <c r="B129" s="473">
        <f>+B123+1</f>
        <v>52</v>
      </c>
      <c r="C129" s="474" t="str">
        <f>'Rango en indicadores'!E56</f>
        <v>Porcentaje de novedades y situaciones administrativas gestionadas</v>
      </c>
      <c r="D129" s="475" t="str">
        <f>'Rango en indicadores'!D56</f>
        <v>08-RI-03</v>
      </c>
      <c r="E129" s="490">
        <f>'08 Gestión Talento Hum POA 2020'!AQ13</f>
        <v>1</v>
      </c>
      <c r="F129" s="490">
        <f>+'08 Gestión Talento Hum POA 2020'!AO13</f>
        <v>1</v>
      </c>
      <c r="G129" s="481">
        <f>ROUNDDOWN(AVERAGE('08 Gestión Talento Hum POA 2020'!Q13,'08 Gestión Talento Hum POA 2020'!Y13,'08 Gestión Talento Hum POA 2020'!AG13,'08 Gestión Talento Hum POA 2020'!AO13),3)</f>
        <v>1</v>
      </c>
      <c r="H129" s="490">
        <f>+'08 Gestión Talento Hum POA 2020'!AP13</f>
        <v>1</v>
      </c>
      <c r="I129" s="481">
        <f>ROUNDDOWN(AVERAGE('08 Gestión Talento Hum POA 2020'!R13,'08 Gestión Talento Hum POA 2020'!Z13,'08 Gestión Talento Hum POA 2020'!AH13,'08 Gestión Talento Hum POA 2020'!AP13),3)</f>
        <v>1</v>
      </c>
      <c r="J129" s="490">
        <f>'08 Gestión Talento Hum POA 2020'!AR13</f>
        <v>1</v>
      </c>
      <c r="K129" s="452">
        <f t="shared" ref="K129:K141" si="14">IF(AND(F129&gt;0),H129/F129,"No programado")</f>
        <v>1</v>
      </c>
      <c r="L129" s="452">
        <f>IF(AND(G129&gt;0),I129/G129,"No programado")</f>
        <v>1</v>
      </c>
      <c r="M129" s="452">
        <f>'08 Gestión Talento Hum POA 2020'!AS13</f>
        <v>1</v>
      </c>
      <c r="N129" s="488" t="str">
        <f>'Rango en indicadores'!G56</f>
        <v>Mayor o igual A:</v>
      </c>
      <c r="O129" s="476">
        <f>'Rango en indicadores'!H56</f>
        <v>90</v>
      </c>
      <c r="P129" s="488" t="str">
        <f>'Rango en indicadores'!I56</f>
        <v>Desde (&gt;):</v>
      </c>
      <c r="Q129" s="476">
        <f>'Rango en indicadores'!J56</f>
        <v>70</v>
      </c>
      <c r="R129" s="488" t="str">
        <f>'Rango en indicadores'!K56</f>
        <v>Hasta (&lt;):</v>
      </c>
      <c r="S129" s="476">
        <f>'Rango en indicadores'!L56</f>
        <v>90</v>
      </c>
      <c r="T129" s="488" t="str">
        <f>'Rango en indicadores'!M56</f>
        <v>Menor o Igual A:</v>
      </c>
      <c r="U129" s="476">
        <f>'Rango en indicadores'!N56</f>
        <v>70</v>
      </c>
      <c r="V129" s="478" t="s">
        <v>837</v>
      </c>
    </row>
    <row r="130" spans="2:24" ht="45.75" customHeight="1">
      <c r="B130" s="473">
        <f t="shared" ref="B130:B141" si="15">+B129+1</f>
        <v>53</v>
      </c>
      <c r="C130" s="474" t="str">
        <f>'Rango en indicadores'!E57</f>
        <v xml:space="preserve">Porcentaje de incapacidades susceptibles de cobro gestionadas  </v>
      </c>
      <c r="D130" s="475" t="str">
        <f>'Rango en indicadores'!D57</f>
        <v>08-RI-05</v>
      </c>
      <c r="E130" s="490">
        <f>'08 Gestión Talento Hum POA 2020'!AQ14</f>
        <v>0.9</v>
      </c>
      <c r="F130" s="490">
        <f>+'08 Gestión Talento Hum POA 2020'!AO14</f>
        <v>0.9</v>
      </c>
      <c r="G130" s="481">
        <f>ROUNDDOWN(AVERAGE('08 Gestión Talento Hum POA 2020'!Q14,'08 Gestión Talento Hum POA 2020'!Y14,'08 Gestión Talento Hum POA 2020'!AG14,'08 Gestión Talento Hum POA 2020'!AO14),3)</f>
        <v>0.9</v>
      </c>
      <c r="H130" s="490">
        <f>+'08 Gestión Talento Hum POA 2020'!AP14</f>
        <v>0.95799999999999996</v>
      </c>
      <c r="I130" s="481">
        <f>J130</f>
        <v>0.90400000000000003</v>
      </c>
      <c r="J130" s="490">
        <f>'08 Gestión Talento Hum POA 2020'!AR14</f>
        <v>0.90400000000000003</v>
      </c>
      <c r="K130" s="477">
        <f t="shared" si="14"/>
        <v>1.0644444444444443</v>
      </c>
      <c r="L130" s="452">
        <f>+M130</f>
        <v>1.0044444444444445</v>
      </c>
      <c r="M130" s="452">
        <f>'08 Gestión Talento Hum POA 2020'!AS14</f>
        <v>1.0044444444444445</v>
      </c>
      <c r="N130" s="488" t="str">
        <f>'Rango en indicadores'!G57</f>
        <v>Mayor A:</v>
      </c>
      <c r="O130" s="476">
        <f>'Rango en indicadores'!H57</f>
        <v>90</v>
      </c>
      <c r="P130" s="488" t="str">
        <f>'Rango en indicadores'!I57</f>
        <v>Desde (&gt;=):</v>
      </c>
      <c r="Q130" s="476">
        <f>'Rango en indicadores'!J57</f>
        <v>80</v>
      </c>
      <c r="R130" s="488" t="str">
        <f>'Rango en indicadores'!K57</f>
        <v>Hasta (&lt;=):</v>
      </c>
      <c r="S130" s="476">
        <f>'Rango en indicadores'!L57</f>
        <v>90</v>
      </c>
      <c r="T130" s="488" t="str">
        <f>'Rango en indicadores'!M57</f>
        <v>Menor A:</v>
      </c>
      <c r="U130" s="476">
        <f>'Rango en indicadores'!N57</f>
        <v>80</v>
      </c>
      <c r="V130" s="478" t="s">
        <v>837</v>
      </c>
      <c r="W130" s="507"/>
      <c r="X130" s="507"/>
    </row>
    <row r="131" spans="2:24" ht="38.25">
      <c r="B131" s="473">
        <f t="shared" si="15"/>
        <v>54</v>
      </c>
      <c r="C131" s="474" t="str">
        <f>'Rango en indicadores'!E58</f>
        <v xml:space="preserve">Documentos de las historias laborales actualizados
</v>
      </c>
      <c r="D131" s="475" t="str">
        <f>'Rango en indicadores'!D58</f>
        <v>08-RI-06</v>
      </c>
      <c r="E131" s="508">
        <f>'08 Gestión Talento Hum POA 2020'!AQ15</f>
        <v>0.82166666666666666</v>
      </c>
      <c r="F131" s="490">
        <f>+'08 Gestión Talento Hum POA 2020'!AO15</f>
        <v>0.69999999999999984</v>
      </c>
      <c r="G131" s="481">
        <f>ROUNDDOWN(AVERAGE('08 Gestión Talento Hum POA 2020'!Q15,'08 Gestión Talento Hum POA 2020'!Y15,'08 Gestión Talento Hum POA 2020'!AG15,'08 Gestión Talento Hum POA 2020'!AO15),3)</f>
        <v>0.82099999999999995</v>
      </c>
      <c r="H131" s="490">
        <f>+'08 Gestión Talento Hum POA 2020'!AP15</f>
        <v>0.72</v>
      </c>
      <c r="I131" s="481">
        <f>ROUNDDOWN(AVERAGE('08 Gestión Talento Hum POA 2020'!R15,'08 Gestión Talento Hum POA 2020'!Z15,'08 Gestión Talento Hum POA 2020'!AH15,'08 Gestión Talento Hum POA 2020'!AP15),3)</f>
        <v>0.76400000000000001</v>
      </c>
      <c r="J131" s="490">
        <f>'08 Gestión Talento Hum POA 2020'!AR15</f>
        <v>0.76400000000000001</v>
      </c>
      <c r="K131" s="452">
        <f t="shared" si="14"/>
        <v>1.0285714285714287</v>
      </c>
      <c r="L131" s="452">
        <f>+M131</f>
        <v>0.92981744421906698</v>
      </c>
      <c r="M131" s="452">
        <f>'08 Gestión Talento Hum POA 2020'!AS15</f>
        <v>0.92981744421906698</v>
      </c>
      <c r="N131" s="488" t="str">
        <f>'Rango en indicadores'!G58</f>
        <v>Mayor o igual A:</v>
      </c>
      <c r="O131" s="476">
        <f>'Rango en indicadores'!H58</f>
        <v>90</v>
      </c>
      <c r="P131" s="488" t="str">
        <f>'Rango en indicadores'!I58</f>
        <v>Desde (&gt;):</v>
      </c>
      <c r="Q131" s="476">
        <f>'Rango en indicadores'!J58</f>
        <v>80</v>
      </c>
      <c r="R131" s="488" t="str">
        <f>'Rango en indicadores'!K58</f>
        <v>Hasta (&lt;):</v>
      </c>
      <c r="S131" s="476">
        <f>'Rango en indicadores'!L58</f>
        <v>90</v>
      </c>
      <c r="T131" s="488" t="str">
        <f>'Rango en indicadores'!M58</f>
        <v>Menor o Igual A:</v>
      </c>
      <c r="U131" s="476">
        <f>'Rango en indicadores'!N58</f>
        <v>80</v>
      </c>
      <c r="V131" s="499" t="s">
        <v>863</v>
      </c>
      <c r="W131" s="509"/>
      <c r="X131" s="510"/>
    </row>
    <row r="132" spans="2:24" ht="38.25">
      <c r="B132" s="473">
        <f t="shared" si="15"/>
        <v>55</v>
      </c>
      <c r="C132" s="474" t="str">
        <f>'Rango en indicadores'!E59</f>
        <v>Historias laborales en préstamo con documentos actualizados</v>
      </c>
      <c r="D132" s="475" t="str">
        <f>'Rango en indicadores'!D59</f>
        <v>08-RI-07</v>
      </c>
      <c r="E132" s="490">
        <f>'08 Gestión Talento Hum POA 2020'!AQ16</f>
        <v>1</v>
      </c>
      <c r="F132" s="490">
        <f>+'08 Gestión Talento Hum POA 2020'!AO16</f>
        <v>1</v>
      </c>
      <c r="G132" s="481">
        <f>ROUNDDOWN(AVERAGE('08 Gestión Talento Hum POA 2020'!Q16,'08 Gestión Talento Hum POA 2020'!Y16,'08 Gestión Talento Hum POA 2020'!AG16,'08 Gestión Talento Hum POA 2020'!AO16),3)</f>
        <v>1</v>
      </c>
      <c r="H132" s="490">
        <f>+'08 Gestión Talento Hum POA 2020'!AP16</f>
        <v>1</v>
      </c>
      <c r="I132" s="481">
        <f>ROUNDDOWN(AVERAGE('08 Gestión Talento Hum POA 2020'!R16,'08 Gestión Talento Hum POA 2020'!Z16,'08 Gestión Talento Hum POA 2020'!AH16,'08 Gestión Talento Hum POA 2020'!AP16),3)</f>
        <v>1</v>
      </c>
      <c r="J132" s="490">
        <f>'08 Gestión Talento Hum POA 2020'!AR16</f>
        <v>1</v>
      </c>
      <c r="K132" s="452">
        <f t="shared" si="14"/>
        <v>1</v>
      </c>
      <c r="L132" s="452">
        <f t="shared" ref="L132:L141" si="16">IF(AND(G132&gt;0),I132/G132,"No programado")</f>
        <v>1</v>
      </c>
      <c r="M132" s="452">
        <f>'08 Gestión Talento Hum POA 2020'!AS16</f>
        <v>1</v>
      </c>
      <c r="N132" s="488" t="str">
        <f>'Rango en indicadores'!G59</f>
        <v>Mayor o igual A:</v>
      </c>
      <c r="O132" s="476">
        <f>'Rango en indicadores'!H59</f>
        <v>90</v>
      </c>
      <c r="P132" s="488" t="str">
        <f>'Rango en indicadores'!I59</f>
        <v>Desde (&gt;):</v>
      </c>
      <c r="Q132" s="476">
        <f>'Rango en indicadores'!J59</f>
        <v>80</v>
      </c>
      <c r="R132" s="488" t="str">
        <f>'Rango en indicadores'!K59</f>
        <v>Hasta (&lt;):</v>
      </c>
      <c r="S132" s="476">
        <f>'Rango en indicadores'!L59</f>
        <v>90</v>
      </c>
      <c r="T132" s="488" t="str">
        <f>'Rango en indicadores'!M59</f>
        <v>Menor o Igual A:</v>
      </c>
      <c r="U132" s="476">
        <f>'Rango en indicadores'!N59</f>
        <v>80</v>
      </c>
      <c r="V132" s="478" t="s">
        <v>837</v>
      </c>
    </row>
    <row r="133" spans="2:24" ht="51">
      <c r="B133" s="473">
        <f t="shared" si="15"/>
        <v>56</v>
      </c>
      <c r="C133" s="474" t="str">
        <f>'Rango en indicadores'!E60</f>
        <v xml:space="preserve">Solicitudes de certificaciones laborales y de bono pensional gestionadas
</v>
      </c>
      <c r="D133" s="475" t="str">
        <f>'Rango en indicadores'!D60</f>
        <v>08-RI-08</v>
      </c>
      <c r="E133" s="490">
        <f>'08 Gestión Talento Hum POA 2020'!AQ17</f>
        <v>0.84999999999999987</v>
      </c>
      <c r="F133" s="490">
        <f>+'08 Gestión Talento Hum POA 2020'!AO17</f>
        <v>0.69999999999999984</v>
      </c>
      <c r="G133" s="481">
        <f>ROUNDDOWN(AVERAGE('08 Gestión Talento Hum POA 2020'!Q17,'08 Gestión Talento Hum POA 2020'!Y17,'08 Gestión Talento Hum POA 2020'!AG17,'08 Gestión Talento Hum POA 2020'!AO17),3)</f>
        <v>0.85</v>
      </c>
      <c r="H133" s="490">
        <f>+'08 Gestión Talento Hum POA 2020'!AP17</f>
        <v>0.98299999999999998</v>
      </c>
      <c r="I133" s="481">
        <f>ROUNDDOWN(AVERAGE('08 Gestión Talento Hum POA 2020'!R17,'08 Gestión Talento Hum POA 2020'!Z17,'08 Gestión Talento Hum POA 2020'!AH17,'08 Gestión Talento Hum POA 2020'!AP17),3)</f>
        <v>0.93500000000000005</v>
      </c>
      <c r="J133" s="490">
        <f>'08 Gestión Talento Hum POA 2020'!AR17</f>
        <v>0.93500000000000005</v>
      </c>
      <c r="K133" s="452">
        <f t="shared" si="14"/>
        <v>1.4042857142857146</v>
      </c>
      <c r="L133" s="452">
        <f t="shared" si="16"/>
        <v>1.1000000000000001</v>
      </c>
      <c r="M133" s="452">
        <f>'08 Gestión Talento Hum POA 2020'!AS17</f>
        <v>1.1000000000000003</v>
      </c>
      <c r="N133" s="488" t="str">
        <f>'Rango en indicadores'!G60</f>
        <v>Mayor o igual A:</v>
      </c>
      <c r="O133" s="476">
        <f>'Rango en indicadores'!H60</f>
        <v>90</v>
      </c>
      <c r="P133" s="488" t="str">
        <f>'Rango en indicadores'!I60</f>
        <v>Desde (&gt;):</v>
      </c>
      <c r="Q133" s="476">
        <f>'Rango en indicadores'!J60</f>
        <v>80</v>
      </c>
      <c r="R133" s="488" t="str">
        <f>'Rango en indicadores'!K60</f>
        <v>Hasta (&lt;):</v>
      </c>
      <c r="S133" s="476">
        <f>'Rango en indicadores'!L60</f>
        <v>90</v>
      </c>
      <c r="T133" s="488" t="str">
        <f>'Rango en indicadores'!M60</f>
        <v>Menor o Igual A:</v>
      </c>
      <c r="U133" s="476">
        <f>'Rango en indicadores'!N60</f>
        <v>80</v>
      </c>
      <c r="V133" s="478" t="s">
        <v>864</v>
      </c>
      <c r="W133" s="510"/>
      <c r="X133" s="507"/>
    </row>
    <row r="134" spans="2:24" ht="51">
      <c r="B134" s="473">
        <f t="shared" si="15"/>
        <v>57</v>
      </c>
      <c r="C134" s="474" t="str">
        <f>'Rango en indicadores'!E61</f>
        <v xml:space="preserve">Oportunidad en trámite de certificaciones
</v>
      </c>
      <c r="D134" s="475" t="str">
        <f>'Rango en indicadores'!D61</f>
        <v>08-RI-09</v>
      </c>
      <c r="E134" s="490">
        <f>'08 Gestión Talento Hum POA 2020'!AQ18</f>
        <v>0.77500000000000013</v>
      </c>
      <c r="F134" s="490">
        <f>+'08 Gestión Talento Hum POA 2020'!AO18</f>
        <v>0.80000000000000016</v>
      </c>
      <c r="G134" s="481">
        <f>ROUNDDOWN(AVERAGE('08 Gestión Talento Hum POA 2020'!Q18,'08 Gestión Talento Hum POA 2020'!Y18,'08 Gestión Talento Hum POA 2020'!AG18,'08 Gestión Talento Hum POA 2020'!AO18),3)</f>
        <v>0.77500000000000002</v>
      </c>
      <c r="H134" s="490">
        <f>+'08 Gestión Talento Hum POA 2020'!AP18</f>
        <v>0.97799999999999998</v>
      </c>
      <c r="I134" s="481">
        <f>ROUNDDOWN(AVERAGE('08 Gestión Talento Hum POA 2020'!R18,'08 Gestión Talento Hum POA 2020'!Z18,'08 Gestión Talento Hum POA 2020'!AH18,'08 Gestión Talento Hum POA 2020'!AP18),3)</f>
        <v>0.91600000000000004</v>
      </c>
      <c r="J134" s="490">
        <f>'08 Gestión Talento Hum POA 2020'!AR18</f>
        <v>0.91600000000000004</v>
      </c>
      <c r="K134" s="452">
        <f t="shared" si="14"/>
        <v>1.2224999999999997</v>
      </c>
      <c r="L134" s="452">
        <f t="shared" si="16"/>
        <v>1.1819354838709677</v>
      </c>
      <c r="M134" s="452">
        <f>'08 Gestión Talento Hum POA 2020'!AS18</f>
        <v>1.1819354838709677</v>
      </c>
      <c r="N134" s="488" t="str">
        <f>'Rango en indicadores'!G61</f>
        <v>Mayor o igual A:</v>
      </c>
      <c r="O134" s="476">
        <f>'Rango en indicadores'!H61</f>
        <v>100</v>
      </c>
      <c r="P134" s="488" t="str">
        <f>'Rango en indicadores'!I61</f>
        <v>Desde (&gt;):</v>
      </c>
      <c r="Q134" s="476">
        <f>'Rango en indicadores'!J61</f>
        <v>97</v>
      </c>
      <c r="R134" s="488" t="str">
        <f>'Rango en indicadores'!K61</f>
        <v>Hasta (&lt;):</v>
      </c>
      <c r="S134" s="476">
        <f>'Rango en indicadores'!L61</f>
        <v>100</v>
      </c>
      <c r="T134" s="488" t="str">
        <f>'Rango en indicadores'!M61</f>
        <v>Menor o Igual A:</v>
      </c>
      <c r="U134" s="476">
        <f>'Rango en indicadores'!N61</f>
        <v>97</v>
      </c>
      <c r="V134" s="478" t="s">
        <v>865</v>
      </c>
      <c r="W134" s="510"/>
      <c r="X134" s="510"/>
    </row>
    <row r="135" spans="2:24" ht="38.25">
      <c r="B135" s="473">
        <f t="shared" si="15"/>
        <v>58</v>
      </c>
      <c r="C135" s="474" t="str">
        <f>'Rango en indicadores'!E62</f>
        <v>Plan Institucional de Capacitación formulado y ejecutado</v>
      </c>
      <c r="D135" s="475" t="str">
        <f>'Rango en indicadores'!D62</f>
        <v>08-RI-10</v>
      </c>
      <c r="E135" s="490">
        <f>'08 Gestión Talento Hum POA 2020'!AQ19</f>
        <v>1</v>
      </c>
      <c r="F135" s="490">
        <f>+'08 Gestión Talento Hum POA 2020'!AO19</f>
        <v>0.30000000000000004</v>
      </c>
      <c r="G135" s="490">
        <f>+'08 Gestión Talento Hum POA 2020'!Q19+'08 Gestión Talento Hum POA 2020'!Y19+'08 Gestión Talento Hum POA 2020'!AG19+'08 Gestión Talento Hum POA 2020'!AO19</f>
        <v>1</v>
      </c>
      <c r="H135" s="490">
        <f>+'08 Gestión Talento Hum POA 2020'!AP19</f>
        <v>0.22999999999999998</v>
      </c>
      <c r="I135" s="490">
        <f>+'08 Gestión Talento Hum POA 2020'!R19+'08 Gestión Talento Hum POA 2020'!Z19+'08 Gestión Talento Hum POA 2020'!AH19+'08 Gestión Talento Hum POA 2020'!AP19</f>
        <v>1</v>
      </c>
      <c r="J135" s="490">
        <f>'08 Gestión Talento Hum POA 2020'!AR19</f>
        <v>1</v>
      </c>
      <c r="K135" s="452">
        <f t="shared" si="14"/>
        <v>0.7666666666666665</v>
      </c>
      <c r="L135" s="452">
        <f t="shared" si="16"/>
        <v>1</v>
      </c>
      <c r="M135" s="452">
        <f>'08 Gestión Talento Hum POA 2020'!AS19</f>
        <v>1</v>
      </c>
      <c r="N135" s="488" t="str">
        <f>'Rango en indicadores'!G62</f>
        <v>Mayor o igual A:</v>
      </c>
      <c r="O135" s="476">
        <f>'Rango en indicadores'!H62</f>
        <v>90</v>
      </c>
      <c r="P135" s="488" t="str">
        <f>'Rango en indicadores'!I62</f>
        <v>Desde (&gt;):</v>
      </c>
      <c r="Q135" s="476">
        <f>'Rango en indicadores'!J62</f>
        <v>69</v>
      </c>
      <c r="R135" s="488" t="str">
        <f>'Rango en indicadores'!K62</f>
        <v>Hasta (&lt;):</v>
      </c>
      <c r="S135" s="476">
        <f>'Rango en indicadores'!L62</f>
        <v>90</v>
      </c>
      <c r="T135" s="488" t="str">
        <f>'Rango en indicadores'!M62</f>
        <v>Menor o Igual A:</v>
      </c>
      <c r="U135" s="476">
        <f>'Rango en indicadores'!N62</f>
        <v>69</v>
      </c>
      <c r="V135" s="478" t="s">
        <v>837</v>
      </c>
      <c r="W135" s="510"/>
      <c r="X135" s="510"/>
    </row>
    <row r="136" spans="2:24" ht="38.25">
      <c r="B136" s="473">
        <f t="shared" si="15"/>
        <v>59</v>
      </c>
      <c r="C136" s="474" t="str">
        <f>'Rango en indicadores'!E63</f>
        <v>Plan Institucional de Bienestar formulado y ejecutado</v>
      </c>
      <c r="D136" s="475" t="str">
        <f>'Rango en indicadores'!D63</f>
        <v>08-RI-11</v>
      </c>
      <c r="E136" s="490">
        <f>'08 Gestión Talento Hum POA 2020'!AQ20</f>
        <v>1</v>
      </c>
      <c r="F136" s="490">
        <f>+'08 Gestión Talento Hum POA 2020'!AO20</f>
        <v>0.32999999999999996</v>
      </c>
      <c r="G136" s="490">
        <f>+'08 Gestión Talento Hum POA 2020'!Q20+'08 Gestión Talento Hum POA 2020'!Y20+'08 Gestión Talento Hum POA 2020'!AG20+'08 Gestión Talento Hum POA 2020'!AO20</f>
        <v>1</v>
      </c>
      <c r="H136" s="490">
        <f>+'08 Gestión Talento Hum POA 2020'!AP20</f>
        <v>0.27</v>
      </c>
      <c r="I136" s="490">
        <f>+'08 Gestión Talento Hum POA 2020'!R20+'08 Gestión Talento Hum POA 2020'!Z20+'08 Gestión Talento Hum POA 2020'!AH20+'08 Gestión Talento Hum POA 2020'!AP20</f>
        <v>1</v>
      </c>
      <c r="J136" s="490">
        <f>'08 Gestión Talento Hum POA 2020'!AR20</f>
        <v>1</v>
      </c>
      <c r="K136" s="452">
        <f t="shared" si="14"/>
        <v>0.81818181818181834</v>
      </c>
      <c r="L136" s="452">
        <f t="shared" si="16"/>
        <v>1</v>
      </c>
      <c r="M136" s="452">
        <f>'08 Gestión Talento Hum POA 2020'!AS20</f>
        <v>1</v>
      </c>
      <c r="N136" s="488" t="str">
        <f>'Rango en indicadores'!G63</f>
        <v>Mayor o igual A:</v>
      </c>
      <c r="O136" s="476">
        <f>'Rango en indicadores'!H63</f>
        <v>90</v>
      </c>
      <c r="P136" s="488" t="str">
        <f>'Rango en indicadores'!I63</f>
        <v>Desde (&gt;):</v>
      </c>
      <c r="Q136" s="476">
        <f>'Rango en indicadores'!J63</f>
        <v>69</v>
      </c>
      <c r="R136" s="488" t="str">
        <f>'Rango en indicadores'!K63</f>
        <v>Hasta (&lt;):</v>
      </c>
      <c r="S136" s="476">
        <f>'Rango en indicadores'!L63</f>
        <v>90</v>
      </c>
      <c r="T136" s="488" t="str">
        <f>'Rango en indicadores'!M63</f>
        <v>Menor o Igual A:</v>
      </c>
      <c r="U136" s="476">
        <f>'Rango en indicadores'!N63</f>
        <v>69</v>
      </c>
      <c r="V136" s="478" t="s">
        <v>837</v>
      </c>
      <c r="W136" s="510"/>
      <c r="X136" s="510"/>
    </row>
    <row r="137" spans="2:24" ht="38.25">
      <c r="B137" s="473">
        <f t="shared" si="15"/>
        <v>60</v>
      </c>
      <c r="C137" s="474" t="str">
        <f>'Rango en indicadores'!E64</f>
        <v>Plan Institucional de Incentivos formulado y ejecutado</v>
      </c>
      <c r="D137" s="475" t="str">
        <f>'Rango en indicadores'!D64</f>
        <v>08-RI-12</v>
      </c>
      <c r="E137" s="490">
        <f>'08 Gestión Talento Hum POA 2020'!AQ21</f>
        <v>1</v>
      </c>
      <c r="F137" s="490">
        <f>+'08 Gestión Talento Hum POA 2020'!AO21</f>
        <v>0.36</v>
      </c>
      <c r="G137" s="490">
        <f>+'08 Gestión Talento Hum POA 2020'!Q21+'08 Gestión Talento Hum POA 2020'!Y21+'08 Gestión Talento Hum POA 2020'!AG21+'08 Gestión Talento Hum POA 2020'!AO21</f>
        <v>1</v>
      </c>
      <c r="H137" s="490">
        <f>+'08 Gestión Talento Hum POA 2020'!AP21</f>
        <v>0.3</v>
      </c>
      <c r="I137" s="490">
        <f>+'08 Gestión Talento Hum POA 2020'!R21+'08 Gestión Talento Hum POA 2020'!Z21+'08 Gestión Talento Hum POA 2020'!AH21+'08 Gestión Talento Hum POA 2020'!AP21</f>
        <v>1</v>
      </c>
      <c r="J137" s="490">
        <f>'08 Gestión Talento Hum POA 2020'!AR21</f>
        <v>1</v>
      </c>
      <c r="K137" s="452">
        <f t="shared" si="14"/>
        <v>0.83333333333333337</v>
      </c>
      <c r="L137" s="452">
        <f t="shared" si="16"/>
        <v>1</v>
      </c>
      <c r="M137" s="452">
        <f>'08 Gestión Talento Hum POA 2020'!AS21</f>
        <v>1</v>
      </c>
      <c r="N137" s="488" t="str">
        <f>'Rango en indicadores'!G64</f>
        <v>Mayor o igual A:</v>
      </c>
      <c r="O137" s="476">
        <f>'Rango en indicadores'!H64</f>
        <v>90</v>
      </c>
      <c r="P137" s="488" t="str">
        <f>'Rango en indicadores'!I64</f>
        <v>Desde (&gt;):</v>
      </c>
      <c r="Q137" s="476">
        <f>'Rango en indicadores'!J64</f>
        <v>69</v>
      </c>
      <c r="R137" s="488" t="str">
        <f>'Rango en indicadores'!K64</f>
        <v>Hasta (&lt;):</v>
      </c>
      <c r="S137" s="476">
        <f>'Rango en indicadores'!L64</f>
        <v>90</v>
      </c>
      <c r="T137" s="488" t="str">
        <f>'Rango en indicadores'!M64</f>
        <v>Menor o Igual A:</v>
      </c>
      <c r="U137" s="476">
        <f>'Rango en indicadores'!N64</f>
        <v>69</v>
      </c>
      <c r="V137" s="478" t="s">
        <v>837</v>
      </c>
      <c r="W137" s="510"/>
      <c r="X137" s="510"/>
    </row>
    <row r="138" spans="2:24" ht="38.25">
      <c r="B138" s="473">
        <f t="shared" si="15"/>
        <v>61</v>
      </c>
      <c r="C138" s="474" t="str">
        <f>'Rango en indicadores'!E65</f>
        <v>Plan Anual de Trabajo del Sistema de Gestión de Seguridad y Salud en el Trabajo SG-SST formulado y ejecutado</v>
      </c>
      <c r="D138" s="475" t="str">
        <f>'Rango en indicadores'!D65</f>
        <v>08-RI-13</v>
      </c>
      <c r="E138" s="490">
        <f>'08 Gestión Talento Hum POA 2020'!AQ22</f>
        <v>1</v>
      </c>
      <c r="F138" s="490">
        <f>+'08 Gestión Talento Hum POA 2020'!AO22</f>
        <v>0.32</v>
      </c>
      <c r="G138" s="490">
        <f>+'08 Gestión Talento Hum POA 2020'!Q22+'08 Gestión Talento Hum POA 2020'!Y22+'08 Gestión Talento Hum POA 2020'!AG22+'08 Gestión Talento Hum POA 2020'!AO22</f>
        <v>1</v>
      </c>
      <c r="H138" s="490">
        <f>+'08 Gestión Talento Hum POA 2020'!AP22</f>
        <v>0.31999999999999995</v>
      </c>
      <c r="I138" s="490">
        <f>+'08 Gestión Talento Hum POA 2020'!R22+'08 Gestión Talento Hum POA 2020'!Z22+'08 Gestión Talento Hum POA 2020'!AH22+'08 Gestión Talento Hum POA 2020'!AP22</f>
        <v>0.99</v>
      </c>
      <c r="J138" s="490">
        <f>'08 Gestión Talento Hum POA 2020'!AR22</f>
        <v>0.99</v>
      </c>
      <c r="K138" s="452">
        <f t="shared" si="14"/>
        <v>0.99999999999999978</v>
      </c>
      <c r="L138" s="452">
        <f t="shared" si="16"/>
        <v>0.99</v>
      </c>
      <c r="M138" s="452">
        <f>'08 Gestión Talento Hum POA 2020'!AS22</f>
        <v>0.99</v>
      </c>
      <c r="N138" s="488" t="str">
        <f>'Rango en indicadores'!G65</f>
        <v>Mayor o igual A:</v>
      </c>
      <c r="O138" s="476">
        <f>'Rango en indicadores'!H65</f>
        <v>90</v>
      </c>
      <c r="P138" s="488" t="str">
        <f>'Rango en indicadores'!I65</f>
        <v>Desde (&gt;):</v>
      </c>
      <c r="Q138" s="476">
        <f>'Rango en indicadores'!J65</f>
        <v>69</v>
      </c>
      <c r="R138" s="488" t="str">
        <f>'Rango en indicadores'!K65</f>
        <v>Hasta (&lt;):</v>
      </c>
      <c r="S138" s="476">
        <f>'Rango en indicadores'!L65</f>
        <v>90</v>
      </c>
      <c r="T138" s="488" t="str">
        <f>'Rango en indicadores'!M65</f>
        <v>Menor o Igual A:</v>
      </c>
      <c r="U138" s="476">
        <f>'Rango en indicadores'!N65</f>
        <v>69</v>
      </c>
      <c r="V138" s="499" t="s">
        <v>866</v>
      </c>
      <c r="W138" s="510"/>
      <c r="X138" s="510"/>
    </row>
    <row r="139" spans="2:24" ht="51">
      <c r="B139" s="473">
        <f t="shared" si="15"/>
        <v>62</v>
      </c>
      <c r="C139" s="474" t="str">
        <f>'Rango en indicadores'!E66</f>
        <v xml:space="preserve">Dependencias con seguimiento y/o capacitación a los  sistemas de gestión y Evaluación del Desempeño Laboral de la Personería de Bogotá, D.C. </v>
      </c>
      <c r="D139" s="475" t="str">
        <f>'Rango en indicadores'!D66</f>
        <v>08-RI-14</v>
      </c>
      <c r="E139" s="497">
        <f>'08 Gestión Talento Hum POA 2020'!AQ23</f>
        <v>32</v>
      </c>
      <c r="F139" s="497">
        <f>+'08 Gestión Talento Hum POA 2020'!AO23</f>
        <v>3</v>
      </c>
      <c r="G139" s="497">
        <f>+'08 Gestión Talento Hum POA 2020'!Q23+'08 Gestión Talento Hum POA 2020'!Y23+'08 Gestión Talento Hum POA 2020'!AG23+'08 Gestión Talento Hum POA 2020'!AO23</f>
        <v>32</v>
      </c>
      <c r="H139" s="497">
        <f>+'08 Gestión Talento Hum POA 2020'!AP23</f>
        <v>10</v>
      </c>
      <c r="I139" s="497">
        <f>+'08 Gestión Talento Hum POA 2020'!R23+'08 Gestión Talento Hum POA 2020'!Z23+'08 Gestión Talento Hum POA 2020'!AH23+'08 Gestión Talento Hum POA 2020'!AP23</f>
        <v>39</v>
      </c>
      <c r="J139" s="497">
        <f>'08 Gestión Talento Hum POA 2020'!AR23</f>
        <v>39</v>
      </c>
      <c r="K139" s="477">
        <f t="shared" si="14"/>
        <v>3.3333333333333335</v>
      </c>
      <c r="L139" s="452">
        <f t="shared" si="16"/>
        <v>1.21875</v>
      </c>
      <c r="M139" s="477">
        <f>'08 Gestión Talento Hum POA 2020'!AS23</f>
        <v>1.21875</v>
      </c>
      <c r="N139" s="488" t="str">
        <f>'Rango en indicadores'!G66</f>
        <v>Mayor o igual A:</v>
      </c>
      <c r="O139" s="476">
        <f>'Rango en indicadores'!H66</f>
        <v>90</v>
      </c>
      <c r="P139" s="488" t="str">
        <f>'Rango en indicadores'!I66</f>
        <v>Desde (&gt;):</v>
      </c>
      <c r="Q139" s="476">
        <f>'Rango en indicadores'!J66</f>
        <v>70</v>
      </c>
      <c r="R139" s="488" t="str">
        <f>'Rango en indicadores'!K66</f>
        <v>Hasta (&lt;):</v>
      </c>
      <c r="S139" s="476">
        <f>'Rango en indicadores'!L66</f>
        <v>90</v>
      </c>
      <c r="T139" s="488" t="str">
        <f>'Rango en indicadores'!M66</f>
        <v>Menor o Igual A:</v>
      </c>
      <c r="U139" s="476">
        <f>'Rango en indicadores'!N66</f>
        <v>70</v>
      </c>
      <c r="V139" s="478" t="s">
        <v>867</v>
      </c>
      <c r="W139" s="511"/>
      <c r="X139" s="511"/>
    </row>
    <row r="140" spans="2:24" ht="51">
      <c r="B140" s="473">
        <f t="shared" si="15"/>
        <v>63</v>
      </c>
      <c r="C140" s="474" t="str">
        <f>'Rango en indicadores'!E67</f>
        <v xml:space="preserve">Novedades incluidas en nómina liquidada y pagada oportunamente </v>
      </c>
      <c r="D140" s="475" t="str">
        <f>'Rango en indicadores'!D67</f>
        <v>08-RI-16</v>
      </c>
      <c r="E140" s="490">
        <f>'08 Gestión Talento Hum POA 2020'!AQ24</f>
        <v>0.9</v>
      </c>
      <c r="F140" s="490">
        <f>+'08 Gestión Talento Hum POA 2020'!AO24</f>
        <v>0.9</v>
      </c>
      <c r="G140" s="481">
        <f>ROUNDDOWN(AVERAGE('08 Gestión Talento Hum POA 2020'!Q24,'08 Gestión Talento Hum POA 2020'!Y24,'08 Gestión Talento Hum POA 2020'!AG24,'08 Gestión Talento Hum POA 2020'!AO24),3)</f>
        <v>0.9</v>
      </c>
      <c r="H140" s="490">
        <f>+'08 Gestión Talento Hum POA 2020'!AP24</f>
        <v>0.98499999999999999</v>
      </c>
      <c r="I140" s="481">
        <f>ROUNDDOWN(AVERAGE('08 Gestión Talento Hum POA 2020'!R24,'08 Gestión Talento Hum POA 2020'!Z24,'08 Gestión Talento Hum POA 2020'!AH24,'08 Gestión Talento Hum POA 2020'!AP24),3)</f>
        <v>0.97899999999999998</v>
      </c>
      <c r="J140" s="490">
        <f>'08 Gestión Talento Hum POA 2020'!AR24</f>
        <v>0.97899999999999998</v>
      </c>
      <c r="K140" s="452">
        <f t="shared" si="14"/>
        <v>1.0944444444444443</v>
      </c>
      <c r="L140" s="452">
        <f t="shared" si="16"/>
        <v>1.0877777777777777</v>
      </c>
      <c r="M140" s="452">
        <f>'08 Gestión Talento Hum POA 2020'!AS24</f>
        <v>1.0877777777777777</v>
      </c>
      <c r="N140" s="488" t="str">
        <f>'Rango en indicadores'!G67</f>
        <v>Mayor o igual A:</v>
      </c>
      <c r="O140" s="476">
        <f>'Rango en indicadores'!H67</f>
        <v>90</v>
      </c>
      <c r="P140" s="488" t="str">
        <f>'Rango en indicadores'!I67</f>
        <v>Desde (&gt;):</v>
      </c>
      <c r="Q140" s="476">
        <f>'Rango en indicadores'!J67</f>
        <v>80</v>
      </c>
      <c r="R140" s="488" t="str">
        <f>'Rango en indicadores'!K67</f>
        <v>Hasta (&lt;):</v>
      </c>
      <c r="S140" s="476">
        <f>'Rango en indicadores'!L67</f>
        <v>90</v>
      </c>
      <c r="T140" s="488" t="str">
        <f>'Rango en indicadores'!M67</f>
        <v>Menor o Igual A:</v>
      </c>
      <c r="U140" s="476">
        <f>'Rango en indicadores'!N67</f>
        <v>80</v>
      </c>
      <c r="V140" s="478" t="s">
        <v>868</v>
      </c>
      <c r="W140" s="510"/>
      <c r="X140" s="510"/>
    </row>
    <row r="141" spans="2:24" ht="45">
      <c r="B141" s="473">
        <f t="shared" si="15"/>
        <v>64</v>
      </c>
      <c r="C141" s="474" t="str">
        <f>'Rango en indicadores'!E68</f>
        <v>Porcentaje de incapacidades superiores a 360 días de radicadas, que no han sido pagadas por las EPS, radicadas y gestionadas ante la instancia correspondiente.</v>
      </c>
      <c r="D141" s="475" t="str">
        <f>'Rango en indicadores'!D68</f>
        <v>08-RI-17</v>
      </c>
      <c r="E141" s="490">
        <f>'08 Gestión Talento Hum POA 2020'!AQ25</f>
        <v>1</v>
      </c>
      <c r="F141" s="490">
        <f>+'08 Gestión Talento Hum POA 2020'!AO25</f>
        <v>1</v>
      </c>
      <c r="G141" s="481">
        <f>ROUNDDOWN(AVERAGE('08 Gestión Talento Hum POA 2020'!Q25,'08 Gestión Talento Hum POA 2020'!Y25,'08 Gestión Talento Hum POA 2020'!AG25,'08 Gestión Talento Hum POA 2020'!AO25),3)</f>
        <v>1</v>
      </c>
      <c r="H141" s="490">
        <f>+'08 Gestión Talento Hum POA 2020'!AP25</f>
        <v>0.95299999999999996</v>
      </c>
      <c r="I141" s="481">
        <f>ROUNDDOWN(AVERAGE('08 Gestión Talento Hum POA 2020'!R25,'08 Gestión Talento Hum POA 2020'!Z25,'08 Gestión Talento Hum POA 2020'!AH25,'08 Gestión Talento Hum POA 2020'!AP25),3)</f>
        <v>0.875</v>
      </c>
      <c r="J141" s="490">
        <f>'08 Gestión Talento Hum POA 2020'!AR25</f>
        <v>0.875</v>
      </c>
      <c r="K141" s="452">
        <f t="shared" si="14"/>
        <v>0.95299999999999996</v>
      </c>
      <c r="L141" s="452">
        <f t="shared" si="16"/>
        <v>0.875</v>
      </c>
      <c r="M141" s="452">
        <f>'08 Gestión Talento Hum POA 2020'!AS25</f>
        <v>0.875</v>
      </c>
      <c r="N141" s="488" t="str">
        <f>'Rango en indicadores'!G68</f>
        <v>Mayor o igual A:</v>
      </c>
      <c r="O141" s="476">
        <f>'Rango en indicadores'!H68</f>
        <v>90</v>
      </c>
      <c r="P141" s="488" t="str">
        <f>'Rango en indicadores'!I68</f>
        <v>Desde (&gt;):</v>
      </c>
      <c r="Q141" s="476">
        <f>'Rango en indicadores'!J68</f>
        <v>80</v>
      </c>
      <c r="R141" s="488" t="str">
        <f>'Rango en indicadores'!K68</f>
        <v>Hasta (&lt;):</v>
      </c>
      <c r="S141" s="476">
        <f>'Rango en indicadores'!L68</f>
        <v>90</v>
      </c>
      <c r="T141" s="488" t="str">
        <f>'Rango en indicadores'!M68</f>
        <v>Menor o Igual A:</v>
      </c>
      <c r="U141" s="476">
        <f>'Rango en indicadores'!N68</f>
        <v>80</v>
      </c>
      <c r="V141" s="499" t="s">
        <v>869</v>
      </c>
      <c r="W141" s="510"/>
      <c r="X141" s="510"/>
    </row>
    <row r="142" spans="2:24" ht="15.75">
      <c r="C142" s="612" t="s">
        <v>602</v>
      </c>
      <c r="D142" s="613"/>
      <c r="E142" s="613"/>
      <c r="F142" s="613"/>
      <c r="G142" s="613"/>
      <c r="H142" s="613"/>
      <c r="I142" s="613"/>
      <c r="J142" s="614"/>
      <c r="K142" s="484">
        <f>IFERROR(AVERAGE(K129:K141),0)</f>
        <v>1.1937508602508602</v>
      </c>
      <c r="L142" s="484">
        <f>IFERROR(AVERAGE(L129:L141),0)</f>
        <v>1.0298250115624812</v>
      </c>
      <c r="M142" s="484">
        <f>IFERROR(AVERAGE(M129:M141),0)</f>
        <v>1.0298250115624812</v>
      </c>
      <c r="N142" s="483"/>
      <c r="O142" s="483"/>
      <c r="P142" s="483"/>
      <c r="Q142" s="483"/>
      <c r="R142" s="483"/>
      <c r="S142" s="483"/>
      <c r="T142" s="483"/>
      <c r="U142" s="483"/>
      <c r="V142" s="512"/>
    </row>
    <row r="143" spans="2:24" s="466" customFormat="1">
      <c r="D143" s="467"/>
      <c r="V143" s="468"/>
    </row>
    <row r="144" spans="2:24" s="466" customFormat="1" ht="15.75">
      <c r="C144" s="470" t="s">
        <v>638</v>
      </c>
      <c r="D144" s="492"/>
      <c r="V144" s="468"/>
    </row>
    <row r="145" spans="2:24" ht="32.25" customHeight="1">
      <c r="C145" s="600" t="s">
        <v>592</v>
      </c>
      <c r="D145" s="599" t="s">
        <v>593</v>
      </c>
      <c r="E145" s="601" t="s">
        <v>594</v>
      </c>
      <c r="F145" s="602"/>
      <c r="G145" s="603"/>
      <c r="H145" s="599" t="s">
        <v>595</v>
      </c>
      <c r="I145" s="611" t="str">
        <f>$I$31</f>
        <v>Ejecución Acumulada Corte
31/12/2020</v>
      </c>
      <c r="J145" s="599" t="s">
        <v>596</v>
      </c>
      <c r="K145" s="599" t="s">
        <v>568</v>
      </c>
      <c r="L145" s="599"/>
      <c r="M145" s="599"/>
      <c r="N145" s="591" t="s">
        <v>666</v>
      </c>
      <c r="O145" s="591"/>
      <c r="P145" s="591"/>
      <c r="Q145" s="591"/>
      <c r="R145" s="591"/>
      <c r="S145" s="591"/>
      <c r="T145" s="591"/>
      <c r="U145" s="591"/>
      <c r="V145" s="618" t="s">
        <v>597</v>
      </c>
    </row>
    <row r="146" spans="2:24" ht="71.25" customHeight="1">
      <c r="C146" s="600"/>
      <c r="D146" s="599"/>
      <c r="E146" s="471" t="s">
        <v>660</v>
      </c>
      <c r="F146" s="471" t="str">
        <f>$C$5</f>
        <v>Cuarto Trimestre</v>
      </c>
      <c r="G146" s="469" t="str">
        <f>$G$31</f>
        <v>Acumulada Corte
31/12/2020</v>
      </c>
      <c r="H146" s="599"/>
      <c r="I146" s="611"/>
      <c r="J146" s="599"/>
      <c r="K146" s="471" t="str">
        <f>+$C$5</f>
        <v>Cuarto Trimestre</v>
      </c>
      <c r="L146" s="469" t="str">
        <f>$L$31</f>
        <v>Acumulado Corte 31/12/2020</v>
      </c>
      <c r="M146" s="471" t="s">
        <v>569</v>
      </c>
      <c r="N146" s="592" t="s">
        <v>754</v>
      </c>
      <c r="O146" s="593"/>
      <c r="P146" s="594" t="s">
        <v>661</v>
      </c>
      <c r="Q146" s="595"/>
      <c r="R146" s="595"/>
      <c r="S146" s="596"/>
      <c r="T146" s="597" t="s">
        <v>755</v>
      </c>
      <c r="U146" s="598"/>
      <c r="V146" s="618"/>
    </row>
    <row r="147" spans="2:24" ht="51">
      <c r="B147" s="473">
        <f>+B141+1</f>
        <v>65</v>
      </c>
      <c r="C147" s="474" t="str">
        <f>'Rango en indicadores'!E69</f>
        <v>Servicios de mantenimiento de bienes e instalaciones atendidos satisfactoriamente</v>
      </c>
      <c r="D147" s="475" t="str">
        <f>'Rango en indicadores'!D69</f>
        <v>09-RI-01</v>
      </c>
      <c r="E147" s="490">
        <f>'09 Gestión Admin POA 2020'!AQ13</f>
        <v>0.90999999999999992</v>
      </c>
      <c r="F147" s="490">
        <f>+'09 Gestión Admin POA 2020'!AO13</f>
        <v>0.94999999999999984</v>
      </c>
      <c r="G147" s="490">
        <f>ROUNDDOWN(AVERAGE('09 Gestión Admin POA 2020'!Q13,'09 Gestión Admin POA 2020'!Y13,'09 Gestión Admin POA 2020'!AG13,'09 Gestión Admin POA 2020'!AO13),3)</f>
        <v>0.91</v>
      </c>
      <c r="H147" s="490">
        <f>+'09 Gestión Admin POA 2020'!AP13</f>
        <v>0.97599999999999998</v>
      </c>
      <c r="I147" s="490">
        <f>ROUNDDOWN(AVERAGE('09 Gestión Admin POA 2020'!R13,'09 Gestión Admin POA 2020'!Z13,'09 Gestión Admin POA 2020'!AH13,'09 Gestión Admin POA 2020'!AP13),3)</f>
        <v>0.97099999999999997</v>
      </c>
      <c r="J147" s="490">
        <f>'09 Gestión Admin POA 2020'!AR13</f>
        <v>0.97099999999999997</v>
      </c>
      <c r="K147" s="452">
        <f t="shared" ref="K147:K152" si="17">IF(AND(F147&gt;0),H147/F147,"No programado")</f>
        <v>1.0273684210526317</v>
      </c>
      <c r="L147" s="452">
        <f>IF(AND(G147&gt;0),I147/G147,"No programado")</f>
        <v>1.067032967032967</v>
      </c>
      <c r="M147" s="452">
        <f>'09 Gestión Admin POA 2020'!AS13</f>
        <v>1.067032967032967</v>
      </c>
      <c r="N147" s="488" t="str">
        <f>'Rango en indicadores'!G69</f>
        <v>Mayor o igual A:</v>
      </c>
      <c r="O147" s="476">
        <f>'Rango en indicadores'!H69</f>
        <v>90</v>
      </c>
      <c r="P147" s="488" t="str">
        <f>'Rango en indicadores'!I69</f>
        <v>Desde (&gt;):</v>
      </c>
      <c r="Q147" s="476">
        <f>'Rango en indicadores'!J69</f>
        <v>70</v>
      </c>
      <c r="R147" s="488" t="str">
        <f>'Rango en indicadores'!K69</f>
        <v>Hasta (&lt;):</v>
      </c>
      <c r="S147" s="476">
        <f>'Rango en indicadores'!L69</f>
        <v>90</v>
      </c>
      <c r="T147" s="488" t="str">
        <f>'Rango en indicadores'!M69</f>
        <v>Menor o Igual A:</v>
      </c>
      <c r="U147" s="476">
        <f>'Rango en indicadores'!N69</f>
        <v>70</v>
      </c>
      <c r="V147" s="478" t="s">
        <v>870</v>
      </c>
      <c r="W147" s="510"/>
      <c r="X147" s="510"/>
    </row>
    <row r="148" spans="2:24" ht="51">
      <c r="B148" s="473">
        <f>+B147+1</f>
        <v>66</v>
      </c>
      <c r="C148" s="474" t="str">
        <f>'Rango en indicadores'!E70</f>
        <v>Pedidos de almacén atendidos satisfactoriamente</v>
      </c>
      <c r="D148" s="475" t="str">
        <f>'Rango en indicadores'!D70</f>
        <v>09-RI-02</v>
      </c>
      <c r="E148" s="490">
        <f>'09 Gestión Admin POA 2020'!AQ14</f>
        <v>0.94999999999999984</v>
      </c>
      <c r="F148" s="490">
        <f>+'09 Gestión Admin POA 2020'!AO14</f>
        <v>0.94999999999999984</v>
      </c>
      <c r="G148" s="490">
        <f>ROUNDDOWN(AVERAGE('09 Gestión Admin POA 2020'!Q14,'09 Gestión Admin POA 2020'!Y14,'09 Gestión Admin POA 2020'!AG14,'09 Gestión Admin POA 2020'!AO14),3)</f>
        <v>0.95</v>
      </c>
      <c r="H148" s="490">
        <f>+'09 Gestión Admin POA 2020'!AP14</f>
        <v>1</v>
      </c>
      <c r="I148" s="490">
        <f>ROUNDDOWN(AVERAGE('09 Gestión Admin POA 2020'!R14,'09 Gestión Admin POA 2020'!Z14,'09 Gestión Admin POA 2020'!AH14,'09 Gestión Admin POA 2020'!AP14),3)</f>
        <v>1</v>
      </c>
      <c r="J148" s="490">
        <f>'09 Gestión Admin POA 2020'!AR14</f>
        <v>1</v>
      </c>
      <c r="K148" s="452">
        <f t="shared" si="17"/>
        <v>1.0526315789473686</v>
      </c>
      <c r="L148" s="452">
        <f t="shared" ref="L148:L152" si="18">IF(AND(G148&gt;0),I148/G148,"No programado")</f>
        <v>1.0526315789473684</v>
      </c>
      <c r="M148" s="452">
        <f>'09 Gestión Admin POA 2020'!AS14</f>
        <v>1.0526315789473686</v>
      </c>
      <c r="N148" s="488" t="str">
        <f>'Rango en indicadores'!G70</f>
        <v>Mayor o igual A:</v>
      </c>
      <c r="O148" s="476">
        <f>'Rango en indicadores'!H70</f>
        <v>90</v>
      </c>
      <c r="P148" s="488" t="str">
        <f>'Rango en indicadores'!I70</f>
        <v>Desde (&gt;):</v>
      </c>
      <c r="Q148" s="476">
        <f>'Rango en indicadores'!J70</f>
        <v>70</v>
      </c>
      <c r="R148" s="488" t="str">
        <f>'Rango en indicadores'!K70</f>
        <v>Hasta (&lt;):</v>
      </c>
      <c r="S148" s="476">
        <f>'Rango en indicadores'!L70</f>
        <v>90</v>
      </c>
      <c r="T148" s="488" t="str">
        <f>'Rango en indicadores'!M70</f>
        <v>Menor o Igual A:</v>
      </c>
      <c r="U148" s="476">
        <f>'Rango en indicadores'!N70</f>
        <v>70</v>
      </c>
      <c r="V148" s="478" t="s">
        <v>871</v>
      </c>
      <c r="W148" s="510"/>
      <c r="X148" s="510"/>
    </row>
    <row r="149" spans="2:24" ht="51">
      <c r="B149" s="473">
        <f>+B148+1</f>
        <v>67</v>
      </c>
      <c r="C149" s="474" t="str">
        <f>'Rango en indicadores'!E71</f>
        <v>Servicios de transporte atendidos satisfactoriamente</v>
      </c>
      <c r="D149" s="475" t="str">
        <f>'Rango en indicadores'!D71</f>
        <v>09-RI-03</v>
      </c>
      <c r="E149" s="490">
        <f>'09 Gestión Admin POA 2020'!AQ15</f>
        <v>0.94999999999999984</v>
      </c>
      <c r="F149" s="490">
        <f>+'09 Gestión Admin POA 2020'!AO15</f>
        <v>0.94999999999999984</v>
      </c>
      <c r="G149" s="490">
        <f>ROUNDDOWN(AVERAGE('09 Gestión Admin POA 2020'!Q15,'09 Gestión Admin POA 2020'!Y15,'09 Gestión Admin POA 2020'!AG15,'09 Gestión Admin POA 2020'!AO15),3)</f>
        <v>0.95</v>
      </c>
      <c r="H149" s="490">
        <f>+'09 Gestión Admin POA 2020'!AP15</f>
        <v>0.99099999999999999</v>
      </c>
      <c r="I149" s="490">
        <f>ROUNDDOWN(AVERAGE('09 Gestión Admin POA 2020'!R15,'09 Gestión Admin POA 2020'!Z15,'09 Gestión Admin POA 2020'!AH15,'09 Gestión Admin POA 2020'!AP15),3)</f>
        <v>0.995</v>
      </c>
      <c r="J149" s="490">
        <f>'09 Gestión Admin POA 2020'!AR15</f>
        <v>0.995</v>
      </c>
      <c r="K149" s="452">
        <f t="shared" si="17"/>
        <v>1.0431578947368423</v>
      </c>
      <c r="L149" s="452">
        <f t="shared" si="18"/>
        <v>1.0473684210526317</v>
      </c>
      <c r="M149" s="452">
        <f>'09 Gestión Admin POA 2020'!AS15</f>
        <v>1.0473684210526317</v>
      </c>
      <c r="N149" s="488" t="str">
        <f>'Rango en indicadores'!G71</f>
        <v>Mayor o igual A:</v>
      </c>
      <c r="O149" s="476">
        <f>'Rango en indicadores'!H71</f>
        <v>90</v>
      </c>
      <c r="P149" s="488" t="str">
        <f>'Rango en indicadores'!I71</f>
        <v>Desde (&gt;):</v>
      </c>
      <c r="Q149" s="476">
        <f>'Rango en indicadores'!J71</f>
        <v>70</v>
      </c>
      <c r="R149" s="488" t="str">
        <f>'Rango en indicadores'!K71</f>
        <v>Hasta (&lt;):</v>
      </c>
      <c r="S149" s="476">
        <f>'Rango en indicadores'!L71</f>
        <v>90</v>
      </c>
      <c r="T149" s="488" t="str">
        <f>'Rango en indicadores'!M71</f>
        <v>Menor o Igual A:</v>
      </c>
      <c r="U149" s="476">
        <f>'Rango en indicadores'!N71</f>
        <v>70</v>
      </c>
      <c r="V149" s="478" t="s">
        <v>871</v>
      </c>
      <c r="W149" s="510"/>
      <c r="X149" s="510"/>
    </row>
    <row r="150" spans="2:24" ht="51">
      <c r="B150" s="473">
        <f>+B149+1</f>
        <v>68</v>
      </c>
      <c r="C150" s="474" t="str">
        <f>'Rango en indicadores'!E72</f>
        <v>Servicios de aseo y cafetería ejecutados satisfactoriamente</v>
      </c>
      <c r="D150" s="475" t="str">
        <f>'Rango en indicadores'!D72</f>
        <v>09-RI-04</v>
      </c>
      <c r="E150" s="490">
        <f>'09 Gestión Admin POA 2020'!AQ16</f>
        <v>0.94999999999999984</v>
      </c>
      <c r="F150" s="490">
        <f>+'09 Gestión Admin POA 2020'!AO16</f>
        <v>0.94999999999999984</v>
      </c>
      <c r="G150" s="490">
        <f>ROUNDDOWN(AVERAGE('09 Gestión Admin POA 2020'!Q16,'09 Gestión Admin POA 2020'!Y16,'09 Gestión Admin POA 2020'!AG16,'09 Gestión Admin POA 2020'!AO16),3)</f>
        <v>0.95</v>
      </c>
      <c r="H150" s="490">
        <f>+'09 Gestión Admin POA 2020'!AP16</f>
        <v>1</v>
      </c>
      <c r="I150" s="490">
        <f>ROUNDDOWN(AVERAGE('09 Gestión Admin POA 2020'!R16,'09 Gestión Admin POA 2020'!Z16,'09 Gestión Admin POA 2020'!AH16,'09 Gestión Admin POA 2020'!AP16),3)</f>
        <v>1</v>
      </c>
      <c r="J150" s="490">
        <f>'09 Gestión Admin POA 2020'!AR16</f>
        <v>1</v>
      </c>
      <c r="K150" s="452">
        <f t="shared" si="17"/>
        <v>1.0526315789473686</v>
      </c>
      <c r="L150" s="452">
        <f t="shared" si="18"/>
        <v>1.0526315789473684</v>
      </c>
      <c r="M150" s="452">
        <f>'09 Gestión Admin POA 2020'!AS16</f>
        <v>1.0526315789473686</v>
      </c>
      <c r="N150" s="488" t="str">
        <f>'Rango en indicadores'!G72</f>
        <v>Mayor o igual A:</v>
      </c>
      <c r="O150" s="476">
        <f>'Rango en indicadores'!H72</f>
        <v>90</v>
      </c>
      <c r="P150" s="488" t="str">
        <f>'Rango en indicadores'!I72</f>
        <v>Desde (&gt;):</v>
      </c>
      <c r="Q150" s="476">
        <f>'Rango en indicadores'!J72</f>
        <v>70</v>
      </c>
      <c r="R150" s="488" t="str">
        <f>'Rango en indicadores'!K72</f>
        <v>Hasta (&lt;):</v>
      </c>
      <c r="S150" s="476">
        <f>'Rango en indicadores'!L72</f>
        <v>90</v>
      </c>
      <c r="T150" s="488" t="str">
        <f>'Rango en indicadores'!M72</f>
        <v>Menor o Igual A:</v>
      </c>
      <c r="U150" s="476">
        <f>'Rango en indicadores'!N72</f>
        <v>70</v>
      </c>
      <c r="V150" s="478" t="s">
        <v>871</v>
      </c>
      <c r="W150" s="510"/>
      <c r="X150" s="510"/>
    </row>
    <row r="151" spans="2:24" ht="51">
      <c r="B151" s="473">
        <f>+B150+1</f>
        <v>69</v>
      </c>
      <c r="C151" s="474" t="str">
        <f>'Rango en indicadores'!E73</f>
        <v>Cumplimiento del plan de acción PESV</v>
      </c>
      <c r="D151" s="475" t="str">
        <f>'Rango en indicadores'!D73</f>
        <v>09-RI-05</v>
      </c>
      <c r="E151" s="490">
        <f>'09 Gestión Admin POA 2020'!AQ17</f>
        <v>0.89999999999999991</v>
      </c>
      <c r="F151" s="490">
        <f>+'09 Gestión Admin POA 2020'!AO17</f>
        <v>0.85</v>
      </c>
      <c r="G151" s="490">
        <f>ROUNDDOWN(AVERAGE('09 Gestión Admin POA 2020'!Q17,'09 Gestión Admin POA 2020'!Y17,'09 Gestión Admin POA 2020'!AG17,'09 Gestión Admin POA 2020'!AO17),3)</f>
        <v>0.9</v>
      </c>
      <c r="H151" s="490">
        <f>+'09 Gestión Admin POA 2020'!AP17</f>
        <v>0.96599999999999997</v>
      </c>
      <c r="I151" s="490">
        <f>J151</f>
        <v>1.0129999999999999</v>
      </c>
      <c r="J151" s="490">
        <f>'09 Gestión Admin POA 2020'!AR17</f>
        <v>1.0129999999999999</v>
      </c>
      <c r="K151" s="452">
        <f t="shared" si="17"/>
        <v>1.1364705882352941</v>
      </c>
      <c r="L151" s="452">
        <f t="shared" si="18"/>
        <v>1.1255555555555554</v>
      </c>
      <c r="M151" s="452">
        <f>'09 Gestión Admin POA 2020'!AS17</f>
        <v>1.1255555555555556</v>
      </c>
      <c r="N151" s="488" t="str">
        <f>'Rango en indicadores'!G73</f>
        <v>Mayor o igual A:</v>
      </c>
      <c r="O151" s="476">
        <f>'Rango en indicadores'!H73</f>
        <v>90</v>
      </c>
      <c r="P151" s="488" t="str">
        <f>'Rango en indicadores'!I73</f>
        <v>Desde (&gt;):</v>
      </c>
      <c r="Q151" s="476">
        <f>'Rango en indicadores'!J73</f>
        <v>70</v>
      </c>
      <c r="R151" s="488" t="str">
        <f>'Rango en indicadores'!K73</f>
        <v>Hasta (&lt;):</v>
      </c>
      <c r="S151" s="476">
        <f>'Rango en indicadores'!L73</f>
        <v>90</v>
      </c>
      <c r="T151" s="488" t="str">
        <f>'Rango en indicadores'!M73</f>
        <v>Menor o Igual A:</v>
      </c>
      <c r="U151" s="476">
        <f>'Rango en indicadores'!N73</f>
        <v>70</v>
      </c>
      <c r="V151" s="478" t="s">
        <v>872</v>
      </c>
      <c r="W151" s="510"/>
      <c r="X151" s="510"/>
    </row>
    <row r="152" spans="2:24" ht="51">
      <c r="B152" s="473">
        <f>+B151+1</f>
        <v>70</v>
      </c>
      <c r="C152" s="474" t="str">
        <f>'Rango en indicadores'!E74</f>
        <v xml:space="preserve">Cumplimiento de las actividades relacionadas con la ejecución de contratos de bienes y servicios </v>
      </c>
      <c r="D152" s="475" t="str">
        <f>'Rango en indicadores'!D74</f>
        <v>09-RI-06</v>
      </c>
      <c r="E152" s="490">
        <f>'09 Gestión Admin POA 2020'!AQ18</f>
        <v>0.94999999999999984</v>
      </c>
      <c r="F152" s="490">
        <f>+'09 Gestión Admin POA 2020'!AO18</f>
        <v>0.94999999999999984</v>
      </c>
      <c r="G152" s="490">
        <f>ROUNDDOWN(AVERAGE('09 Gestión Admin POA 2020'!Q18,'09 Gestión Admin POA 2020'!Y18,'09 Gestión Admin POA 2020'!AG18,'09 Gestión Admin POA 2020'!AO18),3)</f>
        <v>0.95</v>
      </c>
      <c r="H152" s="490">
        <f>+'09 Gestión Admin POA 2020'!AP18</f>
        <v>1</v>
      </c>
      <c r="I152" s="490">
        <f>J152</f>
        <v>1.1339999999999999</v>
      </c>
      <c r="J152" s="490">
        <f>'09 Gestión Admin POA 2020'!AR18</f>
        <v>1.1339999999999999</v>
      </c>
      <c r="K152" s="452">
        <f t="shared" si="17"/>
        <v>1.0526315789473686</v>
      </c>
      <c r="L152" s="452">
        <f t="shared" si="18"/>
        <v>1.1936842105263157</v>
      </c>
      <c r="M152" s="452">
        <f>'09 Gestión Admin POA 2020'!AS18</f>
        <v>1.1936842105263159</v>
      </c>
      <c r="N152" s="488" t="str">
        <f>'Rango en indicadores'!G74</f>
        <v>Mayor o igual A:</v>
      </c>
      <c r="O152" s="476">
        <f>'Rango en indicadores'!H74</f>
        <v>100</v>
      </c>
      <c r="P152" s="488" t="str">
        <f>'Rango en indicadores'!I74</f>
        <v>Desde (&gt;):</v>
      </c>
      <c r="Q152" s="476">
        <f>'Rango en indicadores'!J74</f>
        <v>70</v>
      </c>
      <c r="R152" s="488" t="str">
        <f>'Rango en indicadores'!K74</f>
        <v>Hasta (&lt;):</v>
      </c>
      <c r="S152" s="476">
        <f>'Rango en indicadores'!L74</f>
        <v>100</v>
      </c>
      <c r="T152" s="488" t="str">
        <f>'Rango en indicadores'!M74</f>
        <v>Menor o Igual A:</v>
      </c>
      <c r="U152" s="476">
        <f>'Rango en indicadores'!N74</f>
        <v>70</v>
      </c>
      <c r="V152" s="478" t="s">
        <v>873</v>
      </c>
      <c r="W152" s="510"/>
      <c r="X152" s="510"/>
    </row>
    <row r="153" spans="2:24" ht="15.75">
      <c r="C153" s="612" t="s">
        <v>602</v>
      </c>
      <c r="D153" s="613"/>
      <c r="E153" s="613"/>
      <c r="F153" s="613"/>
      <c r="G153" s="613"/>
      <c r="H153" s="613"/>
      <c r="I153" s="613"/>
      <c r="J153" s="614"/>
      <c r="K153" s="484">
        <f>AVERAGE(K147:K152)</f>
        <v>1.0608152734778125</v>
      </c>
      <c r="L153" s="484">
        <f>AVERAGE(L147:L152)</f>
        <v>1.0898173853437012</v>
      </c>
      <c r="M153" s="484">
        <f>AVERAGE(M147:M152)</f>
        <v>1.0898173853437012</v>
      </c>
      <c r="N153" s="495"/>
      <c r="O153" s="495"/>
      <c r="P153" s="495"/>
      <c r="Q153" s="495"/>
      <c r="R153" s="495"/>
      <c r="S153" s="495"/>
      <c r="T153" s="495"/>
      <c r="U153" s="495"/>
      <c r="V153" s="485"/>
    </row>
    <row r="154" spans="2:24" s="466" customFormat="1">
      <c r="D154" s="467"/>
      <c r="V154" s="468"/>
    </row>
    <row r="155" spans="2:24" s="466" customFormat="1" ht="15.75">
      <c r="C155" s="470" t="s">
        <v>640</v>
      </c>
      <c r="D155" s="492"/>
      <c r="V155" s="468"/>
    </row>
    <row r="156" spans="2:24" ht="35.25" customHeight="1">
      <c r="C156" s="600" t="s">
        <v>592</v>
      </c>
      <c r="D156" s="599" t="s">
        <v>593</v>
      </c>
      <c r="E156" s="601" t="s">
        <v>594</v>
      </c>
      <c r="F156" s="602"/>
      <c r="G156" s="603"/>
      <c r="H156" s="599" t="s">
        <v>595</v>
      </c>
      <c r="I156" s="611" t="str">
        <f>$I$31</f>
        <v>Ejecución Acumulada Corte
31/12/2020</v>
      </c>
      <c r="J156" s="599" t="s">
        <v>596</v>
      </c>
      <c r="K156" s="599" t="s">
        <v>568</v>
      </c>
      <c r="L156" s="599"/>
      <c r="M156" s="599"/>
      <c r="N156" s="591" t="s">
        <v>666</v>
      </c>
      <c r="O156" s="591"/>
      <c r="P156" s="591"/>
      <c r="Q156" s="591"/>
      <c r="R156" s="591"/>
      <c r="S156" s="591"/>
      <c r="T156" s="591"/>
      <c r="U156" s="591"/>
      <c r="V156" s="618" t="s">
        <v>597</v>
      </c>
    </row>
    <row r="157" spans="2:24" ht="61.5" customHeight="1">
      <c r="C157" s="600"/>
      <c r="D157" s="599"/>
      <c r="E157" s="471" t="s">
        <v>660</v>
      </c>
      <c r="F157" s="471" t="str">
        <f>$C$5</f>
        <v>Cuarto Trimestre</v>
      </c>
      <c r="G157" s="469" t="str">
        <f>$G$31</f>
        <v>Acumulada Corte
31/12/2020</v>
      </c>
      <c r="H157" s="599"/>
      <c r="I157" s="611"/>
      <c r="J157" s="599"/>
      <c r="K157" s="471" t="str">
        <f>+$C$5</f>
        <v>Cuarto Trimestre</v>
      </c>
      <c r="L157" s="469" t="str">
        <f>$L$31</f>
        <v>Acumulado Corte 31/12/2020</v>
      </c>
      <c r="M157" s="471" t="s">
        <v>569</v>
      </c>
      <c r="N157" s="592" t="s">
        <v>754</v>
      </c>
      <c r="O157" s="593"/>
      <c r="P157" s="594" t="s">
        <v>661</v>
      </c>
      <c r="Q157" s="595"/>
      <c r="R157" s="595"/>
      <c r="S157" s="596"/>
      <c r="T157" s="597" t="s">
        <v>755</v>
      </c>
      <c r="U157" s="598"/>
      <c r="V157" s="618"/>
    </row>
    <row r="158" spans="2:24" ht="38.25">
      <c r="B158" s="473">
        <f>1+B152</f>
        <v>71</v>
      </c>
      <c r="C158" s="474" t="str">
        <f>'Rango en indicadores'!E75</f>
        <v>Porcentaje de pagos realizados en el mes</v>
      </c>
      <c r="D158" s="475" t="str">
        <f>'Rango en indicadores'!D75</f>
        <v>10-RI-01</v>
      </c>
      <c r="E158" s="490">
        <f>'10 Gestión Financiera POA 2020'!AQ13</f>
        <v>1</v>
      </c>
      <c r="F158" s="481">
        <f>+'10 Gestión Financiera POA 2020'!AO13</f>
        <v>1</v>
      </c>
      <c r="G158" s="490">
        <f>ROUNDDOWN(AVERAGE('10 Gestión Financiera POA 2020'!Q13,'10 Gestión Financiera POA 2020'!Y13,'10 Gestión Financiera POA 2020'!AG13,'10 Gestión Financiera POA 2020'!AO13),3)</f>
        <v>1</v>
      </c>
      <c r="H158" s="481">
        <f>+'10 Gestión Financiera POA 2020'!AP13</f>
        <v>0.996</v>
      </c>
      <c r="I158" s="490">
        <f>J158</f>
        <v>0.99099999999999999</v>
      </c>
      <c r="J158" s="481">
        <f>'10 Gestión Financiera POA 2020'!AR13</f>
        <v>0.99099999999999999</v>
      </c>
      <c r="K158" s="513">
        <f>IF(AND(F158&gt;0),H158/F158,"No programado")</f>
        <v>0.996</v>
      </c>
      <c r="L158" s="513">
        <f>IF(AND(G158&gt;0),I158/G158,"No programado")</f>
        <v>0.99099999999999999</v>
      </c>
      <c r="M158" s="513">
        <f>'10 Gestión Financiera POA 2020'!AS13</f>
        <v>0.99099999999999999</v>
      </c>
      <c r="N158" s="488" t="str">
        <f>'Rango en indicadores'!G75</f>
        <v>Mayor o igual A:</v>
      </c>
      <c r="O158" s="476">
        <f>'Rango en indicadores'!H75</f>
        <v>99</v>
      </c>
      <c r="P158" s="488" t="str">
        <f>'Rango en indicadores'!I75</f>
        <v>Desde (&gt;):</v>
      </c>
      <c r="Q158" s="476">
        <f>'Rango en indicadores'!J75</f>
        <v>95</v>
      </c>
      <c r="R158" s="488" t="str">
        <f>'Rango en indicadores'!K75</f>
        <v>Hasta (&lt;):</v>
      </c>
      <c r="S158" s="476">
        <f>'Rango en indicadores'!L75</f>
        <v>99</v>
      </c>
      <c r="T158" s="488" t="str">
        <f>'Rango en indicadores'!M75</f>
        <v>Menor o Igual A:</v>
      </c>
      <c r="U158" s="476">
        <f>'Rango en indicadores'!N75</f>
        <v>95</v>
      </c>
      <c r="V158" s="499" t="s">
        <v>874</v>
      </c>
      <c r="W158" s="507"/>
      <c r="X158" s="507"/>
    </row>
    <row r="159" spans="2:24" ht="15.75">
      <c r="C159" s="612" t="s">
        <v>602</v>
      </c>
      <c r="D159" s="613"/>
      <c r="E159" s="613"/>
      <c r="F159" s="613"/>
      <c r="G159" s="613"/>
      <c r="H159" s="613"/>
      <c r="I159" s="613"/>
      <c r="J159" s="614"/>
      <c r="K159" s="514">
        <f>IFERROR(AVERAGE(K158:K158),0)</f>
        <v>0.996</v>
      </c>
      <c r="L159" s="514">
        <f>IFERROR(AVERAGE(L158:L158),0)</f>
        <v>0.99099999999999999</v>
      </c>
      <c r="M159" s="514">
        <f>IFERROR(AVERAGE(M158:M158),0)</f>
        <v>0.99099999999999999</v>
      </c>
      <c r="N159" s="495"/>
      <c r="O159" s="495"/>
      <c r="P159" s="495"/>
      <c r="Q159" s="495"/>
      <c r="R159" s="495"/>
      <c r="S159" s="495"/>
      <c r="T159" s="495"/>
      <c r="U159" s="495"/>
      <c r="V159" s="485"/>
    </row>
    <row r="160" spans="2:24" s="466" customFormat="1">
      <c r="D160" s="467"/>
      <c r="V160" s="468"/>
    </row>
    <row r="161" spans="2:24" s="466" customFormat="1" ht="15.75">
      <c r="C161" s="470" t="s">
        <v>642</v>
      </c>
      <c r="D161" s="492"/>
      <c r="V161" s="468"/>
    </row>
    <row r="162" spans="2:24" ht="36.75" customHeight="1">
      <c r="C162" s="600" t="s">
        <v>592</v>
      </c>
      <c r="D162" s="599" t="s">
        <v>593</v>
      </c>
      <c r="E162" s="601" t="s">
        <v>594</v>
      </c>
      <c r="F162" s="602"/>
      <c r="G162" s="603"/>
      <c r="H162" s="599" t="s">
        <v>595</v>
      </c>
      <c r="I162" s="611" t="str">
        <f>$I$31</f>
        <v>Ejecución Acumulada Corte
31/12/2020</v>
      </c>
      <c r="J162" s="599" t="s">
        <v>596</v>
      </c>
      <c r="K162" s="599" t="s">
        <v>568</v>
      </c>
      <c r="L162" s="599"/>
      <c r="M162" s="599"/>
      <c r="N162" s="591" t="s">
        <v>666</v>
      </c>
      <c r="O162" s="591"/>
      <c r="P162" s="591"/>
      <c r="Q162" s="591"/>
      <c r="R162" s="591"/>
      <c r="S162" s="591"/>
      <c r="T162" s="591"/>
      <c r="U162" s="591"/>
      <c r="V162" s="618" t="s">
        <v>597</v>
      </c>
    </row>
    <row r="163" spans="2:24" ht="60.75" customHeight="1">
      <c r="C163" s="600"/>
      <c r="D163" s="599"/>
      <c r="E163" s="471" t="s">
        <v>660</v>
      </c>
      <c r="F163" s="471" t="str">
        <f>$C$5</f>
        <v>Cuarto Trimestre</v>
      </c>
      <c r="G163" s="469" t="str">
        <f>$G$31</f>
        <v>Acumulada Corte
31/12/2020</v>
      </c>
      <c r="H163" s="599"/>
      <c r="I163" s="611"/>
      <c r="J163" s="599"/>
      <c r="K163" s="471" t="str">
        <f>+$C$5</f>
        <v>Cuarto Trimestre</v>
      </c>
      <c r="L163" s="469" t="str">
        <f>$L$31</f>
        <v>Acumulado Corte 31/12/2020</v>
      </c>
      <c r="M163" s="471" t="s">
        <v>569</v>
      </c>
      <c r="N163" s="592" t="s">
        <v>754</v>
      </c>
      <c r="O163" s="593"/>
      <c r="P163" s="594" t="s">
        <v>661</v>
      </c>
      <c r="Q163" s="595"/>
      <c r="R163" s="595"/>
      <c r="S163" s="596"/>
      <c r="T163" s="597" t="s">
        <v>755</v>
      </c>
      <c r="U163" s="598"/>
      <c r="V163" s="618"/>
    </row>
    <row r="164" spans="2:24" ht="38.25">
      <c r="B164" s="473">
        <f>B158+1</f>
        <v>72</v>
      </c>
      <c r="C164" s="515" t="str">
        <f>'Rango en indicadores'!E76</f>
        <v>Porcentaje de ejecución del PAA correspondiente a gastos generales</v>
      </c>
      <c r="D164" s="488" t="str">
        <f>'Rango en indicadores'!D76</f>
        <v>11-RI-01</v>
      </c>
      <c r="E164" s="452">
        <f>'11 Gestión Contractual POA 2020'!AQ13</f>
        <v>0.95</v>
      </c>
      <c r="F164" s="452">
        <f>+'11 Gestión Contractual POA 2020'!AO13</f>
        <v>0.95</v>
      </c>
      <c r="G164" s="490">
        <f>+'11 Gestión Contractual POA 2020'!AO13</f>
        <v>0.95</v>
      </c>
      <c r="H164" s="452">
        <f>+'11 Gestión Contractual POA 2020'!AP13</f>
        <v>0.95699999999999996</v>
      </c>
      <c r="I164" s="452">
        <f>+'11 Gestión Contractual POA 2020'!AP13</f>
        <v>0.95699999999999996</v>
      </c>
      <c r="J164" s="452">
        <f>'11 Gestión Contractual POA 2020'!AR13</f>
        <v>0.95699999999999996</v>
      </c>
      <c r="K164" s="452">
        <f>IF(AND(F164&gt;0),H164/F164,"No programado")</f>
        <v>1.0073684210526317</v>
      </c>
      <c r="L164" s="452">
        <f>IF(AND(G164&gt;0),I164/G164,"No programado")</f>
        <v>1.0073684210526317</v>
      </c>
      <c r="M164" s="452">
        <f>'11 Gestión Contractual POA 2020'!AS13</f>
        <v>1.0073684210526317</v>
      </c>
      <c r="N164" s="488" t="str">
        <f>'Rango en indicadores'!G76</f>
        <v>Mayor o igual A:</v>
      </c>
      <c r="O164" s="476">
        <f>'Rango en indicadores'!H76</f>
        <v>95</v>
      </c>
      <c r="P164" s="488" t="str">
        <f>'Rango en indicadores'!I76</f>
        <v>Desde (&gt;):</v>
      </c>
      <c r="Q164" s="476">
        <f>'Rango en indicadores'!J76</f>
        <v>90</v>
      </c>
      <c r="R164" s="488" t="str">
        <f>'Rango en indicadores'!K76</f>
        <v>Hasta (&lt;):</v>
      </c>
      <c r="S164" s="476">
        <f>'Rango en indicadores'!L76</f>
        <v>95</v>
      </c>
      <c r="T164" s="488" t="str">
        <f>'Rango en indicadores'!M76</f>
        <v>Menor o Igual A:</v>
      </c>
      <c r="U164" s="476">
        <f>'Rango en indicadores'!N76</f>
        <v>90</v>
      </c>
      <c r="V164" s="478" t="s">
        <v>837</v>
      </c>
    </row>
    <row r="165" spans="2:24" ht="15.75">
      <c r="C165" s="612" t="s">
        <v>602</v>
      </c>
      <c r="D165" s="613"/>
      <c r="E165" s="613"/>
      <c r="F165" s="613"/>
      <c r="G165" s="613"/>
      <c r="H165" s="613"/>
      <c r="I165" s="613"/>
      <c r="J165" s="614"/>
      <c r="K165" s="484">
        <f>IFERROR(AVERAGE(K164:K164),0)</f>
        <v>1.0073684210526317</v>
      </c>
      <c r="L165" s="484">
        <f>IFERROR(AVERAGE(L164:L164),0)</f>
        <v>1.0073684210526317</v>
      </c>
      <c r="M165" s="484">
        <f>AVERAGE(M164:M164)</f>
        <v>1.0073684210526317</v>
      </c>
      <c r="N165" s="495"/>
      <c r="O165" s="495"/>
      <c r="P165" s="495"/>
      <c r="Q165" s="495"/>
      <c r="R165" s="495"/>
      <c r="S165" s="495"/>
      <c r="T165" s="495"/>
      <c r="U165" s="495"/>
      <c r="V165" s="485"/>
      <c r="W165" s="507"/>
      <c r="X165" s="507"/>
    </row>
    <row r="166" spans="2:24" s="466" customFormat="1">
      <c r="D166" s="467"/>
      <c r="V166" s="468"/>
    </row>
    <row r="167" spans="2:24" s="466" customFormat="1" ht="15.75">
      <c r="C167" s="470" t="s">
        <v>643</v>
      </c>
      <c r="D167" s="492"/>
      <c r="V167" s="468"/>
    </row>
    <row r="168" spans="2:24" ht="33" customHeight="1">
      <c r="C168" s="600" t="s">
        <v>592</v>
      </c>
      <c r="D168" s="599" t="s">
        <v>593</v>
      </c>
      <c r="E168" s="601" t="s">
        <v>594</v>
      </c>
      <c r="F168" s="602"/>
      <c r="G168" s="603"/>
      <c r="H168" s="599" t="s">
        <v>595</v>
      </c>
      <c r="I168" s="611" t="str">
        <f>$I$31</f>
        <v>Ejecución Acumulada Corte
31/12/2020</v>
      </c>
      <c r="J168" s="599" t="s">
        <v>596</v>
      </c>
      <c r="K168" s="599" t="s">
        <v>568</v>
      </c>
      <c r="L168" s="599"/>
      <c r="M168" s="599"/>
      <c r="N168" s="591" t="s">
        <v>666</v>
      </c>
      <c r="O168" s="591"/>
      <c r="P168" s="591"/>
      <c r="Q168" s="591"/>
      <c r="R168" s="591"/>
      <c r="S168" s="591"/>
      <c r="T168" s="591"/>
      <c r="U168" s="591"/>
      <c r="V168" s="623" t="s">
        <v>597</v>
      </c>
    </row>
    <row r="169" spans="2:24" ht="75" customHeight="1">
      <c r="C169" s="600"/>
      <c r="D169" s="599"/>
      <c r="E169" s="471" t="s">
        <v>660</v>
      </c>
      <c r="F169" s="471" t="str">
        <f>$C$5</f>
        <v>Cuarto Trimestre</v>
      </c>
      <c r="G169" s="469" t="str">
        <f>$G$31</f>
        <v>Acumulada Corte
31/12/2020</v>
      </c>
      <c r="H169" s="599"/>
      <c r="I169" s="611"/>
      <c r="J169" s="599"/>
      <c r="K169" s="471" t="str">
        <f>+$C$5</f>
        <v>Cuarto Trimestre</v>
      </c>
      <c r="L169" s="469" t="str">
        <f>$L$31</f>
        <v>Acumulado Corte 31/12/2020</v>
      </c>
      <c r="M169" s="471" t="s">
        <v>569</v>
      </c>
      <c r="N169" s="592" t="s">
        <v>754</v>
      </c>
      <c r="O169" s="593"/>
      <c r="P169" s="594" t="s">
        <v>661</v>
      </c>
      <c r="Q169" s="595"/>
      <c r="R169" s="595"/>
      <c r="S169" s="596"/>
      <c r="T169" s="597" t="s">
        <v>755</v>
      </c>
      <c r="U169" s="598"/>
      <c r="V169" s="623"/>
    </row>
    <row r="170" spans="2:24" ht="60">
      <c r="B170" s="473">
        <f>+B164+1</f>
        <v>73</v>
      </c>
      <c r="C170" s="474" t="str">
        <f>'Rango en indicadores'!E77</f>
        <v>Porcentaje de metros lineales de documentación recibida en el archivo central durante la vigencia, en atención al cronograma de transferencias y las solicitudes de las dependencia</v>
      </c>
      <c r="D170" s="475" t="str">
        <f>'Rango en indicadores'!D77</f>
        <v>12-RI-01</v>
      </c>
      <c r="E170" s="490">
        <f>'12 Gestión Documental POA 2020'!AQ13</f>
        <v>0.34999999999999992</v>
      </c>
      <c r="F170" s="490">
        <f>+'12 Gestión Documental POA 2020'!AO13</f>
        <v>0</v>
      </c>
      <c r="G170" s="490">
        <f>ROUNDDOWN(AVERAGE('12 Gestión Documental POA 2020'!Y13,'12 Gestión Documental POA 2020'!Q13,'12 Gestión Documental POA 2020'!AG13,'12 Gestión Documental POA 2020'!AO13),3)</f>
        <v>0.35</v>
      </c>
      <c r="H170" s="490">
        <f>+'12 Gestión Documental POA 2020'!AP13</f>
        <v>1</v>
      </c>
      <c r="I170" s="490">
        <f>ROUNDDOWN(AVERAGE('12 Gestión Documental POA 2020'!R13,'12 Gestión Documental POA 2020'!Z13,'12 Gestión Documental POA 2020'!AH13,'12 Gestión Documental POA 2020'!AP13),3)</f>
        <v>0.504</v>
      </c>
      <c r="J170" s="490">
        <f>'12 Gestión Documental POA 2020'!AR13</f>
        <v>0.504</v>
      </c>
      <c r="K170" s="452" t="str">
        <f>IF(AND(F170&gt;0),H170/F170,"No programado")</f>
        <v>No programado</v>
      </c>
      <c r="L170" s="452">
        <f>IF(AND(G170&gt;0),I170/G170,"No programado")</f>
        <v>1.4400000000000002</v>
      </c>
      <c r="M170" s="452">
        <f>'12 Gestión Documental POA 2020'!AS13</f>
        <v>1.4400000000000004</v>
      </c>
      <c r="N170" s="488" t="str">
        <f>'Rango en indicadores'!G77</f>
        <v>Mayor o igual A:</v>
      </c>
      <c r="O170" s="476">
        <f>'Rango en indicadores'!H77</f>
        <v>100</v>
      </c>
      <c r="P170" s="488" t="str">
        <f>'Rango en indicadores'!I77</f>
        <v>Desde (&gt;):</v>
      </c>
      <c r="Q170" s="476">
        <f>'Rango en indicadores'!J77</f>
        <v>95</v>
      </c>
      <c r="R170" s="488" t="str">
        <f>'Rango en indicadores'!K77</f>
        <v>Hasta (&lt;):</v>
      </c>
      <c r="S170" s="476">
        <f>'Rango en indicadores'!L77</f>
        <v>100</v>
      </c>
      <c r="T170" s="488" t="str">
        <f>'Rango en indicadores'!M77</f>
        <v>Menor o Igual A:</v>
      </c>
      <c r="U170" s="476">
        <f>'Rango en indicadores'!N77</f>
        <v>95</v>
      </c>
      <c r="V170" s="478" t="s">
        <v>875</v>
      </c>
      <c r="W170" s="494"/>
    </row>
    <row r="171" spans="2:24" ht="58.5" customHeight="1">
      <c r="B171" s="473">
        <f>B170+1</f>
        <v>74</v>
      </c>
      <c r="C171" s="474" t="str">
        <f>'Rango en indicadores'!E78</f>
        <v>Actividades de diseño o ajuste de instrumentos archivísticos establecidos por ley, desarrolladas en el periodo.</v>
      </c>
      <c r="D171" s="475" t="str">
        <f>'Rango en indicadores'!D78</f>
        <v>12-RI-02</v>
      </c>
      <c r="E171" s="497">
        <f>'12 Gestión Documental POA 2020'!AQ14</f>
        <v>30</v>
      </c>
      <c r="F171" s="497">
        <f>+'12 Gestión Documental POA 2020'!AO14</f>
        <v>7</v>
      </c>
      <c r="G171" s="497">
        <f>+'12 Gestión Documental POA 2020'!Y14+'12 Gestión Documental POA 2020'!Q14+'12 Gestión Documental POA 2020'!AG14+'12 Gestión Documental POA 2020'!AO14</f>
        <v>30</v>
      </c>
      <c r="H171" s="497">
        <f>+'12 Gestión Documental POA 2020'!AP14</f>
        <v>5</v>
      </c>
      <c r="I171" s="497">
        <f>+'12 Gestión Documental POA 2020'!R14+'12 Gestión Documental POA 2020'!Z14+'12 Gestión Documental POA 2020'!AH14+'12 Gestión Documental POA 2020'!AP14</f>
        <v>32</v>
      </c>
      <c r="J171" s="497">
        <f>'12 Gestión Documental POA 2020'!AR14</f>
        <v>32</v>
      </c>
      <c r="K171" s="452">
        <f>IF(AND(F171&gt;0),H171/F171,"No programado")</f>
        <v>0.7142857142857143</v>
      </c>
      <c r="L171" s="452">
        <f>IF(AND(G171&gt;0),I171/G171,"No programado")</f>
        <v>1.0666666666666667</v>
      </c>
      <c r="M171" s="452">
        <f>'12 Gestión Documental POA 2020'!AS14</f>
        <v>1.0666666666666667</v>
      </c>
      <c r="N171" s="488" t="str">
        <f>'Rango en indicadores'!G78</f>
        <v>Mayor o igual A:</v>
      </c>
      <c r="O171" s="476">
        <f>'Rango en indicadores'!H78</f>
        <v>90</v>
      </c>
      <c r="P171" s="488" t="str">
        <f>'Rango en indicadores'!I78</f>
        <v>Desde (&gt;):</v>
      </c>
      <c r="Q171" s="476">
        <f>'Rango en indicadores'!J78</f>
        <v>79</v>
      </c>
      <c r="R171" s="488" t="str">
        <f>'Rango en indicadores'!K78</f>
        <v>Hasta (&lt;):</v>
      </c>
      <c r="S171" s="476">
        <f>'Rango en indicadores'!L78</f>
        <v>90</v>
      </c>
      <c r="T171" s="488" t="str">
        <f>'Rango en indicadores'!M78</f>
        <v>Menor o Igual A:</v>
      </c>
      <c r="U171" s="476">
        <f>'Rango en indicadores'!N78</f>
        <v>79</v>
      </c>
      <c r="V171" s="478" t="s">
        <v>876</v>
      </c>
      <c r="W171" s="494"/>
    </row>
    <row r="172" spans="2:24" ht="45">
      <c r="B172" s="473">
        <f>B171+1</f>
        <v>75</v>
      </c>
      <c r="C172" s="474" t="str">
        <f>'Rango en indicadores'!E79</f>
        <v>Actividades de implementación de instrumentos archivísticos establecidos por ley, desarrolladas en el periodo.</v>
      </c>
      <c r="D172" s="475" t="str">
        <f>'Rango en indicadores'!D79</f>
        <v>12-RI-03</v>
      </c>
      <c r="E172" s="497">
        <f>'12 Gestión Documental POA 2020'!AQ15</f>
        <v>25</v>
      </c>
      <c r="F172" s="497">
        <f>+'12 Gestión Documental POA 2020'!AO15</f>
        <v>3</v>
      </c>
      <c r="G172" s="497">
        <f>+'12 Gestión Documental POA 2020'!Y15+'12 Gestión Documental POA 2020'!Q15+'12 Gestión Documental POA 2020'!AG15+'12 Gestión Documental POA 2020'!AO15</f>
        <v>25</v>
      </c>
      <c r="H172" s="497">
        <f>+'12 Gestión Documental POA 2020'!AP15</f>
        <v>8</v>
      </c>
      <c r="I172" s="497">
        <f>+'12 Gestión Documental POA 2020'!R15+'12 Gestión Documental POA 2020'!Z15+'12 Gestión Documental POA 2020'!AH15+'12 Gestión Documental POA 2020'!AP15</f>
        <v>26</v>
      </c>
      <c r="J172" s="497">
        <f>'12 Gestión Documental POA 2020'!AR15</f>
        <v>26</v>
      </c>
      <c r="K172" s="452">
        <f>IF(AND(F172&gt;0),H172/F172,"No programado")</f>
        <v>2.6666666666666665</v>
      </c>
      <c r="L172" s="452">
        <f t="shared" ref="L172" si="19">IF(AND(G172&gt;0),I172/G172,"No programado")</f>
        <v>1.04</v>
      </c>
      <c r="M172" s="452">
        <f>'12 Gestión Documental POA 2020'!AS15</f>
        <v>1.04</v>
      </c>
      <c r="N172" s="488" t="str">
        <f>'Rango en indicadores'!G79</f>
        <v>Mayor o igual A:</v>
      </c>
      <c r="O172" s="476">
        <f>'Rango en indicadores'!H79</f>
        <v>90</v>
      </c>
      <c r="P172" s="488" t="str">
        <f>'Rango en indicadores'!I79</f>
        <v>Desde (&gt;):</v>
      </c>
      <c r="Q172" s="476">
        <f>'Rango en indicadores'!J79</f>
        <v>79</v>
      </c>
      <c r="R172" s="488" t="str">
        <f>'Rango en indicadores'!K79</f>
        <v>Hasta (&lt;):</v>
      </c>
      <c r="S172" s="476">
        <f>'Rango en indicadores'!L79</f>
        <v>90</v>
      </c>
      <c r="T172" s="488" t="str">
        <f>'Rango en indicadores'!M79</f>
        <v>Menor o Igual A:</v>
      </c>
      <c r="U172" s="476">
        <f>'Rango en indicadores'!N79</f>
        <v>79</v>
      </c>
      <c r="V172" s="478" t="s">
        <v>877</v>
      </c>
      <c r="W172" s="511"/>
      <c r="X172" s="511">
        <f>+G172-I172</f>
        <v>-1</v>
      </c>
    </row>
    <row r="173" spans="2:24" ht="15.75">
      <c r="C173" s="612" t="s">
        <v>602</v>
      </c>
      <c r="D173" s="613"/>
      <c r="E173" s="613"/>
      <c r="F173" s="613"/>
      <c r="G173" s="613"/>
      <c r="H173" s="613"/>
      <c r="I173" s="613"/>
      <c r="J173" s="614"/>
      <c r="K173" s="484">
        <f>IFERROR(AVERAGE(K170:K172),0)</f>
        <v>1.6904761904761905</v>
      </c>
      <c r="L173" s="484">
        <f>IFERROR(AVERAGE(L170:L172),0)</f>
        <v>1.1822222222222223</v>
      </c>
      <c r="M173" s="484">
        <f>IFERROR(AVERAGE(M170:M172),0)</f>
        <v>1.1822222222222223</v>
      </c>
      <c r="N173" s="495"/>
      <c r="O173" s="495"/>
      <c r="P173" s="495"/>
      <c r="Q173" s="495"/>
      <c r="R173" s="495"/>
      <c r="S173" s="495"/>
      <c r="T173" s="495"/>
      <c r="U173" s="495"/>
      <c r="V173" s="485"/>
    </row>
    <row r="174" spans="2:24" s="466" customFormat="1">
      <c r="D174" s="467"/>
      <c r="V174" s="468"/>
    </row>
    <row r="175" spans="2:24" s="466" customFormat="1" ht="15.75">
      <c r="C175" s="470" t="s">
        <v>645</v>
      </c>
      <c r="D175" s="492"/>
      <c r="V175" s="468"/>
    </row>
    <row r="176" spans="2:24" ht="30.75" customHeight="1">
      <c r="C176" s="600" t="s">
        <v>592</v>
      </c>
      <c r="D176" s="599" t="s">
        <v>593</v>
      </c>
      <c r="E176" s="601" t="s">
        <v>594</v>
      </c>
      <c r="F176" s="602"/>
      <c r="G176" s="603"/>
      <c r="H176" s="599" t="s">
        <v>595</v>
      </c>
      <c r="I176" s="611" t="str">
        <f>$I$31</f>
        <v>Ejecución Acumulada Corte
31/12/2020</v>
      </c>
      <c r="J176" s="599" t="s">
        <v>596</v>
      </c>
      <c r="K176" s="599" t="s">
        <v>568</v>
      </c>
      <c r="L176" s="599"/>
      <c r="M176" s="599"/>
      <c r="N176" s="591" t="s">
        <v>666</v>
      </c>
      <c r="O176" s="591"/>
      <c r="P176" s="591"/>
      <c r="Q176" s="591"/>
      <c r="R176" s="591"/>
      <c r="S176" s="591"/>
      <c r="T176" s="591"/>
      <c r="U176" s="591"/>
      <c r="V176" s="623" t="s">
        <v>597</v>
      </c>
    </row>
    <row r="177" spans="2:23" ht="63" customHeight="1">
      <c r="C177" s="600"/>
      <c r="D177" s="599"/>
      <c r="E177" s="471" t="s">
        <v>598</v>
      </c>
      <c r="F177" s="471" t="str">
        <f>$C$5</f>
        <v>Cuarto Trimestre</v>
      </c>
      <c r="G177" s="469" t="str">
        <f>$G$31</f>
        <v>Acumulada Corte
31/12/2020</v>
      </c>
      <c r="H177" s="599"/>
      <c r="I177" s="611"/>
      <c r="J177" s="599"/>
      <c r="K177" s="471" t="str">
        <f>+$C$5</f>
        <v>Cuarto Trimestre</v>
      </c>
      <c r="L177" s="469" t="str">
        <f>$L$31</f>
        <v>Acumulado Corte 31/12/2020</v>
      </c>
      <c r="M177" s="471" t="s">
        <v>569</v>
      </c>
      <c r="N177" s="592" t="s">
        <v>754</v>
      </c>
      <c r="O177" s="593"/>
      <c r="P177" s="594" t="s">
        <v>661</v>
      </c>
      <c r="Q177" s="595"/>
      <c r="R177" s="595"/>
      <c r="S177" s="596"/>
      <c r="T177" s="597" t="s">
        <v>755</v>
      </c>
      <c r="U177" s="598"/>
      <c r="V177" s="623"/>
    </row>
    <row r="178" spans="2:23" ht="38.25">
      <c r="B178" s="473">
        <f>1+B172</f>
        <v>76</v>
      </c>
      <c r="C178" s="474" t="str">
        <f>'Rango en indicadores'!E80</f>
        <v>Porcentaje de intervención oportuna en defensa judicial de la Entidad (Vinculada)</v>
      </c>
      <c r="D178" s="475" t="str">
        <f>'Rango en indicadores'!D80</f>
        <v>13-R1-01</v>
      </c>
      <c r="E178" s="490">
        <f>'13 Gestión Jurídica POA 2020 '!AQ13</f>
        <v>1</v>
      </c>
      <c r="F178" s="490">
        <f>+'13 Gestión Jurídica POA 2020 '!AO13</f>
        <v>1</v>
      </c>
      <c r="G178" s="490">
        <f>ROUNDDOWN(AVERAGE('13 Gestión Jurídica POA 2020 '!Q13,'13 Gestión Jurídica POA 2020 '!Y13,'13 Gestión Jurídica POA 2020 '!AG13,'13 Gestión Jurídica POA 2020 '!AO13),3)</f>
        <v>1</v>
      </c>
      <c r="H178" s="490">
        <f>+'13 Gestión Jurídica POA 2020 '!AP13</f>
        <v>1</v>
      </c>
      <c r="I178" s="490">
        <f>ROUNDDOWN(AVERAGE('13 Gestión Jurídica POA 2020 '!R13,'13 Gestión Jurídica POA 2020 '!Z13,'13 Gestión Jurídica POA 2020 '!AH13,'13 Gestión Jurídica POA 2020 '!AP13),3)</f>
        <v>1</v>
      </c>
      <c r="J178" s="490">
        <f>'13 Gestión Jurídica POA 2020 '!AR13</f>
        <v>1</v>
      </c>
      <c r="K178" s="452">
        <f>IF(AND(F178&gt;0),H178/F178,"No programado")</f>
        <v>1</v>
      </c>
      <c r="L178" s="452">
        <f>IF(AND(G178&gt;0),I178/G178,"No programado")</f>
        <v>1</v>
      </c>
      <c r="M178" s="452">
        <f>'13 Gestión Jurídica POA 2020 '!AS13</f>
        <v>1</v>
      </c>
      <c r="N178" s="488" t="str">
        <f>'Rango en indicadores'!G80</f>
        <v>Mayor o igual A:</v>
      </c>
      <c r="O178" s="476">
        <f>'Rango en indicadores'!H80</f>
        <v>100</v>
      </c>
      <c r="P178" s="488" t="str">
        <f>'Rango en indicadores'!I80</f>
        <v>Desde (&gt;):</v>
      </c>
      <c r="Q178" s="476">
        <f>'Rango en indicadores'!J80</f>
        <v>90</v>
      </c>
      <c r="R178" s="488" t="str">
        <f>'Rango en indicadores'!K80</f>
        <v>Hasta (&lt;):</v>
      </c>
      <c r="S178" s="476">
        <f>'Rango en indicadores'!L80</f>
        <v>100</v>
      </c>
      <c r="T178" s="488" t="str">
        <f>'Rango en indicadores'!M80</f>
        <v>Menor o Igual A:</v>
      </c>
      <c r="U178" s="476">
        <f>'Rango en indicadores'!N80</f>
        <v>90</v>
      </c>
      <c r="V178" s="478" t="s">
        <v>837</v>
      </c>
    </row>
    <row r="179" spans="2:23" ht="38.25">
      <c r="B179" s="473">
        <f>B178+1</f>
        <v>77</v>
      </c>
      <c r="C179" s="474" t="str">
        <f>'Rango en indicadores'!E81</f>
        <v>Porcentaje de intervención oportuna en defensa judicial de la Entidad por acciones de tutela</v>
      </c>
      <c r="D179" s="475" t="str">
        <f>'Rango en indicadores'!D81</f>
        <v>13-R1-02</v>
      </c>
      <c r="E179" s="490">
        <f>'13 Gestión Jurídica POA 2020 '!AQ14</f>
        <v>1</v>
      </c>
      <c r="F179" s="490">
        <f>+'13 Gestión Jurídica POA 2020 '!AO14</f>
        <v>1</v>
      </c>
      <c r="G179" s="490">
        <f>ROUNDDOWN(AVERAGE('13 Gestión Jurídica POA 2020 '!Q14,'13 Gestión Jurídica POA 2020 '!Y14,'13 Gestión Jurídica POA 2020 '!AG14,'13 Gestión Jurídica POA 2020 '!AO14),3)</f>
        <v>1</v>
      </c>
      <c r="H179" s="490">
        <f>+'13 Gestión Jurídica POA 2020 '!AP14</f>
        <v>1</v>
      </c>
      <c r="I179" s="490">
        <f>ROUNDDOWN(AVERAGE('13 Gestión Jurídica POA 2020 '!R14,'13 Gestión Jurídica POA 2020 '!Z14,'13 Gestión Jurídica POA 2020 '!AH14,'13 Gestión Jurídica POA 2020 '!AP14),3)</f>
        <v>1</v>
      </c>
      <c r="J179" s="490">
        <f>'13 Gestión Jurídica POA 2020 '!AR14</f>
        <v>1</v>
      </c>
      <c r="K179" s="452">
        <f>IF(AND(F179&gt;0),H179/F179,"No programado")</f>
        <v>1</v>
      </c>
      <c r="L179" s="452">
        <f t="shared" ref="L179:L182" si="20">IF(AND(G179&gt;0),I179/G179,"No programado")</f>
        <v>1</v>
      </c>
      <c r="M179" s="452">
        <f>'13 Gestión Jurídica POA 2020 '!AS14</f>
        <v>1</v>
      </c>
      <c r="N179" s="488" t="str">
        <f>'Rango en indicadores'!G81</f>
        <v>Mayor o igual A:</v>
      </c>
      <c r="O179" s="476">
        <f>'Rango en indicadores'!H81</f>
        <v>100</v>
      </c>
      <c r="P179" s="488" t="str">
        <f>'Rango en indicadores'!I81</f>
        <v>Desde (&gt;):</v>
      </c>
      <c r="Q179" s="476">
        <f>'Rango en indicadores'!J81</f>
        <v>90</v>
      </c>
      <c r="R179" s="488" t="str">
        <f>'Rango en indicadores'!K81</f>
        <v>Hasta (&lt;):</v>
      </c>
      <c r="S179" s="476">
        <f>'Rango en indicadores'!L81</f>
        <v>100</v>
      </c>
      <c r="T179" s="488" t="str">
        <f>'Rango en indicadores'!M81</f>
        <v>Menor o Igual A:</v>
      </c>
      <c r="U179" s="476">
        <f>'Rango en indicadores'!N81</f>
        <v>90</v>
      </c>
      <c r="V179" s="478" t="s">
        <v>837</v>
      </c>
    </row>
    <row r="180" spans="2:23" ht="38.25">
      <c r="B180" s="473">
        <f t="shared" ref="B180:B182" si="21">B179+1</f>
        <v>78</v>
      </c>
      <c r="C180" s="474" t="str">
        <f>'Rango en indicadores'!E82</f>
        <v>Porcentaje de actualización de la base de datos de acciones en las que se inician y/o intervine</v>
      </c>
      <c r="D180" s="475" t="str">
        <f>'Rango en indicadores'!D82</f>
        <v>13-R1-03</v>
      </c>
      <c r="E180" s="490">
        <f>'13 Gestión Jurídica POA 2020 '!AQ15</f>
        <v>1</v>
      </c>
      <c r="F180" s="490">
        <f>+'13 Gestión Jurídica POA 2020 '!AO15</f>
        <v>1</v>
      </c>
      <c r="G180" s="490">
        <f>ROUNDDOWN(AVERAGE('13 Gestión Jurídica POA 2020 '!Q15,'13 Gestión Jurídica POA 2020 '!Y15,'13 Gestión Jurídica POA 2020 '!AG15,'13 Gestión Jurídica POA 2020 '!AO15),3)</f>
        <v>1</v>
      </c>
      <c r="H180" s="490">
        <f>+'13 Gestión Jurídica POA 2020 '!AP15</f>
        <v>1</v>
      </c>
      <c r="I180" s="490">
        <f>ROUNDDOWN(AVERAGE('13 Gestión Jurídica POA 2020 '!R15,'13 Gestión Jurídica POA 2020 '!Z15,'13 Gestión Jurídica POA 2020 '!AH15,'13 Gestión Jurídica POA 2020 '!AP15),3)</f>
        <v>1</v>
      </c>
      <c r="J180" s="490">
        <f>'13 Gestión Jurídica POA 2020 '!AR15</f>
        <v>1</v>
      </c>
      <c r="K180" s="452">
        <f>IF(AND(F180&gt;0),H180/F180,"No programado")</f>
        <v>1</v>
      </c>
      <c r="L180" s="452">
        <f t="shared" si="20"/>
        <v>1</v>
      </c>
      <c r="M180" s="452">
        <f>'13 Gestión Jurídica POA 2020 '!AS15</f>
        <v>1</v>
      </c>
      <c r="N180" s="488" t="str">
        <f>'Rango en indicadores'!G82</f>
        <v>Mayor o igual A:</v>
      </c>
      <c r="O180" s="476">
        <f>'Rango en indicadores'!H82</f>
        <v>100</v>
      </c>
      <c r="P180" s="488" t="str">
        <f>'Rango en indicadores'!I82</f>
        <v>Desde (&gt;):</v>
      </c>
      <c r="Q180" s="476">
        <f>'Rango en indicadores'!J82</f>
        <v>90</v>
      </c>
      <c r="R180" s="488" t="str">
        <f>'Rango en indicadores'!K82</f>
        <v>Hasta (&lt;):</v>
      </c>
      <c r="S180" s="476">
        <f>'Rango en indicadores'!L82</f>
        <v>100</v>
      </c>
      <c r="T180" s="488" t="str">
        <f>'Rango en indicadores'!M82</f>
        <v>Menor o Igual A:</v>
      </c>
      <c r="U180" s="476">
        <f>'Rango en indicadores'!N82</f>
        <v>90</v>
      </c>
      <c r="V180" s="478" t="s">
        <v>837</v>
      </c>
    </row>
    <row r="181" spans="2:23" ht="38.25">
      <c r="B181" s="473">
        <f t="shared" si="21"/>
        <v>79</v>
      </c>
      <c r="C181" s="474" t="str">
        <f>'Rango en indicadores'!E83</f>
        <v>Porcentaje de actualización de base de datos de sanciones disciplinarias</v>
      </c>
      <c r="D181" s="475" t="str">
        <f>'Rango en indicadores'!D83</f>
        <v>13-R1-04</v>
      </c>
      <c r="E181" s="490">
        <f>'13 Gestión Jurídica POA 2020 '!AQ16</f>
        <v>1</v>
      </c>
      <c r="F181" s="490">
        <f>+'13 Gestión Jurídica POA 2020 '!AO16</f>
        <v>1</v>
      </c>
      <c r="G181" s="490">
        <f>ROUNDDOWN(AVERAGE('13 Gestión Jurídica POA 2020 '!Q16,'13 Gestión Jurídica POA 2020 '!Y16,'13 Gestión Jurídica POA 2020 '!AG16,'13 Gestión Jurídica POA 2020 '!AO16),3)</f>
        <v>1</v>
      </c>
      <c r="H181" s="490">
        <f>+'13 Gestión Jurídica POA 2020 '!AP16</f>
        <v>1</v>
      </c>
      <c r="I181" s="490">
        <f>ROUNDDOWN(AVERAGE('13 Gestión Jurídica POA 2020 '!R16,'13 Gestión Jurídica POA 2020 '!Z16,'13 Gestión Jurídica POA 2020 '!AH16,'13 Gestión Jurídica POA 2020 '!AP16),3)</f>
        <v>1</v>
      </c>
      <c r="J181" s="490">
        <f>'13 Gestión Jurídica POA 2020 '!AR16</f>
        <v>1</v>
      </c>
      <c r="K181" s="452">
        <f>IF(AND(F181&gt;0),H181/F181,"No programado")</f>
        <v>1</v>
      </c>
      <c r="L181" s="452">
        <f t="shared" si="20"/>
        <v>1</v>
      </c>
      <c r="M181" s="452">
        <f>'13 Gestión Jurídica POA 2020 '!AS16</f>
        <v>1</v>
      </c>
      <c r="N181" s="488" t="str">
        <f>'Rango en indicadores'!G83</f>
        <v>Mayor o igual A:</v>
      </c>
      <c r="O181" s="476">
        <f>'Rango en indicadores'!H83</f>
        <v>100</v>
      </c>
      <c r="P181" s="488" t="str">
        <f>'Rango en indicadores'!I83</f>
        <v>Desde (&gt;):</v>
      </c>
      <c r="Q181" s="476">
        <f>'Rango en indicadores'!J83</f>
        <v>90</v>
      </c>
      <c r="R181" s="488" t="str">
        <f>'Rango en indicadores'!K83</f>
        <v>Hasta (&lt;):</v>
      </c>
      <c r="S181" s="476">
        <f>'Rango en indicadores'!L83</f>
        <v>100</v>
      </c>
      <c r="T181" s="488" t="str">
        <f>'Rango en indicadores'!M83</f>
        <v>Menor o Igual A:</v>
      </c>
      <c r="U181" s="476">
        <f>'Rango en indicadores'!N83</f>
        <v>90</v>
      </c>
      <c r="V181" s="478" t="s">
        <v>837</v>
      </c>
    </row>
    <row r="182" spans="2:23" ht="38.25">
      <c r="B182" s="473">
        <f t="shared" si="21"/>
        <v>80</v>
      </c>
      <c r="C182" s="474" t="str">
        <f>'Rango en indicadores'!E84</f>
        <v xml:space="preserve">Porcentaje de emisión oportuna de conceptos jurídicos </v>
      </c>
      <c r="D182" s="475" t="str">
        <f>'Rango en indicadores'!D84</f>
        <v>13-R1-05</v>
      </c>
      <c r="E182" s="490">
        <f>'13 Gestión Jurídica POA 2020 '!AQ17</f>
        <v>1</v>
      </c>
      <c r="F182" s="490">
        <f>+'13 Gestión Jurídica POA 2020 '!AO17</f>
        <v>1</v>
      </c>
      <c r="G182" s="490">
        <f>ROUNDDOWN(AVERAGE('13 Gestión Jurídica POA 2020 '!Q17,'13 Gestión Jurídica POA 2020 '!Y17,'13 Gestión Jurídica POA 2020 '!AG17,'13 Gestión Jurídica POA 2020 '!AO17),3)</f>
        <v>1</v>
      </c>
      <c r="H182" s="490">
        <f>+'13 Gestión Jurídica POA 2020 '!AP17</f>
        <v>1</v>
      </c>
      <c r="I182" s="490">
        <f>ROUNDDOWN(AVERAGE('13 Gestión Jurídica POA 2020 '!R17,'13 Gestión Jurídica POA 2020 '!Z17,'13 Gestión Jurídica POA 2020 '!AH17,'13 Gestión Jurídica POA 2020 '!AP17),3)</f>
        <v>1</v>
      </c>
      <c r="J182" s="490">
        <f>'13 Gestión Jurídica POA 2020 '!AR17</f>
        <v>1</v>
      </c>
      <c r="K182" s="452">
        <f>IF(AND(F182&gt;0),H182/F182,"No programado")</f>
        <v>1</v>
      </c>
      <c r="L182" s="452">
        <f t="shared" si="20"/>
        <v>1</v>
      </c>
      <c r="M182" s="452">
        <f>'13 Gestión Jurídica POA 2020 '!AS17</f>
        <v>1</v>
      </c>
      <c r="N182" s="488" t="str">
        <f>'Rango en indicadores'!G84</f>
        <v>Mayor o igual A:</v>
      </c>
      <c r="O182" s="476">
        <f>'Rango en indicadores'!H84</f>
        <v>100</v>
      </c>
      <c r="P182" s="488" t="str">
        <f>'Rango en indicadores'!I84</f>
        <v>Desde (&gt;):</v>
      </c>
      <c r="Q182" s="476">
        <f>'Rango en indicadores'!J84</f>
        <v>90</v>
      </c>
      <c r="R182" s="488" t="str">
        <f>'Rango en indicadores'!K84</f>
        <v>Hasta (&lt;):</v>
      </c>
      <c r="S182" s="476">
        <f>'Rango en indicadores'!L84</f>
        <v>100</v>
      </c>
      <c r="T182" s="488" t="str">
        <f>'Rango en indicadores'!M84</f>
        <v>Menor o Igual A:</v>
      </c>
      <c r="U182" s="476">
        <f>'Rango en indicadores'!N84</f>
        <v>90</v>
      </c>
      <c r="V182" s="478" t="s">
        <v>837</v>
      </c>
    </row>
    <row r="183" spans="2:23" ht="15.75">
      <c r="C183" s="612" t="s">
        <v>602</v>
      </c>
      <c r="D183" s="613"/>
      <c r="E183" s="613"/>
      <c r="F183" s="613"/>
      <c r="G183" s="613"/>
      <c r="H183" s="613"/>
      <c r="I183" s="613"/>
      <c r="J183" s="614"/>
      <c r="K183" s="484">
        <f>IFERROR(AVERAGE(K178:K182),0)</f>
        <v>1</v>
      </c>
      <c r="L183" s="484">
        <f>IFERROR(AVERAGE(L178:L182),0)</f>
        <v>1</v>
      </c>
      <c r="M183" s="484">
        <f>IFERROR(AVERAGE(M178:M182),0)</f>
        <v>1</v>
      </c>
      <c r="N183" s="495"/>
      <c r="O183" s="495"/>
      <c r="P183" s="495"/>
      <c r="Q183" s="495"/>
      <c r="R183" s="495"/>
      <c r="S183" s="495"/>
      <c r="T183" s="495"/>
      <c r="U183" s="495"/>
      <c r="V183" s="485"/>
    </row>
    <row r="184" spans="2:23" ht="15.75">
      <c r="C184" s="516"/>
      <c r="D184" s="516"/>
      <c r="E184" s="516"/>
      <c r="F184" s="516"/>
      <c r="G184" s="516"/>
      <c r="H184" s="516"/>
      <c r="I184" s="516"/>
      <c r="J184" s="516"/>
      <c r="K184" s="462"/>
      <c r="L184" s="462"/>
      <c r="M184" s="495"/>
      <c r="N184" s="495"/>
      <c r="O184" s="495"/>
      <c r="P184" s="495"/>
      <c r="Q184" s="495"/>
      <c r="R184" s="495"/>
      <c r="S184" s="495"/>
      <c r="T184" s="495"/>
      <c r="U184" s="495"/>
      <c r="V184" s="485"/>
    </row>
    <row r="185" spans="2:23" s="466" customFormat="1" ht="15.75">
      <c r="C185" s="470" t="s">
        <v>646</v>
      </c>
      <c r="D185" s="492"/>
      <c r="V185" s="468"/>
    </row>
    <row r="186" spans="2:23" ht="34.5" customHeight="1">
      <c r="C186" s="600" t="s">
        <v>592</v>
      </c>
      <c r="D186" s="599" t="s">
        <v>593</v>
      </c>
      <c r="E186" s="601" t="s">
        <v>594</v>
      </c>
      <c r="F186" s="602"/>
      <c r="G186" s="603"/>
      <c r="H186" s="599" t="s">
        <v>595</v>
      </c>
      <c r="I186" s="611" t="str">
        <f>$I$31</f>
        <v>Ejecución Acumulada Corte
31/12/2020</v>
      </c>
      <c r="J186" s="599" t="s">
        <v>596</v>
      </c>
      <c r="K186" s="599" t="s">
        <v>568</v>
      </c>
      <c r="L186" s="599"/>
      <c r="M186" s="599"/>
      <c r="N186" s="591" t="s">
        <v>666</v>
      </c>
      <c r="O186" s="591"/>
      <c r="P186" s="591"/>
      <c r="Q186" s="591"/>
      <c r="R186" s="591"/>
      <c r="S186" s="591"/>
      <c r="T186" s="591"/>
      <c r="U186" s="591"/>
      <c r="V186" s="623" t="s">
        <v>597</v>
      </c>
    </row>
    <row r="187" spans="2:23" ht="57.75" customHeight="1">
      <c r="C187" s="600"/>
      <c r="D187" s="599"/>
      <c r="E187" s="471" t="s">
        <v>660</v>
      </c>
      <c r="F187" s="471" t="str">
        <f>$C$5</f>
        <v>Cuarto Trimestre</v>
      </c>
      <c r="G187" s="469" t="str">
        <f>$G$31</f>
        <v>Acumulada Corte
31/12/2020</v>
      </c>
      <c r="H187" s="599"/>
      <c r="I187" s="611"/>
      <c r="J187" s="599"/>
      <c r="K187" s="471" t="str">
        <f>+$C$5</f>
        <v>Cuarto Trimestre</v>
      </c>
      <c r="L187" s="469" t="str">
        <f>$L$31</f>
        <v>Acumulado Corte 31/12/2020</v>
      </c>
      <c r="M187" s="471" t="s">
        <v>569</v>
      </c>
      <c r="N187" s="592" t="s">
        <v>754</v>
      </c>
      <c r="O187" s="593"/>
      <c r="P187" s="594" t="s">
        <v>661</v>
      </c>
      <c r="Q187" s="595"/>
      <c r="R187" s="595"/>
      <c r="S187" s="596"/>
      <c r="T187" s="597" t="s">
        <v>755</v>
      </c>
      <c r="U187" s="598"/>
      <c r="V187" s="623"/>
    </row>
    <row r="188" spans="2:23" ht="38.25">
      <c r="B188" s="473">
        <f>1+B182</f>
        <v>81</v>
      </c>
      <c r="C188" s="474" t="str">
        <f>'Rango en indicadores'!E88</f>
        <v>Citaciones a audiencia emitidas</v>
      </c>
      <c r="D188" s="475" t="str">
        <f>'Rango en indicadores'!D88</f>
        <v>15-RI-01</v>
      </c>
      <c r="E188" s="517">
        <f>'15 Ctr Disc Interno POA 2020'!AQ13</f>
        <v>1</v>
      </c>
      <c r="F188" s="517">
        <f>+'15 Ctr Disc Interno POA 2020'!AO13</f>
        <v>1</v>
      </c>
      <c r="G188" s="517">
        <f>+'15 Ctr Disc Interno POA 2020'!Q13+'15 Ctr Disc Interno POA 2020'!Y13+'15 Ctr Disc Interno POA 2020'!AG13+'15 Ctr Disc Interno POA 2020'!AO13</f>
        <v>1</v>
      </c>
      <c r="H188" s="517">
        <f>+'15 Ctr Disc Interno POA 2020'!AP13</f>
        <v>1</v>
      </c>
      <c r="I188" s="517">
        <f>+'15 Ctr Disc Interno POA 2020'!R13+'15 Ctr Disc Interno POA 2020'!Z13+'15 Ctr Disc Interno POA 2020'!AH13+'15 Ctr Disc Interno POA 2020'!AP13</f>
        <v>1</v>
      </c>
      <c r="J188" s="517">
        <f>'15 Ctr Disc Interno POA 2020'!AR13</f>
        <v>1</v>
      </c>
      <c r="K188" s="505">
        <f>IF(AND(F188&gt;0),H188/F188,"No programado")</f>
        <v>1</v>
      </c>
      <c r="L188" s="505">
        <f>IF(AND(G188&gt;0),I188/G188,"No programado")</f>
        <v>1</v>
      </c>
      <c r="M188" s="452">
        <f>'15 Ctr Disc Interno POA 2020'!AS13</f>
        <v>1</v>
      </c>
      <c r="N188" s="488" t="str">
        <f>'Rango en indicadores'!G88</f>
        <v>Mayor o igual A:</v>
      </c>
      <c r="O188" s="476">
        <f>'Rango en indicadores'!H88</f>
        <v>90</v>
      </c>
      <c r="P188" s="488" t="str">
        <f>'Rango en indicadores'!I88</f>
        <v>Desde (&gt;):</v>
      </c>
      <c r="Q188" s="476">
        <f>'Rango en indicadores'!J88</f>
        <v>69</v>
      </c>
      <c r="R188" s="488" t="str">
        <f>'Rango en indicadores'!K88</f>
        <v>Hasta (&lt;):</v>
      </c>
      <c r="S188" s="476">
        <f>'Rango en indicadores'!L88</f>
        <v>90</v>
      </c>
      <c r="T188" s="488" t="str">
        <f>'Rango en indicadores'!M88</f>
        <v>Menor o Igual A:</v>
      </c>
      <c r="U188" s="476">
        <f>'Rango en indicadores'!N88</f>
        <v>69</v>
      </c>
      <c r="V188" s="478" t="s">
        <v>837</v>
      </c>
    </row>
    <row r="189" spans="2:23" ht="51">
      <c r="B189" s="473">
        <f>B188+1</f>
        <v>82</v>
      </c>
      <c r="C189" s="474" t="str">
        <f>'Rango en indicadores'!E89</f>
        <v>Citaciones a audiencia emitidas que terminan con fallo</v>
      </c>
      <c r="D189" s="475" t="str">
        <f>'Rango en indicadores'!D89</f>
        <v>15-RI-02</v>
      </c>
      <c r="E189" s="517">
        <f>'15 Ctr Disc Interno POA 2020'!AQ14</f>
        <v>2</v>
      </c>
      <c r="F189" s="517">
        <f>+'15 Ctr Disc Interno POA 2020'!AO14</f>
        <v>2</v>
      </c>
      <c r="G189" s="517">
        <f>+'15 Ctr Disc Interno POA 2020'!Q14+'15 Ctr Disc Interno POA 2020'!Y14+'15 Ctr Disc Interno POA 2020'!AG14+'15 Ctr Disc Interno POA 2020'!AO14</f>
        <v>2</v>
      </c>
      <c r="H189" s="517">
        <f>+'15 Ctr Disc Interno POA 2020'!AP14</f>
        <v>3</v>
      </c>
      <c r="I189" s="517">
        <f>+'15 Ctr Disc Interno POA 2020'!R14+'15 Ctr Disc Interno POA 2020'!Z14+'15 Ctr Disc Interno POA 2020'!AH14+'15 Ctr Disc Interno POA 2020'!AP14</f>
        <v>3</v>
      </c>
      <c r="J189" s="517">
        <f>'15 Ctr Disc Interno POA 2020'!AR14</f>
        <v>3</v>
      </c>
      <c r="K189" s="505">
        <f>IF(AND(F189&gt;0),H189/F189,"No programado")</f>
        <v>1.5</v>
      </c>
      <c r="L189" s="505">
        <f t="shared" ref="L189:L191" si="22">IF(AND(G189&gt;0),I189/G189,"No programado")</f>
        <v>1.5</v>
      </c>
      <c r="M189" s="452">
        <f>'15 Ctr Disc Interno POA 2020'!AS14</f>
        <v>1.5</v>
      </c>
      <c r="N189" s="488" t="str">
        <f>'Rango en indicadores'!G89</f>
        <v>Mayor o igual A:</v>
      </c>
      <c r="O189" s="476">
        <f>'Rango en indicadores'!H89</f>
        <v>90</v>
      </c>
      <c r="P189" s="488" t="str">
        <f>'Rango en indicadores'!I89</f>
        <v>Desde (&gt;):</v>
      </c>
      <c r="Q189" s="476">
        <f>'Rango en indicadores'!J89</f>
        <v>69</v>
      </c>
      <c r="R189" s="488" t="str">
        <f>'Rango en indicadores'!K89</f>
        <v>Hasta (&lt;):</v>
      </c>
      <c r="S189" s="476">
        <f>'Rango en indicadores'!L89</f>
        <v>90</v>
      </c>
      <c r="T189" s="488" t="str">
        <f>'Rango en indicadores'!M89</f>
        <v>Menor o Igual A:</v>
      </c>
      <c r="U189" s="476">
        <f>'Rango en indicadores'!N89</f>
        <v>69</v>
      </c>
      <c r="V189" s="478" t="s">
        <v>878</v>
      </c>
    </row>
    <row r="190" spans="2:23" ht="38.25">
      <c r="B190" s="473">
        <f t="shared" ref="B190:B191" si="23">B189+1</f>
        <v>83</v>
      </c>
      <c r="C190" s="474" t="str">
        <f>'Rango en indicadores'!E90</f>
        <v>Fallos proferidos</v>
      </c>
      <c r="D190" s="475" t="str">
        <f>'Rango en indicadores'!D90</f>
        <v>15-RI-03</v>
      </c>
      <c r="E190" s="517">
        <f>'15 Ctr Disc Interno POA 2020'!AQ15</f>
        <v>4</v>
      </c>
      <c r="F190" s="517">
        <f>+'15 Ctr Disc Interno POA 2020'!AO15</f>
        <v>4</v>
      </c>
      <c r="G190" s="517">
        <f>+'15 Ctr Disc Interno POA 2020'!Q15+'15 Ctr Disc Interno POA 2020'!Y15+'15 Ctr Disc Interno POA 2020'!AG15+'15 Ctr Disc Interno POA 2020'!AO15</f>
        <v>4</v>
      </c>
      <c r="H190" s="517">
        <f>+'15 Ctr Disc Interno POA 2020'!AP15</f>
        <v>4</v>
      </c>
      <c r="I190" s="517">
        <f>+'15 Ctr Disc Interno POA 2020'!R15+'15 Ctr Disc Interno POA 2020'!Z15+'15 Ctr Disc Interno POA 2020'!AH15+'15 Ctr Disc Interno POA 2020'!AP15</f>
        <v>4</v>
      </c>
      <c r="J190" s="517">
        <f>'15 Ctr Disc Interno POA 2020'!AR15</f>
        <v>4</v>
      </c>
      <c r="K190" s="505">
        <f>IF(AND(F190&gt;0),H190/F190,"No programado")</f>
        <v>1</v>
      </c>
      <c r="L190" s="505">
        <f t="shared" si="22"/>
        <v>1</v>
      </c>
      <c r="M190" s="452">
        <f>'15 Ctr Disc Interno POA 2020'!AS15</f>
        <v>1</v>
      </c>
      <c r="N190" s="488" t="str">
        <f>'Rango en indicadores'!G90</f>
        <v>Mayor o igual A:</v>
      </c>
      <c r="O190" s="476">
        <f>'Rango en indicadores'!H90</f>
        <v>90</v>
      </c>
      <c r="P190" s="488" t="str">
        <f>'Rango en indicadores'!I90</f>
        <v>Desde (&gt;):</v>
      </c>
      <c r="Q190" s="476">
        <f>'Rango en indicadores'!J90</f>
        <v>69</v>
      </c>
      <c r="R190" s="488" t="str">
        <f>'Rango en indicadores'!K90</f>
        <v>Hasta (&lt;):</v>
      </c>
      <c r="S190" s="476">
        <f>'Rango en indicadores'!L90</f>
        <v>90</v>
      </c>
      <c r="T190" s="488" t="str">
        <f>'Rango en indicadores'!M90</f>
        <v>Menor o Igual A:</v>
      </c>
      <c r="U190" s="476">
        <f>'Rango en indicadores'!N90</f>
        <v>69</v>
      </c>
      <c r="V190" s="478" t="s">
        <v>837</v>
      </c>
    </row>
    <row r="191" spans="2:23" ht="51">
      <c r="B191" s="473">
        <f t="shared" si="23"/>
        <v>84</v>
      </c>
      <c r="C191" s="474" t="str">
        <f>'Rango en indicadores'!E91</f>
        <v>Decisiones de fondo</v>
      </c>
      <c r="D191" s="475" t="str">
        <f>'Rango en indicadores'!D91</f>
        <v>15-RI-04</v>
      </c>
      <c r="E191" s="517">
        <f>'15 Ctr Disc Interno POA 2020'!AQ16</f>
        <v>115</v>
      </c>
      <c r="F191" s="517">
        <f>+'15 Ctr Disc Interno POA 2020'!AO16</f>
        <v>88</v>
      </c>
      <c r="G191" s="517">
        <f>+'15 Ctr Disc Interno POA 2020'!Q16+'15 Ctr Disc Interno POA 2020'!Y16+'15 Ctr Disc Interno POA 2020'!AG16+'15 Ctr Disc Interno POA 2020'!AO16</f>
        <v>115</v>
      </c>
      <c r="H191" s="517">
        <f>+'15 Ctr Disc Interno POA 2020'!AP16</f>
        <v>99</v>
      </c>
      <c r="I191" s="517">
        <f>+'15 Ctr Disc Interno POA 2020'!R16+'15 Ctr Disc Interno POA 2020'!Z16+'15 Ctr Disc Interno POA 2020'!AH16+'15 Ctr Disc Interno POA 2020'!AP16</f>
        <v>126</v>
      </c>
      <c r="J191" s="517">
        <f>'15 Ctr Disc Interno POA 2020'!AR16</f>
        <v>126</v>
      </c>
      <c r="K191" s="505">
        <f>IF(AND(F191&gt;0),H191/F191,"No programado")</f>
        <v>1.125</v>
      </c>
      <c r="L191" s="505">
        <f t="shared" si="22"/>
        <v>1.0956521739130434</v>
      </c>
      <c r="M191" s="452">
        <f>'15 Ctr Disc Interno POA 2020'!AS16</f>
        <v>1.0956521739130434</v>
      </c>
      <c r="N191" s="488" t="str">
        <f>'Rango en indicadores'!G91</f>
        <v>Mayor o igual A:</v>
      </c>
      <c r="O191" s="476">
        <f>'Rango en indicadores'!H91</f>
        <v>90</v>
      </c>
      <c r="P191" s="488" t="str">
        <f>'Rango en indicadores'!I91</f>
        <v>Desde (&gt;):</v>
      </c>
      <c r="Q191" s="476">
        <f>'Rango en indicadores'!J91</f>
        <v>69</v>
      </c>
      <c r="R191" s="488" t="str">
        <f>'Rango en indicadores'!K91</f>
        <v>Hasta (&lt;):</v>
      </c>
      <c r="S191" s="476">
        <f>'Rango en indicadores'!L91</f>
        <v>90</v>
      </c>
      <c r="T191" s="488" t="str">
        <f>'Rango en indicadores'!M91</f>
        <v>Menor o Igual A:</v>
      </c>
      <c r="U191" s="476">
        <f>'Rango en indicadores'!N91</f>
        <v>69</v>
      </c>
      <c r="V191" s="478" t="s">
        <v>879</v>
      </c>
      <c r="W191" s="518"/>
    </row>
    <row r="192" spans="2:23" ht="15.75">
      <c r="C192" s="612" t="s">
        <v>602</v>
      </c>
      <c r="D192" s="613"/>
      <c r="E192" s="613"/>
      <c r="F192" s="613"/>
      <c r="G192" s="613"/>
      <c r="H192" s="613"/>
      <c r="I192" s="613"/>
      <c r="J192" s="614"/>
      <c r="K192" s="484">
        <f>IFERROR(AVERAGE(K188:K191),0)</f>
        <v>1.15625</v>
      </c>
      <c r="L192" s="484">
        <f>IFERROR(AVERAGE(L188:L191),0)</f>
        <v>1.1489130434782608</v>
      </c>
      <c r="M192" s="484">
        <f>IFERROR(AVERAGE(M188:M191),0)</f>
        <v>1.1489130434782608</v>
      </c>
      <c r="N192" s="495"/>
      <c r="O192" s="495"/>
      <c r="P192" s="495"/>
      <c r="Q192" s="495"/>
      <c r="R192" s="495"/>
      <c r="S192" s="495"/>
      <c r="T192" s="495"/>
      <c r="U192" s="495"/>
      <c r="V192" s="485"/>
    </row>
    <row r="193" spans="2:22" s="466" customFormat="1">
      <c r="D193" s="467"/>
      <c r="V193" s="468"/>
    </row>
    <row r="194" spans="2:22" s="466" customFormat="1" ht="15.75">
      <c r="C194" s="470" t="s">
        <v>651</v>
      </c>
      <c r="D194" s="492"/>
      <c r="V194" s="468"/>
    </row>
    <row r="195" spans="2:22" ht="34.5" customHeight="1">
      <c r="C195" s="600" t="s">
        <v>592</v>
      </c>
      <c r="D195" s="599" t="s">
        <v>593</v>
      </c>
      <c r="E195" s="601" t="s">
        <v>594</v>
      </c>
      <c r="F195" s="602"/>
      <c r="G195" s="603"/>
      <c r="H195" s="599" t="s">
        <v>595</v>
      </c>
      <c r="I195" s="611" t="str">
        <f>$I$31</f>
        <v>Ejecución Acumulada Corte
31/12/2020</v>
      </c>
      <c r="J195" s="599" t="s">
        <v>596</v>
      </c>
      <c r="K195" s="599" t="s">
        <v>568</v>
      </c>
      <c r="L195" s="599"/>
      <c r="M195" s="599"/>
      <c r="N195" s="591" t="s">
        <v>666</v>
      </c>
      <c r="O195" s="591"/>
      <c r="P195" s="591"/>
      <c r="Q195" s="591"/>
      <c r="R195" s="591"/>
      <c r="S195" s="591"/>
      <c r="T195" s="591"/>
      <c r="U195" s="591"/>
      <c r="V195" s="623" t="s">
        <v>597</v>
      </c>
    </row>
    <row r="196" spans="2:22" ht="63.75" customHeight="1">
      <c r="C196" s="600"/>
      <c r="D196" s="599"/>
      <c r="E196" s="471" t="s">
        <v>660</v>
      </c>
      <c r="F196" s="471" t="str">
        <f>$C$5</f>
        <v>Cuarto Trimestre</v>
      </c>
      <c r="G196" s="469" t="str">
        <f>$G$31</f>
        <v>Acumulada Corte
31/12/2020</v>
      </c>
      <c r="H196" s="599"/>
      <c r="I196" s="611"/>
      <c r="J196" s="599"/>
      <c r="K196" s="471" t="str">
        <f>+$C$5</f>
        <v>Cuarto Trimestre</v>
      </c>
      <c r="L196" s="469" t="str">
        <f>$L$31</f>
        <v>Acumulado Corte 31/12/2020</v>
      </c>
      <c r="M196" s="471" t="s">
        <v>569</v>
      </c>
      <c r="N196" s="592" t="s">
        <v>754</v>
      </c>
      <c r="O196" s="593"/>
      <c r="P196" s="594" t="s">
        <v>661</v>
      </c>
      <c r="Q196" s="595"/>
      <c r="R196" s="595"/>
      <c r="S196" s="596"/>
      <c r="T196" s="597" t="s">
        <v>755</v>
      </c>
      <c r="U196" s="598"/>
      <c r="V196" s="623"/>
    </row>
    <row r="197" spans="2:22" ht="57" customHeight="1">
      <c r="B197" s="473">
        <f>1+B191</f>
        <v>85</v>
      </c>
      <c r="C197" s="474" t="str">
        <f>'Rango en indicadores'!E92</f>
        <v xml:space="preserve">Auditorias realizadas a los procesos de la Entidad </v>
      </c>
      <c r="D197" s="475" t="str">
        <f>'Rango en indicadores'!D92</f>
        <v>16-RI-01</v>
      </c>
      <c r="E197" s="517">
        <f>'16 Evaluacion y Segto POA 2020'!AQ13</f>
        <v>3</v>
      </c>
      <c r="F197" s="517">
        <f>+'16 Evaluacion y Segto POA 2020'!AO13</f>
        <v>0</v>
      </c>
      <c r="G197" s="517">
        <f>+'16 Evaluacion y Segto POA 2020'!Q13+'16 Evaluacion y Segto POA 2020'!Y13+'16 Evaluacion y Segto POA 2020'!AG13+'16 Evaluacion y Segto POA 2020'!AO13</f>
        <v>3</v>
      </c>
      <c r="H197" s="517">
        <f>+'16 Evaluacion y Segto POA 2020'!AP13</f>
        <v>0</v>
      </c>
      <c r="I197" s="517">
        <f>+'16 Evaluacion y Segto POA 2020'!R13+'16 Evaluacion y Segto POA 2020'!Z13+'16 Evaluacion y Segto POA 2020'!AH13+'16 Evaluacion y Segto POA 2020'!AP13</f>
        <v>3</v>
      </c>
      <c r="J197" s="517">
        <f>'16 Evaluacion y Segto POA 2020'!AR13</f>
        <v>3</v>
      </c>
      <c r="K197" s="488" t="str">
        <f t="shared" ref="K197:K204" si="24">IF(AND(F197&gt;0),H197/F197,"No programado")</f>
        <v>No programado</v>
      </c>
      <c r="L197" s="488">
        <f>IF(AND(G197&gt;0),I197/G197,"No programado")</f>
        <v>1</v>
      </c>
      <c r="M197" s="488">
        <f>'16 Evaluacion y Segto POA 2020'!AS13</f>
        <v>1</v>
      </c>
      <c r="N197" s="488" t="str">
        <f>'Rango en indicadores'!G92</f>
        <v>Mayor o igual A:</v>
      </c>
      <c r="O197" s="476">
        <f>'Rango en indicadores'!H92</f>
        <v>90</v>
      </c>
      <c r="P197" s="488" t="str">
        <f>'Rango en indicadores'!I92</f>
        <v>Desde (&gt;):</v>
      </c>
      <c r="Q197" s="476">
        <f>'Rango en indicadores'!J92</f>
        <v>69</v>
      </c>
      <c r="R197" s="488" t="str">
        <f>'Rango en indicadores'!K92</f>
        <v>Hasta (&lt;):</v>
      </c>
      <c r="S197" s="476">
        <f>'Rango en indicadores'!L92</f>
        <v>90</v>
      </c>
      <c r="T197" s="488" t="str">
        <f>'Rango en indicadores'!M92</f>
        <v>Menor o Igual A:</v>
      </c>
      <c r="U197" s="476">
        <f>'Rango en indicadores'!N92</f>
        <v>69</v>
      </c>
      <c r="V197" s="478" t="s">
        <v>765</v>
      </c>
    </row>
    <row r="198" spans="2:22" ht="57" customHeight="1">
      <c r="B198" s="473">
        <f>B197+1</f>
        <v>86</v>
      </c>
      <c r="C198" s="474" t="str">
        <f>'Rango en indicadores'!E93</f>
        <v>Auditorias Especiales realizadas</v>
      </c>
      <c r="D198" s="475" t="str">
        <f>'Rango en indicadores'!D93</f>
        <v>16-RI-02</v>
      </c>
      <c r="E198" s="517">
        <f>'16 Evaluacion y Segto POA 2020'!AQ14</f>
        <v>2</v>
      </c>
      <c r="F198" s="517">
        <f>+'16 Evaluacion y Segto POA 2020'!AO14</f>
        <v>0</v>
      </c>
      <c r="G198" s="517">
        <f>+'16 Evaluacion y Segto POA 2020'!Q14+'16 Evaluacion y Segto POA 2020'!Y14+'16 Evaluacion y Segto POA 2020'!AG14+'16 Evaluacion y Segto POA 2020'!AO14</f>
        <v>2</v>
      </c>
      <c r="H198" s="517">
        <f>+'16 Evaluacion y Segto POA 2020'!AP14</f>
        <v>0</v>
      </c>
      <c r="I198" s="517">
        <f>+'16 Evaluacion y Segto POA 2020'!R14+'16 Evaluacion y Segto POA 2020'!Z14+'16 Evaluacion y Segto POA 2020'!AH14+'16 Evaluacion y Segto POA 2020'!AP14</f>
        <v>2</v>
      </c>
      <c r="J198" s="517">
        <f>'16 Evaluacion y Segto POA 2020'!AR14</f>
        <v>2</v>
      </c>
      <c r="K198" s="488" t="str">
        <f t="shared" si="24"/>
        <v>No programado</v>
      </c>
      <c r="L198" s="488">
        <f t="shared" ref="L198:L204" si="25">IF(AND(G198&gt;0),I198/G198,"No programado")</f>
        <v>1</v>
      </c>
      <c r="M198" s="488">
        <f>'16 Evaluacion y Segto POA 2020'!AS14</f>
        <v>1</v>
      </c>
      <c r="N198" s="488" t="str">
        <f>'Rango en indicadores'!G93</f>
        <v>Mayor o igual A:</v>
      </c>
      <c r="O198" s="476">
        <f>'Rango en indicadores'!H93</f>
        <v>90</v>
      </c>
      <c r="P198" s="488" t="str">
        <f>'Rango en indicadores'!I93</f>
        <v>Desde (&gt;):</v>
      </c>
      <c r="Q198" s="476">
        <f>'Rango en indicadores'!J93</f>
        <v>69</v>
      </c>
      <c r="R198" s="488" t="str">
        <f>'Rango en indicadores'!K93</f>
        <v>Hasta (&lt;):</v>
      </c>
      <c r="S198" s="476">
        <f>'Rango en indicadores'!L93</f>
        <v>90</v>
      </c>
      <c r="T198" s="488" t="str">
        <f>'Rango en indicadores'!M93</f>
        <v>Menor o Igual A:</v>
      </c>
      <c r="U198" s="476">
        <f>'Rango en indicadores'!N93</f>
        <v>69</v>
      </c>
      <c r="V198" s="478" t="s">
        <v>765</v>
      </c>
    </row>
    <row r="199" spans="2:22" ht="45" customHeight="1">
      <c r="B199" s="473">
        <f t="shared" ref="B199:B204" si="26">B198+1</f>
        <v>87</v>
      </c>
      <c r="C199" s="474" t="str">
        <f>'Rango en indicadores'!E94</f>
        <v>Dependencias de la Entidad evaluadas en su gestión</v>
      </c>
      <c r="D199" s="475" t="str">
        <f>'Rango en indicadores'!D94</f>
        <v>16-RI-03</v>
      </c>
      <c r="E199" s="517">
        <f>'16 Evaluacion y Segto POA 2020'!AQ15</f>
        <v>65</v>
      </c>
      <c r="F199" s="517">
        <f>+'16 Evaluacion y Segto POA 2020'!AO15</f>
        <v>0</v>
      </c>
      <c r="G199" s="517">
        <f>+'16 Evaluacion y Segto POA 2020'!Q15+'16 Evaluacion y Segto POA 2020'!Y15+'16 Evaluacion y Segto POA 2020'!AG15+'16 Evaluacion y Segto POA 2020'!AO15</f>
        <v>65</v>
      </c>
      <c r="H199" s="517">
        <f>+'16 Evaluacion y Segto POA 2020'!AP15</f>
        <v>0</v>
      </c>
      <c r="I199" s="517">
        <f>+'16 Evaluacion y Segto POA 2020'!R15+'16 Evaluacion y Segto POA 2020'!Z15+'16 Evaluacion y Segto POA 2020'!AH15+'16 Evaluacion y Segto POA 2020'!AP15</f>
        <v>65</v>
      </c>
      <c r="J199" s="517">
        <f>'16 Evaluacion y Segto POA 2020'!AR15</f>
        <v>65</v>
      </c>
      <c r="K199" s="488" t="str">
        <f t="shared" si="24"/>
        <v>No programado</v>
      </c>
      <c r="L199" s="488">
        <f t="shared" si="25"/>
        <v>1</v>
      </c>
      <c r="M199" s="488">
        <f>'16 Evaluacion y Segto POA 2020'!AS15</f>
        <v>1</v>
      </c>
      <c r="N199" s="488" t="str">
        <f>'Rango en indicadores'!G94</f>
        <v>Mayor o igual A:</v>
      </c>
      <c r="O199" s="476">
        <f>'Rango en indicadores'!H94</f>
        <v>90</v>
      </c>
      <c r="P199" s="488" t="str">
        <f>'Rango en indicadores'!I94</f>
        <v>Desde (&gt;):</v>
      </c>
      <c r="Q199" s="476">
        <f>'Rango en indicadores'!J94</f>
        <v>69</v>
      </c>
      <c r="R199" s="488" t="str">
        <f>'Rango en indicadores'!K94</f>
        <v>Hasta (&lt;):</v>
      </c>
      <c r="S199" s="476">
        <f>'Rango en indicadores'!L94</f>
        <v>90</v>
      </c>
      <c r="T199" s="488" t="str">
        <f>'Rango en indicadores'!M94</f>
        <v>Menor o Igual A:</v>
      </c>
      <c r="U199" s="476">
        <f>'Rango en indicadores'!N94</f>
        <v>69</v>
      </c>
      <c r="V199" s="478" t="s">
        <v>765</v>
      </c>
    </row>
    <row r="200" spans="2:22" ht="51" customHeight="1">
      <c r="B200" s="473">
        <f t="shared" si="26"/>
        <v>88</v>
      </c>
      <c r="C200" s="474" t="str">
        <f>'Rango en indicadores'!E95</f>
        <v>Evaluaciones  realizadas sobre la efectividad del manejo de los Riesgos  Institucionales</v>
      </c>
      <c r="D200" s="475" t="str">
        <f>'Rango en indicadores'!D95</f>
        <v>16-RI-04</v>
      </c>
      <c r="E200" s="517">
        <f>'16 Evaluacion y Segto POA 2020'!AQ16</f>
        <v>3</v>
      </c>
      <c r="F200" s="517">
        <f>+'16 Evaluacion y Segto POA 2020'!AO16</f>
        <v>0</v>
      </c>
      <c r="G200" s="517">
        <f>+'16 Evaluacion y Segto POA 2020'!Q16+'16 Evaluacion y Segto POA 2020'!Y16+'16 Evaluacion y Segto POA 2020'!AG16+'16 Evaluacion y Segto POA 2020'!AO16</f>
        <v>3</v>
      </c>
      <c r="H200" s="517">
        <f>+'16 Evaluacion y Segto POA 2020'!AP16</f>
        <v>0</v>
      </c>
      <c r="I200" s="517">
        <f>+'16 Evaluacion y Segto POA 2020'!R16+'16 Evaluacion y Segto POA 2020'!Z16+'16 Evaluacion y Segto POA 2020'!AH16+'16 Evaluacion y Segto POA 2020'!AP16</f>
        <v>3</v>
      </c>
      <c r="J200" s="517">
        <f>'16 Evaluacion y Segto POA 2020'!AR16</f>
        <v>3</v>
      </c>
      <c r="K200" s="488" t="str">
        <f t="shared" si="24"/>
        <v>No programado</v>
      </c>
      <c r="L200" s="488">
        <f t="shared" si="25"/>
        <v>1</v>
      </c>
      <c r="M200" s="488">
        <f>'16 Evaluacion y Segto POA 2020'!AS16</f>
        <v>1</v>
      </c>
      <c r="N200" s="488" t="str">
        <f>'Rango en indicadores'!G95</f>
        <v>Mayor o igual A:</v>
      </c>
      <c r="O200" s="476">
        <f>'Rango en indicadores'!H95</f>
        <v>90</v>
      </c>
      <c r="P200" s="488" t="str">
        <f>'Rango en indicadores'!I95</f>
        <v>Desde (&gt;):</v>
      </c>
      <c r="Q200" s="476">
        <f>'Rango en indicadores'!J95</f>
        <v>69</v>
      </c>
      <c r="R200" s="488" t="str">
        <f>'Rango en indicadores'!K95</f>
        <v>Hasta (&lt;):</v>
      </c>
      <c r="S200" s="476">
        <f>'Rango en indicadores'!L95</f>
        <v>90</v>
      </c>
      <c r="T200" s="488" t="str">
        <f>'Rango en indicadores'!M95</f>
        <v>Menor o Igual A:</v>
      </c>
      <c r="U200" s="476">
        <f>'Rango en indicadores'!N95</f>
        <v>69</v>
      </c>
      <c r="V200" s="478" t="s">
        <v>765</v>
      </c>
    </row>
    <row r="201" spans="2:22" ht="57" customHeight="1">
      <c r="B201" s="473">
        <f t="shared" si="26"/>
        <v>89</v>
      </c>
      <c r="C201" s="474" t="str">
        <f>'Rango en indicadores'!E96</f>
        <v>Seguimientos semestrales  realizados  al Plan de Mejoramiento suscrito con la Contraloría de Bogotá D.C.</v>
      </c>
      <c r="D201" s="475" t="str">
        <f>'Rango en indicadores'!D96</f>
        <v>16-RI-05</v>
      </c>
      <c r="E201" s="517">
        <f>'16 Evaluacion y Segto POA 2020'!AQ17</f>
        <v>2</v>
      </c>
      <c r="F201" s="517">
        <f>+'16 Evaluacion y Segto POA 2020'!AO17</f>
        <v>0</v>
      </c>
      <c r="G201" s="517">
        <f>+'16 Evaluacion y Segto POA 2020'!Q17+'16 Evaluacion y Segto POA 2020'!Y17+'16 Evaluacion y Segto POA 2020'!AG17+'16 Evaluacion y Segto POA 2020'!AO17</f>
        <v>2</v>
      </c>
      <c r="H201" s="517">
        <f>+'16 Evaluacion y Segto POA 2020'!AP17</f>
        <v>0</v>
      </c>
      <c r="I201" s="517">
        <f>+'16 Evaluacion y Segto POA 2020'!R17+'16 Evaluacion y Segto POA 2020'!Z17+'16 Evaluacion y Segto POA 2020'!AH17+'16 Evaluacion y Segto POA 2020'!AP17</f>
        <v>2</v>
      </c>
      <c r="J201" s="517">
        <f>'16 Evaluacion y Segto POA 2020'!AR17</f>
        <v>2</v>
      </c>
      <c r="K201" s="488" t="str">
        <f t="shared" si="24"/>
        <v>No programado</v>
      </c>
      <c r="L201" s="488">
        <f t="shared" si="25"/>
        <v>1</v>
      </c>
      <c r="M201" s="488">
        <f>'16 Evaluacion y Segto POA 2020'!AS17</f>
        <v>1</v>
      </c>
      <c r="N201" s="488" t="str">
        <f>'Rango en indicadores'!G96</f>
        <v>Mayor o igual A:</v>
      </c>
      <c r="O201" s="476">
        <f>'Rango en indicadores'!H96</f>
        <v>90</v>
      </c>
      <c r="P201" s="488" t="str">
        <f>'Rango en indicadores'!I96</f>
        <v>Desde (&gt;):</v>
      </c>
      <c r="Q201" s="476">
        <f>'Rango en indicadores'!J96</f>
        <v>69</v>
      </c>
      <c r="R201" s="488" t="str">
        <f>'Rango en indicadores'!K96</f>
        <v>Hasta (&lt;):</v>
      </c>
      <c r="S201" s="476">
        <f>'Rango en indicadores'!L96</f>
        <v>90</v>
      </c>
      <c r="T201" s="488" t="str">
        <f>'Rango en indicadores'!M96</f>
        <v>Menor o Igual A:</v>
      </c>
      <c r="U201" s="476">
        <f>'Rango en indicadores'!N96</f>
        <v>69</v>
      </c>
      <c r="V201" s="478" t="s">
        <v>765</v>
      </c>
    </row>
    <row r="202" spans="2:22" ht="56.25" customHeight="1">
      <c r="B202" s="473">
        <f t="shared" si="26"/>
        <v>90</v>
      </c>
      <c r="C202" s="474" t="str">
        <f>'Rango en indicadores'!E97</f>
        <v xml:space="preserve">Informes presentados a entes externos y los requeridos por Ley </v>
      </c>
      <c r="D202" s="475" t="str">
        <f>'Rango en indicadores'!D97</f>
        <v>16-RI-06</v>
      </c>
      <c r="E202" s="517">
        <f>'16 Evaluacion y Segto POA 2020'!AQ18</f>
        <v>10</v>
      </c>
      <c r="F202" s="517">
        <f>+'16 Evaluacion y Segto POA 2020'!AO18</f>
        <v>0</v>
      </c>
      <c r="G202" s="517">
        <f>+'16 Evaluacion y Segto POA 2020'!Q18+'16 Evaluacion y Segto POA 2020'!Y18+'16 Evaluacion y Segto POA 2020'!AG18+'16 Evaluacion y Segto POA 2020'!AO18</f>
        <v>10</v>
      </c>
      <c r="H202" s="517">
        <f>+'16 Evaluacion y Segto POA 2020'!AP18</f>
        <v>0</v>
      </c>
      <c r="I202" s="517">
        <f>+'16 Evaluacion y Segto POA 2020'!R18+'16 Evaluacion y Segto POA 2020'!Z18+'16 Evaluacion y Segto POA 2020'!AH18+'16 Evaluacion y Segto POA 2020'!AP18</f>
        <v>10</v>
      </c>
      <c r="J202" s="517">
        <f>'16 Evaluacion y Segto POA 2020'!AR18</f>
        <v>10</v>
      </c>
      <c r="K202" s="488" t="str">
        <f t="shared" si="24"/>
        <v>No programado</v>
      </c>
      <c r="L202" s="488">
        <f t="shared" si="25"/>
        <v>1</v>
      </c>
      <c r="M202" s="488">
        <f>'16 Evaluacion y Segto POA 2020'!AS18</f>
        <v>1</v>
      </c>
      <c r="N202" s="488" t="str">
        <f>'Rango en indicadores'!G97</f>
        <v>Mayor o igual A:</v>
      </c>
      <c r="O202" s="476">
        <f>'Rango en indicadores'!H97</f>
        <v>90</v>
      </c>
      <c r="P202" s="488" t="str">
        <f>'Rango en indicadores'!I97</f>
        <v>Desde (&gt;):</v>
      </c>
      <c r="Q202" s="476">
        <f>'Rango en indicadores'!J97</f>
        <v>69</v>
      </c>
      <c r="R202" s="488" t="str">
        <f>'Rango en indicadores'!K97</f>
        <v>Hasta (&lt;):</v>
      </c>
      <c r="S202" s="476">
        <f>'Rango en indicadores'!L97</f>
        <v>90</v>
      </c>
      <c r="T202" s="488" t="str">
        <f>'Rango en indicadores'!M97</f>
        <v>Menor o Igual A:</v>
      </c>
      <c r="U202" s="476">
        <f>'Rango en indicadores'!N97</f>
        <v>69</v>
      </c>
      <c r="V202" s="478" t="s">
        <v>765</v>
      </c>
    </row>
    <row r="203" spans="2:22" ht="38.25">
      <c r="B203" s="473">
        <f t="shared" si="26"/>
        <v>91</v>
      </c>
      <c r="C203" s="474" t="str">
        <f>'Rango en indicadores'!E98</f>
        <v>Sensibilización  a Directivos y referentes de proceso sobre la séptima dimensión del MIPG</v>
      </c>
      <c r="D203" s="475" t="str">
        <f>'Rango en indicadores'!D98</f>
        <v>16-RI-07</v>
      </c>
      <c r="E203" s="517">
        <v>1</v>
      </c>
      <c r="F203" s="517">
        <f>+'16 Evaluacion y Segto POA 2020'!AO19</f>
        <v>1</v>
      </c>
      <c r="G203" s="517">
        <f>+'16 Evaluacion y Segto POA 2020'!Q19+'16 Evaluacion y Segto POA 2020'!Y19+'16 Evaluacion y Segto POA 2020'!AG19+'16 Evaluacion y Segto POA 2020'!AO19</f>
        <v>1</v>
      </c>
      <c r="H203" s="517">
        <f>+'16 Evaluacion y Segto POA 2020'!AP19</f>
        <v>1</v>
      </c>
      <c r="I203" s="517">
        <f>+'16 Evaluacion y Segto POA 2020'!R19+'16 Evaluacion y Segto POA 2020'!Z19+'16 Evaluacion y Segto POA 2020'!AH19+'16 Evaluacion y Segto POA 2020'!AP19</f>
        <v>1</v>
      </c>
      <c r="J203" s="517">
        <f>'16 Evaluacion y Segto POA 2020'!AR19</f>
        <v>1</v>
      </c>
      <c r="K203" s="489">
        <f t="shared" si="24"/>
        <v>1</v>
      </c>
      <c r="L203" s="488">
        <f t="shared" si="25"/>
        <v>1</v>
      </c>
      <c r="M203" s="488">
        <f>'16 Evaluacion y Segto POA 2020'!AS19</f>
        <v>1</v>
      </c>
      <c r="N203" s="488" t="str">
        <f>'Rango en indicadores'!G98</f>
        <v>Mayor o igual A:</v>
      </c>
      <c r="O203" s="476">
        <f>'Rango en indicadores'!H98</f>
        <v>90</v>
      </c>
      <c r="P203" s="488" t="str">
        <f>'Rango en indicadores'!I98</f>
        <v>Desde (&gt;):</v>
      </c>
      <c r="Q203" s="476">
        <f>'Rango en indicadores'!J98</f>
        <v>69</v>
      </c>
      <c r="R203" s="488" t="str">
        <f>'Rango en indicadores'!K98</f>
        <v>Hasta (&lt;):</v>
      </c>
      <c r="S203" s="476">
        <f>'Rango en indicadores'!L98</f>
        <v>90</v>
      </c>
      <c r="T203" s="488" t="str">
        <f>'Rango en indicadores'!M98</f>
        <v>Menor o Igual A:</v>
      </c>
      <c r="U203" s="476">
        <f>'Rango en indicadores'!N98</f>
        <v>69</v>
      </c>
      <c r="V203" s="478" t="s">
        <v>765</v>
      </c>
    </row>
    <row r="204" spans="2:22" ht="38.25">
      <c r="B204" s="473">
        <f t="shared" si="26"/>
        <v>92</v>
      </c>
      <c r="C204" s="474" t="str">
        <f>'Rango en indicadores'!E99</f>
        <v>Estrategia de sensibilización  acerca de la cultura del control</v>
      </c>
      <c r="D204" s="475" t="str">
        <f>'Rango en indicadores'!D99</f>
        <v>16-RI-08</v>
      </c>
      <c r="E204" s="517">
        <f>'16 Evaluacion y Segto POA 2020'!AQ20</f>
        <v>1</v>
      </c>
      <c r="F204" s="517">
        <f>+'16 Evaluacion y Segto POA 2020'!AO20</f>
        <v>1</v>
      </c>
      <c r="G204" s="517">
        <f>+'16 Evaluacion y Segto POA 2020'!Q20+'16 Evaluacion y Segto POA 2020'!Y20+'16 Evaluacion y Segto POA 2020'!AG20+'16 Evaluacion y Segto POA 2020'!AO20</f>
        <v>1</v>
      </c>
      <c r="H204" s="517">
        <f>+'16 Evaluacion y Segto POA 2020'!AP20</f>
        <v>1</v>
      </c>
      <c r="I204" s="517">
        <f>+'16 Evaluacion y Segto POA 2020'!R20+'16 Evaluacion y Segto POA 2020'!Z20+'16 Evaluacion y Segto POA 2020'!AH20+'16 Evaluacion y Segto POA 2020'!AP20</f>
        <v>1</v>
      </c>
      <c r="J204" s="517">
        <f>'16 Evaluacion y Segto POA 2020'!AR20</f>
        <v>1</v>
      </c>
      <c r="K204" s="489">
        <f t="shared" si="24"/>
        <v>1</v>
      </c>
      <c r="L204" s="488">
        <f t="shared" si="25"/>
        <v>1</v>
      </c>
      <c r="M204" s="488">
        <f>'16 Evaluacion y Segto POA 2020'!AS20</f>
        <v>1</v>
      </c>
      <c r="N204" s="488" t="str">
        <f>'Rango en indicadores'!G99</f>
        <v>Mayor o igual A:</v>
      </c>
      <c r="O204" s="476">
        <f>'Rango en indicadores'!H99</f>
        <v>90</v>
      </c>
      <c r="P204" s="488" t="str">
        <f>'Rango en indicadores'!I99</f>
        <v>Desde (&gt;):</v>
      </c>
      <c r="Q204" s="476">
        <f>'Rango en indicadores'!J99</f>
        <v>69</v>
      </c>
      <c r="R204" s="488" t="str">
        <f>'Rango en indicadores'!K99</f>
        <v>Hasta (&lt;):</v>
      </c>
      <c r="S204" s="476">
        <f>'Rango en indicadores'!L99</f>
        <v>90</v>
      </c>
      <c r="T204" s="488" t="str">
        <f>'Rango en indicadores'!M99</f>
        <v>Menor o Igual A:</v>
      </c>
      <c r="U204" s="476">
        <f>'Rango en indicadores'!N99</f>
        <v>69</v>
      </c>
      <c r="V204" s="478" t="s">
        <v>765</v>
      </c>
    </row>
    <row r="205" spans="2:22" ht="15.75">
      <c r="C205" s="612" t="s">
        <v>602</v>
      </c>
      <c r="D205" s="613"/>
      <c r="E205" s="613"/>
      <c r="F205" s="613"/>
      <c r="G205" s="613"/>
      <c r="H205" s="613"/>
      <c r="I205" s="613"/>
      <c r="J205" s="614"/>
      <c r="K205" s="484">
        <f>IFERROR(AVERAGE(K197:K204),0)</f>
        <v>1</v>
      </c>
      <c r="L205" s="484">
        <f>IFERROR(AVERAGE(L197:L204),0)</f>
        <v>1</v>
      </c>
      <c r="M205" s="484">
        <f>IFERROR(AVERAGE(M197:M204),0)</f>
        <v>1</v>
      </c>
      <c r="N205" s="495"/>
      <c r="O205" s="495"/>
      <c r="P205" s="495"/>
      <c r="Q205" s="495"/>
      <c r="R205" s="495"/>
      <c r="S205" s="495"/>
      <c r="T205" s="495"/>
      <c r="U205" s="495"/>
      <c r="V205" s="485"/>
    </row>
    <row r="206" spans="2:22" s="466" customFormat="1">
      <c r="D206" s="467"/>
      <c r="V206" s="468"/>
    </row>
    <row r="207" spans="2:22">
      <c r="E207" s="432"/>
    </row>
    <row r="208" spans="2:22"/>
    <row r="209" spans="5:5">
      <c r="E209" s="432"/>
    </row>
    <row r="210" spans="5:5">
      <c r="E210" s="432"/>
    </row>
    <row r="211" spans="5:5">
      <c r="E211" s="432"/>
    </row>
    <row r="212" spans="5:5">
      <c r="E212" s="432"/>
    </row>
    <row r="213" spans="5:5">
      <c r="E213" s="432"/>
    </row>
    <row r="214" spans="5:5">
      <c r="E214" s="432"/>
    </row>
    <row r="215" spans="5:5">
      <c r="E215" s="432"/>
    </row>
    <row r="216" spans="5:5"/>
    <row r="217" spans="5:5"/>
    <row r="218" spans="5:5"/>
    <row r="219" spans="5:5"/>
    <row r="220" spans="5:5"/>
    <row r="221" spans="5:5"/>
    <row r="222" spans="5:5"/>
    <row r="223" spans="5:5"/>
    <row r="224" spans="5:5"/>
    <row r="225"/>
    <row r="226"/>
    <row r="227"/>
    <row r="228"/>
    <row r="229"/>
    <row r="230"/>
    <row r="231"/>
    <row r="232"/>
    <row r="233"/>
    <row r="234"/>
    <row r="235"/>
    <row r="236"/>
    <row r="237"/>
    <row r="238"/>
    <row r="239"/>
    <row r="240"/>
    <row r="241"/>
    <row r="242"/>
    <row r="243"/>
    <row r="244"/>
    <row r="245"/>
    <row r="246"/>
    <row r="247"/>
    <row r="248"/>
    <row r="249"/>
    <row r="250"/>
    <row r="251"/>
    <row r="252"/>
  </sheetData>
  <sheetProtection algorithmName="SHA-512" hashValue="N1KmUTSBP29gtiMuVMXiS/wPrUd6gEDXNgDgZ2PCX+RSeF1zv3FG9fuhrDi3Ep7kaSwpEaH+0kv3q3N8e3g4Vg==" saltValue="ZSpDv/w+XX1cyfboNpfvZA==" spinCount="100000" sheet="1" objects="1" scenarios="1"/>
  <mergeCells count="219">
    <mergeCell ref="H127:H128"/>
    <mergeCell ref="J127:J128"/>
    <mergeCell ref="E186:G186"/>
    <mergeCell ref="E195:G195"/>
    <mergeCell ref="C205:J205"/>
    <mergeCell ref="C192:J192"/>
    <mergeCell ref="C183:J183"/>
    <mergeCell ref="I145:I146"/>
    <mergeCell ref="E127:G127"/>
    <mergeCell ref="C142:J142"/>
    <mergeCell ref="I156:I157"/>
    <mergeCell ref="I162:I163"/>
    <mergeCell ref="I168:I169"/>
    <mergeCell ref="I176:I177"/>
    <mergeCell ref="I186:I187"/>
    <mergeCell ref="I195:I196"/>
    <mergeCell ref="E145:G145"/>
    <mergeCell ref="I127:I128"/>
    <mergeCell ref="C153:J153"/>
    <mergeCell ref="J168:J169"/>
    <mergeCell ref="C70:J70"/>
    <mergeCell ref="E73:G73"/>
    <mergeCell ref="C78:J78"/>
    <mergeCell ref="E81:G81"/>
    <mergeCell ref="C104:J104"/>
    <mergeCell ref="E107:G107"/>
    <mergeCell ref="E118:G118"/>
    <mergeCell ref="C124:J124"/>
    <mergeCell ref="I63:I64"/>
    <mergeCell ref="I73:I74"/>
    <mergeCell ref="I81:I82"/>
    <mergeCell ref="I107:I108"/>
    <mergeCell ref="I118:I119"/>
    <mergeCell ref="K195:M195"/>
    <mergeCell ref="V195:V196"/>
    <mergeCell ref="C2:M2"/>
    <mergeCell ref="C195:C196"/>
    <mergeCell ref="D195:D196"/>
    <mergeCell ref="H195:H196"/>
    <mergeCell ref="J195:J196"/>
    <mergeCell ref="K176:M176"/>
    <mergeCell ref="V176:V177"/>
    <mergeCell ref="C186:C187"/>
    <mergeCell ref="D186:D187"/>
    <mergeCell ref="H186:H187"/>
    <mergeCell ref="J186:J187"/>
    <mergeCell ref="K186:M186"/>
    <mergeCell ref="V186:V187"/>
    <mergeCell ref="C176:C177"/>
    <mergeCell ref="D176:D177"/>
    <mergeCell ref="H176:H177"/>
    <mergeCell ref="J176:J177"/>
    <mergeCell ref="K162:M162"/>
    <mergeCell ref="V162:V163"/>
    <mergeCell ref="C168:C169"/>
    <mergeCell ref="D168:D169"/>
    <mergeCell ref="H168:H169"/>
    <mergeCell ref="V168:V169"/>
    <mergeCell ref="C173:J173"/>
    <mergeCell ref="E176:G176"/>
    <mergeCell ref="C162:C163"/>
    <mergeCell ref="D162:D163"/>
    <mergeCell ref="H162:H163"/>
    <mergeCell ref="J162:J163"/>
    <mergeCell ref="K145:M145"/>
    <mergeCell ref="V145:V146"/>
    <mergeCell ref="C156:C157"/>
    <mergeCell ref="D156:D157"/>
    <mergeCell ref="H156:H157"/>
    <mergeCell ref="J156:J157"/>
    <mergeCell ref="K156:M156"/>
    <mergeCell ref="V156:V157"/>
    <mergeCell ref="C145:C146"/>
    <mergeCell ref="D145:D146"/>
    <mergeCell ref="H145:H146"/>
    <mergeCell ref="J145:J146"/>
    <mergeCell ref="N156:U156"/>
    <mergeCell ref="N157:O157"/>
    <mergeCell ref="P157:S157"/>
    <mergeCell ref="C159:J159"/>
    <mergeCell ref="C165:J165"/>
    <mergeCell ref="V127:V128"/>
    <mergeCell ref="N118:U118"/>
    <mergeCell ref="N119:O119"/>
    <mergeCell ref="P119:S119"/>
    <mergeCell ref="T119:U119"/>
    <mergeCell ref="N127:U127"/>
    <mergeCell ref="N128:O128"/>
    <mergeCell ref="P128:S128"/>
    <mergeCell ref="T128:U128"/>
    <mergeCell ref="V107:V108"/>
    <mergeCell ref="N81:U81"/>
    <mergeCell ref="N82:O82"/>
    <mergeCell ref="P82:S82"/>
    <mergeCell ref="T82:U82"/>
    <mergeCell ref="C85:C86"/>
    <mergeCell ref="C88:C90"/>
    <mergeCell ref="C115:H115"/>
    <mergeCell ref="C118:C119"/>
    <mergeCell ref="D118:D119"/>
    <mergeCell ref="H118:H119"/>
    <mergeCell ref="J118:J119"/>
    <mergeCell ref="K118:M118"/>
    <mergeCell ref="V118:V119"/>
    <mergeCell ref="V73:V74"/>
    <mergeCell ref="C81:C82"/>
    <mergeCell ref="D81:D82"/>
    <mergeCell ref="H81:H82"/>
    <mergeCell ref="J81:J82"/>
    <mergeCell ref="K81:M81"/>
    <mergeCell ref="V81:V82"/>
    <mergeCell ref="C73:C74"/>
    <mergeCell ref="D73:D74"/>
    <mergeCell ref="H73:H74"/>
    <mergeCell ref="K73:M73"/>
    <mergeCell ref="V52:V53"/>
    <mergeCell ref="C63:C64"/>
    <mergeCell ref="D63:D64"/>
    <mergeCell ref="H63:H64"/>
    <mergeCell ref="J63:J64"/>
    <mergeCell ref="K63:M63"/>
    <mergeCell ref="V63:V64"/>
    <mergeCell ref="N52:U52"/>
    <mergeCell ref="N53:O53"/>
    <mergeCell ref="P53:S53"/>
    <mergeCell ref="T53:U53"/>
    <mergeCell ref="N63:U63"/>
    <mergeCell ref="N64:O64"/>
    <mergeCell ref="P64:S64"/>
    <mergeCell ref="T64:U64"/>
    <mergeCell ref="C60:J60"/>
    <mergeCell ref="E63:G63"/>
    <mergeCell ref="V33:V34"/>
    <mergeCell ref="C44:C45"/>
    <mergeCell ref="D44:D45"/>
    <mergeCell ref="H44:H45"/>
    <mergeCell ref="J44:J45"/>
    <mergeCell ref="K44:M44"/>
    <mergeCell ref="V44:V45"/>
    <mergeCell ref="C33:C34"/>
    <mergeCell ref="D33:D34"/>
    <mergeCell ref="H33:H34"/>
    <mergeCell ref="J33:J34"/>
    <mergeCell ref="K33:M33"/>
    <mergeCell ref="N34:O34"/>
    <mergeCell ref="P34:S34"/>
    <mergeCell ref="T34:U34"/>
    <mergeCell ref="N33:U33"/>
    <mergeCell ref="N44:U44"/>
    <mergeCell ref="N45:O45"/>
    <mergeCell ref="P45:S45"/>
    <mergeCell ref="T45:U45"/>
    <mergeCell ref="E33:G33"/>
    <mergeCell ref="C4:M4"/>
    <mergeCell ref="C3:M3"/>
    <mergeCell ref="C5:M5"/>
    <mergeCell ref="C7:C8"/>
    <mergeCell ref="D7:D8"/>
    <mergeCell ref="C52:C53"/>
    <mergeCell ref="D52:D53"/>
    <mergeCell ref="H52:H53"/>
    <mergeCell ref="J52:J53"/>
    <mergeCell ref="I33:I34"/>
    <mergeCell ref="E44:G44"/>
    <mergeCell ref="I44:I45"/>
    <mergeCell ref="C41:J41"/>
    <mergeCell ref="C49:J49"/>
    <mergeCell ref="E52:G52"/>
    <mergeCell ref="I52:I53"/>
    <mergeCell ref="K52:M52"/>
    <mergeCell ref="E7:G7"/>
    <mergeCell ref="N187:O187"/>
    <mergeCell ref="P187:S187"/>
    <mergeCell ref="T187:U187"/>
    <mergeCell ref="N195:U195"/>
    <mergeCell ref="N196:O196"/>
    <mergeCell ref="P196:S196"/>
    <mergeCell ref="T196:U196"/>
    <mergeCell ref="N107:U107"/>
    <mergeCell ref="N108:O108"/>
    <mergeCell ref="P108:S108"/>
    <mergeCell ref="T108:U108"/>
    <mergeCell ref="N145:U145"/>
    <mergeCell ref="N146:O146"/>
    <mergeCell ref="P146:S146"/>
    <mergeCell ref="T146:U146"/>
    <mergeCell ref="N168:U168"/>
    <mergeCell ref="N169:O169"/>
    <mergeCell ref="P169:S169"/>
    <mergeCell ref="T169:U169"/>
    <mergeCell ref="N186:U186"/>
    <mergeCell ref="T157:U157"/>
    <mergeCell ref="N162:U162"/>
    <mergeCell ref="N163:O163"/>
    <mergeCell ref="P163:S163"/>
    <mergeCell ref="B88:B90"/>
    <mergeCell ref="B85:B86"/>
    <mergeCell ref="N176:U176"/>
    <mergeCell ref="N177:O177"/>
    <mergeCell ref="P177:S177"/>
    <mergeCell ref="T177:U177"/>
    <mergeCell ref="J73:J74"/>
    <mergeCell ref="N73:U73"/>
    <mergeCell ref="N74:O74"/>
    <mergeCell ref="P74:S74"/>
    <mergeCell ref="T74:U74"/>
    <mergeCell ref="T163:U163"/>
    <mergeCell ref="C107:C108"/>
    <mergeCell ref="D107:D108"/>
    <mergeCell ref="H107:H108"/>
    <mergeCell ref="J107:J108"/>
    <mergeCell ref="K107:M107"/>
    <mergeCell ref="C127:C128"/>
    <mergeCell ref="D127:D128"/>
    <mergeCell ref="K127:M127"/>
    <mergeCell ref="K168:M168"/>
    <mergeCell ref="E168:G168"/>
    <mergeCell ref="E162:G162"/>
    <mergeCell ref="E156:G156"/>
  </mergeCells>
  <conditionalFormatting sqref="K46:M48">
    <cfRule type="cellIs" dxfId="133" priority="135" operator="equal">
      <formula>"No programado"</formula>
    </cfRule>
    <cfRule type="cellIs" dxfId="132" priority="136" operator="between">
      <formula>0.600000000001</formula>
      <formula>0.89999999999999</formula>
    </cfRule>
    <cfRule type="cellIs" dxfId="131" priority="137" operator="lessThanOrEqual">
      <formula>0.6</formula>
    </cfRule>
    <cfRule type="cellIs" dxfId="130" priority="138" operator="greaterThanOrEqual">
      <formula>0.9</formula>
    </cfRule>
  </conditionalFormatting>
  <conditionalFormatting sqref="K54:M59">
    <cfRule type="cellIs" dxfId="129" priority="128" operator="equal">
      <formula>"No programado"</formula>
    </cfRule>
    <cfRule type="cellIs" dxfId="128" priority="129" operator="between">
      <formula>0.690000000001</formula>
      <formula>0.899999999999</formula>
    </cfRule>
    <cfRule type="cellIs" dxfId="127" priority="130" operator="lessThanOrEqual">
      <formula>0.69</formula>
    </cfRule>
    <cfRule type="cellIs" dxfId="126" priority="131" operator="greaterThanOrEqual">
      <formula>0.9</formula>
    </cfRule>
  </conditionalFormatting>
  <conditionalFormatting sqref="K75:M77">
    <cfRule type="cellIs" dxfId="125" priority="120" operator="equal">
      <formula>"No programado"</formula>
    </cfRule>
    <cfRule type="cellIs" dxfId="124" priority="121" operator="between">
      <formula>0.7000000000001</formula>
      <formula>0.8999999999999</formula>
    </cfRule>
    <cfRule type="cellIs" dxfId="123" priority="122" operator="lessThan">
      <formula>0.7</formula>
    </cfRule>
    <cfRule type="cellIs" dxfId="122" priority="123" operator="greaterThanOrEqual">
      <formula>0.9</formula>
    </cfRule>
  </conditionalFormatting>
  <conditionalFormatting sqref="K120:M123">
    <cfRule type="cellIs" dxfId="121" priority="81" operator="equal">
      <formula>"No programado"</formula>
    </cfRule>
    <cfRule type="cellIs" dxfId="120" priority="82" operator="between">
      <formula>0.690001</formula>
      <formula>0.899999999</formula>
    </cfRule>
    <cfRule type="cellIs" dxfId="119" priority="83" operator="lessThanOrEqual">
      <formula>0.69</formula>
    </cfRule>
    <cfRule type="cellIs" dxfId="118" priority="84" operator="greaterThanOrEqual">
      <formula>0.9</formula>
    </cfRule>
  </conditionalFormatting>
  <conditionalFormatting sqref="K129:M129 K139 M130 M139 L130:L141">
    <cfRule type="cellIs" dxfId="117" priority="73" operator="equal">
      <formula>"No programado"</formula>
    </cfRule>
  </conditionalFormatting>
  <conditionalFormatting sqref="K158:M158">
    <cfRule type="cellIs" dxfId="116" priority="53" operator="equal">
      <formula>"No programado"</formula>
    </cfRule>
    <cfRule type="cellIs" dxfId="115" priority="54" operator="between">
      <formula>0.950001</formula>
      <formula>0.9899999</formula>
    </cfRule>
    <cfRule type="cellIs" dxfId="114" priority="55" operator="lessThanOrEqual">
      <formula>0.95</formula>
    </cfRule>
    <cfRule type="cellIs" dxfId="113" priority="56" operator="greaterThanOrEqual">
      <formula>0.99</formula>
    </cfRule>
  </conditionalFormatting>
  <conditionalFormatting sqref="K178:M182">
    <cfRule type="cellIs" dxfId="112" priority="49" operator="equal">
      <formula>"No programado"</formula>
    </cfRule>
    <cfRule type="cellIs" dxfId="111" priority="50" operator="between">
      <formula>0.900001</formula>
      <formula>0.9999999</formula>
    </cfRule>
    <cfRule type="cellIs" dxfId="110" priority="51" operator="lessThanOrEqual">
      <formula>0.9</formula>
    </cfRule>
    <cfRule type="cellIs" dxfId="109" priority="52" operator="greaterThanOrEqual">
      <formula>100%</formula>
    </cfRule>
  </conditionalFormatting>
  <conditionalFormatting sqref="K188:M191">
    <cfRule type="cellIs" dxfId="108" priority="45" operator="equal">
      <formula>"No programado"</formula>
    </cfRule>
    <cfRule type="cellIs" dxfId="107" priority="46" operator="between">
      <formula>0.690001</formula>
      <formula>0.899999</formula>
    </cfRule>
    <cfRule type="cellIs" dxfId="106" priority="47" operator="lessThanOrEqual">
      <formula>0.69</formula>
    </cfRule>
    <cfRule type="cellIs" dxfId="105" priority="48" operator="greaterThanOrEqual">
      <formula>0.9</formula>
    </cfRule>
  </conditionalFormatting>
  <conditionalFormatting sqref="K197:M204">
    <cfRule type="cellIs" dxfId="104" priority="41" operator="equal">
      <formula>"No programado"</formula>
    </cfRule>
    <cfRule type="cellIs" dxfId="103" priority="42" operator="between">
      <formula>0.690001</formula>
      <formula>0.899999</formula>
    </cfRule>
    <cfRule type="cellIs" dxfId="102" priority="43" operator="lessThanOrEqual">
      <formula>0.69</formula>
    </cfRule>
    <cfRule type="cellIs" dxfId="101" priority="44" operator="greaterThanOrEqual">
      <formula>0.9</formula>
    </cfRule>
  </conditionalFormatting>
  <conditionalFormatting sqref="K164:M164">
    <cfRule type="cellIs" dxfId="100" priority="37" operator="equal">
      <formula>"No programado"</formula>
    </cfRule>
    <cfRule type="cellIs" dxfId="99" priority="38" operator="between">
      <formula>0.900001</formula>
      <formula>0.9499999</formula>
    </cfRule>
    <cfRule type="cellIs" dxfId="98" priority="39" operator="lessThanOrEqual">
      <formula>0.9</formula>
    </cfRule>
    <cfRule type="cellIs" dxfId="97" priority="40" operator="greaterThanOrEqual">
      <formula>0.95</formula>
    </cfRule>
  </conditionalFormatting>
  <conditionalFormatting sqref="K35:M35">
    <cfRule type="cellIs" dxfId="96" priority="134" operator="equal">
      <formula>"No programado"</formula>
    </cfRule>
    <cfRule type="cellIs" dxfId="95" priority="145" operator="between">
      <formula>0.980000000000001</formula>
      <formula>0.99999999999999</formula>
    </cfRule>
    <cfRule type="cellIs" dxfId="94" priority="146" operator="lessThanOrEqual">
      <formula>0.98</formula>
    </cfRule>
    <cfRule type="cellIs" dxfId="93" priority="147" operator="greaterThanOrEqual">
      <formula>1</formula>
    </cfRule>
  </conditionalFormatting>
  <conditionalFormatting sqref="K36:M36">
    <cfRule type="cellIs" dxfId="92" priority="133" operator="equal">
      <formula>"No programado"</formula>
    </cfRule>
    <cfRule type="cellIs" dxfId="91" priority="139" operator="between">
      <formula>0.7000000000001</formula>
      <formula>0.949999999999999</formula>
    </cfRule>
    <cfRule type="cellIs" dxfId="90" priority="140" operator="lessThanOrEqual">
      <formula>0.7</formula>
    </cfRule>
    <cfRule type="cellIs" dxfId="89" priority="141" operator="greaterThanOrEqual">
      <formula>0.95</formula>
    </cfRule>
  </conditionalFormatting>
  <conditionalFormatting sqref="K37:M40">
    <cfRule type="cellIs" dxfId="88" priority="132" operator="equal">
      <formula>"No programado"</formula>
    </cfRule>
    <cfRule type="cellIs" dxfId="87" priority="142" operator="between">
      <formula>0.80000000000001</formula>
      <formula>0.899999999999999</formula>
    </cfRule>
    <cfRule type="cellIs" dxfId="86" priority="143" operator="lessThanOrEqual">
      <formula>0.8</formula>
    </cfRule>
    <cfRule type="cellIs" dxfId="85" priority="144" operator="greaterThanOrEqual">
      <formula>0.9</formula>
    </cfRule>
  </conditionalFormatting>
  <conditionalFormatting sqref="K65:M69">
    <cfRule type="cellIs" dxfId="84" priority="124" operator="equal">
      <formula>"No programado"</formula>
    </cfRule>
    <cfRule type="cellIs" dxfId="83" priority="125" operator="between">
      <formula>0.690000000001</formula>
      <formula>0.899999999999</formula>
    </cfRule>
    <cfRule type="cellIs" dxfId="82" priority="126" operator="lessThanOrEqual">
      <formula>0.69</formula>
    </cfRule>
    <cfRule type="cellIs" dxfId="81" priority="127" operator="greaterThanOrEqual">
      <formula>0.9</formula>
    </cfRule>
  </conditionalFormatting>
  <conditionalFormatting sqref="K85:M90">
    <cfRule type="cellIs" dxfId="80" priority="112" operator="equal">
      <formula>"No programado"</formula>
    </cfRule>
    <cfRule type="cellIs" dxfId="79" priority="113" operator="between">
      <formula>0.8</formula>
      <formula>0.9</formula>
    </cfRule>
    <cfRule type="cellIs" dxfId="78" priority="114" operator="lessThan">
      <formula>0.8</formula>
    </cfRule>
    <cfRule type="cellIs" dxfId="77" priority="115" operator="greaterThan">
      <formula>0.9</formula>
    </cfRule>
  </conditionalFormatting>
  <conditionalFormatting sqref="K91:M91">
    <cfRule type="cellIs" dxfId="76" priority="104" operator="equal">
      <formula>"No programado"</formula>
    </cfRule>
    <cfRule type="cellIs" dxfId="75" priority="105" operator="between">
      <formula>0.7</formula>
      <formula>0.8</formula>
    </cfRule>
    <cfRule type="cellIs" dxfId="74" priority="106" operator="lessThan">
      <formula>0.7</formula>
    </cfRule>
    <cfRule type="cellIs" dxfId="73" priority="107" operator="greaterThan">
      <formula>0.8</formula>
    </cfRule>
  </conditionalFormatting>
  <conditionalFormatting sqref="K92:M92">
    <cfRule type="cellIs" dxfId="72" priority="108" operator="equal">
      <formula>"No programado"</formula>
    </cfRule>
    <cfRule type="cellIs" dxfId="71" priority="109" operator="between">
      <formula>0.8</formula>
      <formula>0.9</formula>
    </cfRule>
    <cfRule type="cellIs" dxfId="70" priority="110" operator="lessThan">
      <formula>0.8</formula>
    </cfRule>
    <cfRule type="cellIs" dxfId="69" priority="111" operator="greaterThan">
      <formula>0.9</formula>
    </cfRule>
  </conditionalFormatting>
  <conditionalFormatting sqref="K93:M94">
    <cfRule type="cellIs" dxfId="68" priority="97" operator="equal">
      <formula>"No programado"</formula>
    </cfRule>
    <cfRule type="cellIs" dxfId="67" priority="98" operator="between">
      <formula>0.9900000001</formula>
      <formula>0.9999999999</formula>
    </cfRule>
    <cfRule type="cellIs" dxfId="66" priority="99" operator="lessThanOrEqual">
      <formula>0.99</formula>
    </cfRule>
    <cfRule type="cellIs" dxfId="65" priority="100" operator="greaterThanOrEqual">
      <formula>1</formula>
    </cfRule>
  </conditionalFormatting>
  <conditionalFormatting sqref="K95:M96">
    <cfRule type="cellIs" dxfId="64" priority="93" operator="equal">
      <formula>"No programado"</formula>
    </cfRule>
    <cfRule type="cellIs" dxfId="63" priority="94" operator="between">
      <formula>0.85</formula>
      <formula>0.95</formula>
    </cfRule>
    <cfRule type="cellIs" dxfId="62" priority="95" operator="lessThan">
      <formula>0.85</formula>
    </cfRule>
    <cfRule type="cellIs" dxfId="61" priority="96" operator="greaterThan">
      <formula>0.95</formula>
    </cfRule>
  </conditionalFormatting>
  <conditionalFormatting sqref="K97:M103">
    <cfRule type="cellIs" dxfId="60" priority="89" operator="equal">
      <formula>"No programado"</formula>
    </cfRule>
    <cfRule type="cellIs" dxfId="59" priority="90" operator="between">
      <formula>0.7</formula>
      <formula>0.9</formula>
    </cfRule>
    <cfRule type="cellIs" dxfId="58" priority="91" operator="lessThan">
      <formula>0.7</formula>
    </cfRule>
    <cfRule type="cellIs" dxfId="57" priority="92" operator="greaterThan">
      <formula>0.9</formula>
    </cfRule>
  </conditionalFormatting>
  <conditionalFormatting sqref="K83:M84">
    <cfRule type="cellIs" dxfId="56" priority="13" operator="equal">
      <formula>"No Programado"</formula>
    </cfRule>
    <cfRule type="cellIs" dxfId="55" priority="14" operator="lessThan">
      <formula>0.85</formula>
    </cfRule>
    <cfRule type="cellIs" dxfId="54" priority="15" operator="between">
      <formula>0.85</formula>
      <formula>0.95</formula>
    </cfRule>
    <cfRule type="cellIs" dxfId="53" priority="16" operator="greaterThan">
      <formula>0.95</formula>
    </cfRule>
  </conditionalFormatting>
  <conditionalFormatting sqref="K109:M111">
    <cfRule type="cellIs" dxfId="52" priority="85" operator="equal">
      <formula>"No programado"</formula>
    </cfRule>
    <cfRule type="cellIs" dxfId="51" priority="86" operator="between">
      <formula>0.69</formula>
      <formula>0.9</formula>
    </cfRule>
    <cfRule type="cellIs" dxfId="50" priority="87" operator="lessThan">
      <formula>0.69</formula>
    </cfRule>
    <cfRule type="cellIs" dxfId="49" priority="88" operator="greaterThan">
      <formula>0.9</formula>
    </cfRule>
  </conditionalFormatting>
  <conditionalFormatting sqref="K112:M114">
    <cfRule type="cellIs" dxfId="48" priority="5" operator="between">
      <formula>0.7</formula>
      <formula>0.9</formula>
    </cfRule>
    <cfRule type="cellIs" dxfId="47" priority="6" operator="lessThan">
      <formula>0.7</formula>
    </cfRule>
    <cfRule type="cellIs" dxfId="46" priority="7" operator="greaterThan">
      <formula>0.9</formula>
    </cfRule>
    <cfRule type="cellIs" dxfId="45" priority="8" operator="equal">
      <formula>"No Programado"</formula>
    </cfRule>
  </conditionalFormatting>
  <conditionalFormatting sqref="K129:M129 K139:M139">
    <cfRule type="cellIs" dxfId="44" priority="74" operator="between">
      <formula>0.700001</formula>
      <formula>0.899999</formula>
    </cfRule>
    <cfRule type="cellIs" dxfId="43" priority="75" operator="lessThanOrEqual">
      <formula>0.7</formula>
    </cfRule>
    <cfRule type="cellIs" dxfId="42" priority="76" operator="greaterThanOrEqual">
      <formula>0.9</formula>
    </cfRule>
  </conditionalFormatting>
  <conditionalFormatting sqref="K130:M130">
    <cfRule type="cellIs" dxfId="41" priority="69" operator="equal">
      <formula>"No programado"</formula>
    </cfRule>
    <cfRule type="cellIs" dxfId="40" priority="70" operator="between">
      <formula>0.8</formula>
      <formula>0.9</formula>
    </cfRule>
    <cfRule type="cellIs" dxfId="39" priority="71" operator="lessThan">
      <formula>0.8</formula>
    </cfRule>
    <cfRule type="cellIs" dxfId="38" priority="72" operator="greaterThan">
      <formula>0.9</formula>
    </cfRule>
  </conditionalFormatting>
  <conditionalFormatting sqref="K140:M141 K131:M133">
    <cfRule type="cellIs" dxfId="37" priority="77" operator="equal">
      <formula>"No programado"</formula>
    </cfRule>
    <cfRule type="cellIs" dxfId="36" priority="78" operator="between">
      <formula>0.800001</formula>
      <formula>0.8999999</formula>
    </cfRule>
    <cfRule type="cellIs" dxfId="35" priority="79" operator="lessThanOrEqual">
      <formula>0.8</formula>
    </cfRule>
    <cfRule type="cellIs" dxfId="34" priority="80" operator="greaterThanOrEqual">
      <formula>0.9</formula>
    </cfRule>
  </conditionalFormatting>
  <conditionalFormatting sqref="K134:M134">
    <cfRule type="cellIs" dxfId="33" priority="65" operator="equal">
      <formula>"No programado"</formula>
    </cfRule>
    <cfRule type="cellIs" dxfId="32" priority="66" operator="between">
      <formula>0.970001</formula>
      <formula>0.999999</formula>
    </cfRule>
    <cfRule type="cellIs" dxfId="31" priority="67" operator="lessThanOrEqual">
      <formula>0.97</formula>
    </cfRule>
    <cfRule type="cellIs" dxfId="30" priority="68" operator="greaterThanOrEqual">
      <formula>1</formula>
    </cfRule>
  </conditionalFormatting>
  <conditionalFormatting sqref="K135:M138">
    <cfRule type="cellIs" dxfId="29" priority="61" operator="equal">
      <formula>"No programado"</formula>
    </cfRule>
    <cfRule type="cellIs" dxfId="28" priority="62" operator="between">
      <formula>0.690001</formula>
      <formula>0.8999999</formula>
    </cfRule>
    <cfRule type="cellIs" dxfId="27" priority="63" operator="lessThanOrEqual">
      <formula>0.69</formula>
    </cfRule>
    <cfRule type="cellIs" dxfId="26" priority="64" operator="greaterThanOrEqual">
      <formula>0.9</formula>
    </cfRule>
  </conditionalFormatting>
  <conditionalFormatting sqref="K147:M147 K148:K151 M148:M151 L148:L152">
    <cfRule type="cellIs" dxfId="25" priority="57" operator="equal">
      <formula>"No programado"</formula>
    </cfRule>
    <cfRule type="cellIs" dxfId="24" priority="58" operator="between">
      <formula>0.7000001</formula>
      <formula>0.8999999</formula>
    </cfRule>
    <cfRule type="cellIs" dxfId="23" priority="59" operator="lessThanOrEqual">
      <formula>0.7</formula>
    </cfRule>
    <cfRule type="cellIs" dxfId="22" priority="60" operator="greaterThanOrEqual">
      <formula>0.9</formula>
    </cfRule>
  </conditionalFormatting>
  <conditionalFormatting sqref="K152 M152">
    <cfRule type="cellIs" dxfId="21" priority="1" operator="between">
      <formula>0.70000000001</formula>
      <formula>0.999999999999</formula>
    </cfRule>
    <cfRule type="cellIs" dxfId="20" priority="2" operator="lessThanOrEqual">
      <formula>0.7</formula>
    </cfRule>
    <cfRule type="cellIs" dxfId="19" priority="3" operator="greaterThanOrEqual">
      <formula>1</formula>
    </cfRule>
    <cfRule type="cellIs" dxfId="18" priority="4" operator="equal">
      <formula>"No Programado"</formula>
    </cfRule>
  </conditionalFormatting>
  <conditionalFormatting sqref="K170:M170">
    <cfRule type="cellIs" dxfId="17" priority="21" operator="equal">
      <formula>"No programado"</formula>
    </cfRule>
    <cfRule type="cellIs" dxfId="16" priority="22" operator="between">
      <formula>0.950001</formula>
      <formula>0.999999</formula>
    </cfRule>
    <cfRule type="cellIs" dxfId="15" priority="23" operator="lessThanOrEqual">
      <formula>0.95</formula>
    </cfRule>
    <cfRule type="cellIs" dxfId="14" priority="24" operator="greaterThanOrEqual">
      <formula>1</formula>
    </cfRule>
  </conditionalFormatting>
  <conditionalFormatting sqref="K171:M172">
    <cfRule type="cellIs" dxfId="13" priority="29" operator="equal">
      <formula>"No programado"</formula>
    </cfRule>
    <cfRule type="cellIs" dxfId="12" priority="30" operator="between">
      <formula>0.790001</formula>
      <formula>0.89999</formula>
    </cfRule>
    <cfRule type="cellIs" dxfId="11" priority="31" operator="lessThanOrEqual">
      <formula>0.79</formula>
    </cfRule>
    <cfRule type="cellIs" dxfId="10" priority="32" operator="greaterThanOrEqual">
      <formula>0.9</formula>
    </cfRule>
  </conditionalFormatting>
  <pageMargins left="0.7" right="0.7" top="0.75" bottom="0.75" header="0.3" footer="0.3"/>
  <pageSetup paperSize="9" scale="23"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S31"/>
  <sheetViews>
    <sheetView showGridLines="0" topLeftCell="A16" zoomScale="55" zoomScaleNormal="55" workbookViewId="0">
      <selection activeCell="H26" sqref="H26"/>
    </sheetView>
  </sheetViews>
  <sheetFormatPr baseColWidth="10" defaultColWidth="17.28515625" defaultRowHeight="15" customHeight="1"/>
  <cols>
    <col min="1" max="1" width="4.28515625" style="89" customWidth="1"/>
    <col min="2" max="2" width="28.42578125" style="86" customWidth="1"/>
    <col min="3" max="3" width="34.85546875" style="86" customWidth="1"/>
    <col min="4" max="4" width="21.42578125" style="87" customWidth="1"/>
    <col min="5" max="5" width="28.7109375" style="86" customWidth="1"/>
    <col min="6" max="6" width="24.140625" style="86" customWidth="1"/>
    <col min="7" max="7" width="24.5703125" style="86" customWidth="1"/>
    <col min="8" max="8" width="28.5703125" style="86" customWidth="1"/>
    <col min="9" max="9" width="50" style="86" customWidth="1"/>
    <col min="10" max="10" width="28.5703125" style="88" customWidth="1"/>
    <col min="11" max="11" width="16.140625" style="89" customWidth="1"/>
    <col min="12" max="12" width="14.28515625" style="89" customWidth="1"/>
    <col min="13" max="13" width="15.42578125" style="89" bestFit="1" customWidth="1"/>
    <col min="14" max="14" width="14.28515625" style="89" customWidth="1"/>
    <col min="15" max="15" width="15.42578125" style="89" bestFit="1" customWidth="1"/>
    <col min="16" max="16" width="14.28515625" style="89" customWidth="1"/>
    <col min="17" max="17" width="15.42578125" style="89" bestFit="1" customWidth="1"/>
    <col min="18" max="18" width="14.28515625" style="89" customWidth="1"/>
    <col min="19" max="19" width="15.42578125" style="89" bestFit="1" customWidth="1"/>
    <col min="20" max="20" width="14.28515625" style="89" customWidth="1"/>
    <col min="21" max="21" width="15.42578125" style="89" bestFit="1" customWidth="1"/>
    <col min="22" max="22" width="14.28515625" style="89" customWidth="1"/>
    <col min="23" max="23" width="15.42578125" style="89" bestFit="1" customWidth="1"/>
    <col min="24" max="24" width="14.28515625" style="89" customWidth="1"/>
    <col min="25" max="25" width="15.42578125" style="89" bestFit="1" customWidth="1"/>
    <col min="26" max="26" width="13.140625" style="89" bestFit="1" customWidth="1"/>
    <col min="27" max="27" width="15.42578125" style="89" bestFit="1" customWidth="1"/>
    <col min="28" max="28" width="14.28515625" style="89" customWidth="1"/>
    <col min="29" max="29" width="15.42578125" style="89" bestFit="1" customWidth="1"/>
    <col min="30" max="30" width="14.28515625" style="89" customWidth="1"/>
    <col min="31" max="31" width="15.42578125" style="89" bestFit="1" customWidth="1"/>
    <col min="32" max="32" width="14.28515625" style="89" customWidth="1"/>
    <col min="33" max="33" width="15.42578125" style="89" bestFit="1" customWidth="1"/>
    <col min="34" max="34" width="14.28515625" style="89" customWidth="1"/>
    <col min="35" max="35" width="15.42578125" style="89" bestFit="1" customWidth="1"/>
    <col min="36" max="36" width="14.28515625" style="89" customWidth="1"/>
    <col min="37" max="37" width="15.42578125" style="89" bestFit="1" customWidth="1"/>
    <col min="38" max="38" width="14.28515625" style="89" customWidth="1"/>
    <col min="39" max="39" width="15.42578125" style="89" bestFit="1" customWidth="1"/>
    <col min="40" max="40" width="14.28515625" style="89" customWidth="1"/>
    <col min="41" max="41" width="15.42578125" style="89" bestFit="1" customWidth="1"/>
    <col min="42" max="42" width="14.28515625" style="89" customWidth="1"/>
    <col min="43" max="43" width="17.42578125" style="89" customWidth="1"/>
    <col min="44" max="44" width="17.28515625" style="89" customWidth="1"/>
    <col min="45" max="45" width="22" style="89" customWidth="1"/>
    <col min="46" max="16384" width="17.28515625" style="89"/>
  </cols>
  <sheetData>
    <row r="1" spans="2:45" ht="18" thickBot="1"/>
    <row r="2" spans="2:45" ht="15.75">
      <c r="B2" s="658"/>
      <c r="C2" s="661" t="s">
        <v>59</v>
      </c>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3"/>
      <c r="AR2" s="670" t="s">
        <v>39</v>
      </c>
      <c r="AS2" s="671"/>
    </row>
    <row r="3" spans="2:45" ht="15.75">
      <c r="B3" s="659"/>
      <c r="C3" s="664"/>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6"/>
      <c r="AR3" s="90" t="s">
        <v>36</v>
      </c>
      <c r="AS3" s="91" t="s">
        <v>37</v>
      </c>
    </row>
    <row r="4" spans="2:45">
      <c r="B4" s="659"/>
      <c r="C4" s="664"/>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6"/>
      <c r="AR4" s="92">
        <v>3</v>
      </c>
      <c r="AS4" s="93" t="s">
        <v>102</v>
      </c>
    </row>
    <row r="5" spans="2:45" ht="15.75">
      <c r="B5" s="659"/>
      <c r="C5" s="664"/>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c r="AR5" s="672" t="s">
        <v>38</v>
      </c>
      <c r="AS5" s="673"/>
    </row>
    <row r="6" spans="2:45" ht="15.75" thickBot="1">
      <c r="B6" s="660"/>
      <c r="C6" s="667"/>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c r="AR6" s="674" t="s">
        <v>100</v>
      </c>
      <c r="AS6" s="675"/>
    </row>
    <row r="7" spans="2:45" ht="17.25">
      <c r="B7" s="94"/>
      <c r="C7" s="94"/>
      <c r="D7" s="95"/>
      <c r="E7" s="94"/>
      <c r="F7" s="94"/>
      <c r="G7" s="94"/>
      <c r="H7" s="94"/>
      <c r="I7" s="94"/>
      <c r="J7" s="96"/>
      <c r="AR7" s="656"/>
      <c r="AS7" s="657"/>
    </row>
    <row r="8" spans="2:45" ht="13.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5.75">
      <c r="B9" s="651" t="s">
        <v>35</v>
      </c>
      <c r="C9" s="651" t="s">
        <v>34</v>
      </c>
      <c r="D9" s="651" t="s">
        <v>63</v>
      </c>
      <c r="E9" s="651" t="s">
        <v>66</v>
      </c>
      <c r="F9" s="651" t="s">
        <v>67</v>
      </c>
      <c r="G9" s="651" t="s">
        <v>31</v>
      </c>
      <c r="H9" s="651" t="s">
        <v>25</v>
      </c>
      <c r="I9" s="651" t="s">
        <v>95</v>
      </c>
      <c r="J9" s="651"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654" t="s">
        <v>6</v>
      </c>
      <c r="AR9" s="655" t="s">
        <v>7</v>
      </c>
      <c r="AS9" s="655" t="s">
        <v>24</v>
      </c>
    </row>
    <row r="10" spans="2:45" ht="15.75">
      <c r="B10" s="651"/>
      <c r="C10" s="651"/>
      <c r="D10" s="651"/>
      <c r="E10" s="651"/>
      <c r="F10" s="651"/>
      <c r="G10" s="651"/>
      <c r="H10" s="651"/>
      <c r="I10" s="651"/>
      <c r="J10" s="651"/>
      <c r="K10" s="640" t="s">
        <v>26</v>
      </c>
      <c r="L10" s="640"/>
      <c r="M10" s="640"/>
      <c r="N10" s="640"/>
      <c r="O10" s="640"/>
      <c r="P10" s="640"/>
      <c r="Q10" s="640"/>
      <c r="R10" s="640"/>
      <c r="S10" s="640" t="s">
        <v>27</v>
      </c>
      <c r="T10" s="640"/>
      <c r="U10" s="640"/>
      <c r="V10" s="640"/>
      <c r="W10" s="640"/>
      <c r="X10" s="640"/>
      <c r="Y10" s="640"/>
      <c r="Z10" s="640"/>
      <c r="AA10" s="640" t="s">
        <v>28</v>
      </c>
      <c r="AB10" s="640"/>
      <c r="AC10" s="640"/>
      <c r="AD10" s="640"/>
      <c r="AE10" s="640"/>
      <c r="AF10" s="640"/>
      <c r="AG10" s="640"/>
      <c r="AH10" s="640"/>
      <c r="AI10" s="640" t="s">
        <v>29</v>
      </c>
      <c r="AJ10" s="640"/>
      <c r="AK10" s="640"/>
      <c r="AL10" s="640"/>
      <c r="AM10" s="640"/>
      <c r="AN10" s="640"/>
      <c r="AO10" s="640"/>
      <c r="AP10" s="640"/>
      <c r="AQ10" s="654"/>
      <c r="AR10" s="655"/>
      <c r="AS10" s="655"/>
    </row>
    <row r="11" spans="2:45" ht="15.75" customHeight="1">
      <c r="B11" s="651"/>
      <c r="C11" s="651"/>
      <c r="D11" s="651"/>
      <c r="E11" s="651"/>
      <c r="F11" s="651"/>
      <c r="G11" s="651"/>
      <c r="H11" s="651"/>
      <c r="I11" s="651"/>
      <c r="J11" s="651"/>
      <c r="K11" s="640" t="s">
        <v>8</v>
      </c>
      <c r="L11" s="640"/>
      <c r="M11" s="640" t="s">
        <v>9</v>
      </c>
      <c r="N11" s="640"/>
      <c r="O11" s="646" t="s">
        <v>10</v>
      </c>
      <c r="P11" s="647"/>
      <c r="Q11" s="630" t="s">
        <v>11</v>
      </c>
      <c r="R11" s="631"/>
      <c r="S11" s="640" t="s">
        <v>33</v>
      </c>
      <c r="T11" s="640"/>
      <c r="U11" s="640" t="s">
        <v>12</v>
      </c>
      <c r="V11" s="640"/>
      <c r="W11" s="640" t="s">
        <v>13</v>
      </c>
      <c r="X11" s="640"/>
      <c r="Y11" s="630" t="s">
        <v>11</v>
      </c>
      <c r="Z11" s="631"/>
      <c r="AA11" s="640" t="s">
        <v>14</v>
      </c>
      <c r="AB11" s="640"/>
      <c r="AC11" s="640" t="s">
        <v>15</v>
      </c>
      <c r="AD11" s="640"/>
      <c r="AE11" s="640" t="s">
        <v>16</v>
      </c>
      <c r="AF11" s="640"/>
      <c r="AG11" s="630" t="s">
        <v>11</v>
      </c>
      <c r="AH11" s="631"/>
      <c r="AI11" s="640" t="s">
        <v>17</v>
      </c>
      <c r="AJ11" s="640"/>
      <c r="AK11" s="640" t="s">
        <v>18</v>
      </c>
      <c r="AL11" s="640"/>
      <c r="AM11" s="640" t="s">
        <v>19</v>
      </c>
      <c r="AN11" s="640"/>
      <c r="AO11" s="630" t="s">
        <v>11</v>
      </c>
      <c r="AP11" s="631"/>
      <c r="AQ11" s="654"/>
      <c r="AR11" s="655"/>
      <c r="AS11" s="655"/>
    </row>
    <row r="12" spans="2:45" ht="21.75" customHeight="1">
      <c r="B12" s="652"/>
      <c r="C12" s="652"/>
      <c r="D12" s="652"/>
      <c r="E12" s="652"/>
      <c r="F12" s="652"/>
      <c r="G12" s="652"/>
      <c r="H12" s="652"/>
      <c r="I12" s="652"/>
      <c r="J12" s="652"/>
      <c r="K12" s="22" t="s">
        <v>20</v>
      </c>
      <c r="L12" s="23" t="s">
        <v>21</v>
      </c>
      <c r="M12" s="22" t="s">
        <v>20</v>
      </c>
      <c r="N12" s="23" t="s">
        <v>21</v>
      </c>
      <c r="O12" s="22" t="s">
        <v>20</v>
      </c>
      <c r="P12" s="23" t="s">
        <v>21</v>
      </c>
      <c r="Q12" s="24" t="s">
        <v>20</v>
      </c>
      <c r="R12" s="25" t="s">
        <v>21</v>
      </c>
      <c r="S12" s="22" t="s">
        <v>20</v>
      </c>
      <c r="T12" s="23" t="s">
        <v>21</v>
      </c>
      <c r="U12" s="22" t="s">
        <v>20</v>
      </c>
      <c r="V12" s="23" t="s">
        <v>21</v>
      </c>
      <c r="W12" s="22" t="s">
        <v>20</v>
      </c>
      <c r="X12" s="23" t="s">
        <v>21</v>
      </c>
      <c r="Y12" s="24" t="s">
        <v>20</v>
      </c>
      <c r="Z12" s="25" t="s">
        <v>21</v>
      </c>
      <c r="AA12" s="22" t="s">
        <v>20</v>
      </c>
      <c r="AB12" s="23" t="s">
        <v>21</v>
      </c>
      <c r="AC12" s="22" t="s">
        <v>20</v>
      </c>
      <c r="AD12" s="23" t="s">
        <v>21</v>
      </c>
      <c r="AE12" s="22" t="s">
        <v>20</v>
      </c>
      <c r="AF12" s="23" t="s">
        <v>21</v>
      </c>
      <c r="AG12" s="24" t="s">
        <v>20</v>
      </c>
      <c r="AH12" s="25" t="s">
        <v>21</v>
      </c>
      <c r="AI12" s="22" t="s">
        <v>20</v>
      </c>
      <c r="AJ12" s="23" t="s">
        <v>21</v>
      </c>
      <c r="AK12" s="22" t="s">
        <v>20</v>
      </c>
      <c r="AL12" s="23" t="s">
        <v>21</v>
      </c>
      <c r="AM12" s="22" t="s">
        <v>20</v>
      </c>
      <c r="AN12" s="23" t="s">
        <v>21</v>
      </c>
      <c r="AO12" s="24" t="s">
        <v>20</v>
      </c>
      <c r="AP12" s="25" t="s">
        <v>21</v>
      </c>
      <c r="AQ12" s="654"/>
      <c r="AR12" s="655"/>
      <c r="AS12" s="655"/>
    </row>
    <row r="13" spans="2:45" ht="99.75" customHeight="1">
      <c r="B13" s="632" t="s">
        <v>366</v>
      </c>
      <c r="C13" s="99" t="s">
        <v>390</v>
      </c>
      <c r="D13" s="100">
        <v>1</v>
      </c>
      <c r="E13" s="101" t="s">
        <v>367</v>
      </c>
      <c r="F13" s="101" t="s">
        <v>368</v>
      </c>
      <c r="G13" s="102">
        <v>1</v>
      </c>
      <c r="H13" s="103" t="s">
        <v>369</v>
      </c>
      <c r="I13" s="103" t="s">
        <v>375</v>
      </c>
      <c r="J13" s="104" t="s">
        <v>98</v>
      </c>
      <c r="K13" s="105">
        <v>1</v>
      </c>
      <c r="L13" s="105">
        <v>1</v>
      </c>
      <c r="M13" s="105">
        <v>0</v>
      </c>
      <c r="N13" s="105">
        <v>0</v>
      </c>
      <c r="O13" s="105">
        <v>0</v>
      </c>
      <c r="P13" s="105">
        <v>0</v>
      </c>
      <c r="Q13" s="61">
        <f>K13+M13+O13</f>
        <v>1</v>
      </c>
      <c r="R13" s="61">
        <f>L13+N13+P13</f>
        <v>1</v>
      </c>
      <c r="S13" s="105">
        <v>0</v>
      </c>
      <c r="T13" s="105">
        <v>0</v>
      </c>
      <c r="U13" s="105">
        <v>0</v>
      </c>
      <c r="V13" s="105">
        <v>0</v>
      </c>
      <c r="W13" s="105">
        <v>0</v>
      </c>
      <c r="X13" s="105">
        <v>0</v>
      </c>
      <c r="Y13" s="61">
        <f>S13+U13+W13</f>
        <v>0</v>
      </c>
      <c r="Z13" s="61">
        <f>T13+V13+X13</f>
        <v>0</v>
      </c>
      <c r="AA13" s="105">
        <v>0</v>
      </c>
      <c r="AB13" s="105">
        <v>0</v>
      </c>
      <c r="AC13" s="105">
        <v>0</v>
      </c>
      <c r="AD13" s="105">
        <v>0</v>
      </c>
      <c r="AE13" s="106">
        <v>0</v>
      </c>
      <c r="AF13" s="106">
        <v>0</v>
      </c>
      <c r="AG13" s="61">
        <f>AA13+AC13+AE13</f>
        <v>0</v>
      </c>
      <c r="AH13" s="61">
        <f>AB13+AD13+AF13</f>
        <v>0</v>
      </c>
      <c r="AI13" s="105">
        <v>0</v>
      </c>
      <c r="AJ13" s="105">
        <v>0</v>
      </c>
      <c r="AK13" s="105">
        <v>0</v>
      </c>
      <c r="AL13" s="105">
        <v>0</v>
      </c>
      <c r="AM13" s="105">
        <v>0</v>
      </c>
      <c r="AN13" s="105">
        <v>0</v>
      </c>
      <c r="AO13" s="61">
        <f>AI13+AK13+AM13</f>
        <v>0</v>
      </c>
      <c r="AP13" s="61">
        <f>AJ13+AL13+AN13</f>
        <v>0</v>
      </c>
      <c r="AQ13" s="17">
        <f>Q13+Y13+AG13+AO13</f>
        <v>1</v>
      </c>
      <c r="AR13" s="65">
        <f>R13+Z13+AH13+AP13</f>
        <v>1</v>
      </c>
      <c r="AS13" s="249">
        <f t="shared" ref="AS13:AS18" si="0">IF(AND(AR13&gt;0,AQ13&gt;0),AR13/AQ13,0)</f>
        <v>1</v>
      </c>
    </row>
    <row r="14" spans="2:45" ht="142.5">
      <c r="B14" s="633"/>
      <c r="C14" s="641" t="s">
        <v>400</v>
      </c>
      <c r="D14" s="107">
        <v>0.6</v>
      </c>
      <c r="E14" s="108" t="s">
        <v>561</v>
      </c>
      <c r="F14" s="101" t="s">
        <v>371</v>
      </c>
      <c r="G14" s="102" t="s">
        <v>198</v>
      </c>
      <c r="H14" s="103" t="s">
        <v>388</v>
      </c>
      <c r="I14" s="109" t="s">
        <v>391</v>
      </c>
      <c r="J14" s="104" t="s">
        <v>372</v>
      </c>
      <c r="K14" s="309">
        <v>0</v>
      </c>
      <c r="L14" s="309">
        <v>0</v>
      </c>
      <c r="M14" s="309">
        <v>0.02</v>
      </c>
      <c r="N14" s="309">
        <v>0.02</v>
      </c>
      <c r="O14" s="309">
        <v>0</v>
      </c>
      <c r="P14" s="309">
        <v>0</v>
      </c>
      <c r="Q14" s="249">
        <f t="shared" ref="Q14:R17" si="1">K14+M14+O14</f>
        <v>0.02</v>
      </c>
      <c r="R14" s="249">
        <f t="shared" si="1"/>
        <v>0.02</v>
      </c>
      <c r="S14" s="360">
        <v>0.04</v>
      </c>
      <c r="T14" s="360">
        <v>0.03</v>
      </c>
      <c r="U14" s="360">
        <v>0.06</v>
      </c>
      <c r="V14" s="360">
        <v>0.04</v>
      </c>
      <c r="W14" s="360">
        <v>0</v>
      </c>
      <c r="X14" s="360">
        <v>0.03</v>
      </c>
      <c r="Y14" s="249">
        <f t="shared" ref="Y14:Z17" si="2">S14+U14+W14</f>
        <v>0.1</v>
      </c>
      <c r="Z14" s="249">
        <f t="shared" si="2"/>
        <v>0.1</v>
      </c>
      <c r="AA14" s="309">
        <v>0.11</v>
      </c>
      <c r="AB14" s="309">
        <v>0.11</v>
      </c>
      <c r="AC14" s="309">
        <v>0.08</v>
      </c>
      <c r="AD14" s="309">
        <v>0.08</v>
      </c>
      <c r="AE14" s="309">
        <v>0.08</v>
      </c>
      <c r="AF14" s="309">
        <v>0.08</v>
      </c>
      <c r="AG14" s="249">
        <f t="shared" ref="AG14:AH17" si="3">AA14+AC14+AE14</f>
        <v>0.27</v>
      </c>
      <c r="AH14" s="249">
        <f t="shared" si="3"/>
        <v>0.27</v>
      </c>
      <c r="AI14" s="309">
        <v>0.11</v>
      </c>
      <c r="AJ14" s="309">
        <v>0.11</v>
      </c>
      <c r="AK14" s="309">
        <v>0.08</v>
      </c>
      <c r="AL14" s="309">
        <v>0.08</v>
      </c>
      <c r="AM14" s="309">
        <v>0.02</v>
      </c>
      <c r="AN14" s="309">
        <v>0.02</v>
      </c>
      <c r="AO14" s="249">
        <f t="shared" ref="AO14:AP17" si="4">AI14+AK14+AM14</f>
        <v>0.21</v>
      </c>
      <c r="AP14" s="249">
        <f t="shared" si="4"/>
        <v>0.21</v>
      </c>
      <c r="AQ14" s="249">
        <f t="shared" ref="AQ14:AR17" si="5">Q14+Y14+AG14+AO14</f>
        <v>0.6</v>
      </c>
      <c r="AR14" s="249">
        <f t="shared" si="5"/>
        <v>0.6</v>
      </c>
      <c r="AS14" s="249">
        <f t="shared" si="0"/>
        <v>1</v>
      </c>
    </row>
    <row r="15" spans="2:45" ht="142.5">
      <c r="B15" s="633"/>
      <c r="C15" s="642"/>
      <c r="D15" s="107">
        <v>1</v>
      </c>
      <c r="E15" s="108" t="s">
        <v>560</v>
      </c>
      <c r="F15" s="101" t="s">
        <v>371</v>
      </c>
      <c r="G15" s="120">
        <v>1</v>
      </c>
      <c r="H15" s="103" t="s">
        <v>389</v>
      </c>
      <c r="I15" s="109" t="s">
        <v>702</v>
      </c>
      <c r="J15" s="104" t="s">
        <v>372</v>
      </c>
      <c r="K15" s="310">
        <v>0</v>
      </c>
      <c r="L15" s="310">
        <v>0</v>
      </c>
      <c r="M15" s="310">
        <v>0.15</v>
      </c>
      <c r="N15" s="310">
        <v>0.15</v>
      </c>
      <c r="O15" s="310">
        <v>0.05</v>
      </c>
      <c r="P15" s="310">
        <v>0.05</v>
      </c>
      <c r="Q15" s="249">
        <f>K15+M15+O15</f>
        <v>0.2</v>
      </c>
      <c r="R15" s="249">
        <f>L15+N15+P15</f>
        <v>0.2</v>
      </c>
      <c r="S15" s="361">
        <v>7.0000000000000007E-2</v>
      </c>
      <c r="T15" s="361">
        <v>7.5999999999999998E-2</v>
      </c>
      <c r="U15" s="361">
        <v>0.03</v>
      </c>
      <c r="V15" s="361">
        <v>1.9E-2</v>
      </c>
      <c r="W15" s="361">
        <v>0.05</v>
      </c>
      <c r="X15" s="361">
        <v>4.2000000000000003E-2</v>
      </c>
      <c r="Y15" s="249">
        <f>S15+U15+W15</f>
        <v>0.15000000000000002</v>
      </c>
      <c r="Z15" s="249">
        <f>T15+V15+X15</f>
        <v>0.13700000000000001</v>
      </c>
      <c r="AA15" s="310">
        <v>0.1</v>
      </c>
      <c r="AB15" s="310">
        <v>0.109</v>
      </c>
      <c r="AC15" s="310">
        <v>0.1</v>
      </c>
      <c r="AD15" s="310">
        <v>9.8000000000000004E-2</v>
      </c>
      <c r="AE15" s="310">
        <v>0.1</v>
      </c>
      <c r="AF15" s="310">
        <v>9.7900000000000001E-2</v>
      </c>
      <c r="AG15" s="249">
        <f>AA15+AC15+AE15</f>
        <v>0.30000000000000004</v>
      </c>
      <c r="AH15" s="249">
        <f>AB15+AD15+AF15</f>
        <v>0.3049</v>
      </c>
      <c r="AI15" s="310">
        <v>0.15</v>
      </c>
      <c r="AJ15" s="310">
        <v>0.15340000000000001</v>
      </c>
      <c r="AK15" s="310">
        <v>0.1</v>
      </c>
      <c r="AL15" s="310">
        <v>3.4000000000000002E-2</v>
      </c>
      <c r="AM15" s="310">
        <v>0.1</v>
      </c>
      <c r="AN15" s="310">
        <v>0.16600000000000001</v>
      </c>
      <c r="AO15" s="249">
        <f>AI15+AK15+AM15</f>
        <v>0.35</v>
      </c>
      <c r="AP15" s="249">
        <f>AJ15+AL15+AN15</f>
        <v>0.35340000000000005</v>
      </c>
      <c r="AQ15" s="249">
        <f t="shared" si="5"/>
        <v>1</v>
      </c>
      <c r="AR15" s="249">
        <f>R15+Z15+AH15+AP15</f>
        <v>0.99530000000000007</v>
      </c>
      <c r="AS15" s="249">
        <f t="shared" si="0"/>
        <v>0.99530000000000007</v>
      </c>
    </row>
    <row r="16" spans="2:45" ht="93" customHeight="1">
      <c r="B16" s="633"/>
      <c r="C16" s="428" t="s">
        <v>395</v>
      </c>
      <c r="D16" s="107">
        <v>1</v>
      </c>
      <c r="E16" s="108" t="s">
        <v>562</v>
      </c>
      <c r="F16" s="101" t="s">
        <v>371</v>
      </c>
      <c r="G16" s="120" t="s">
        <v>198</v>
      </c>
      <c r="H16" s="103" t="s">
        <v>397</v>
      </c>
      <c r="I16" s="109" t="s">
        <v>396</v>
      </c>
      <c r="J16" s="104" t="s">
        <v>370</v>
      </c>
      <c r="K16" s="310">
        <v>0.55000000000000004</v>
      </c>
      <c r="L16" s="310">
        <v>0.55000000000000004</v>
      </c>
      <c r="M16" s="310">
        <v>0</v>
      </c>
      <c r="N16" s="310">
        <v>0</v>
      </c>
      <c r="O16" s="310">
        <v>0.15</v>
      </c>
      <c r="P16" s="310">
        <v>0.15</v>
      </c>
      <c r="Q16" s="249">
        <f>K16+M16+O16</f>
        <v>0.70000000000000007</v>
      </c>
      <c r="R16" s="249">
        <f>L16+N16+P16</f>
        <v>0.70000000000000007</v>
      </c>
      <c r="S16" s="310">
        <v>0</v>
      </c>
      <c r="T16" s="310">
        <v>0</v>
      </c>
      <c r="U16" s="310">
        <v>0</v>
      </c>
      <c r="V16" s="310">
        <v>0</v>
      </c>
      <c r="W16" s="310">
        <v>0</v>
      </c>
      <c r="X16" s="310">
        <v>0</v>
      </c>
      <c r="Y16" s="249">
        <f>S16+U16+W16</f>
        <v>0</v>
      </c>
      <c r="Z16" s="249">
        <f>T16+V16+X16</f>
        <v>0</v>
      </c>
      <c r="AA16" s="310">
        <v>0.15</v>
      </c>
      <c r="AB16" s="310">
        <v>0.15</v>
      </c>
      <c r="AC16" s="310">
        <v>0</v>
      </c>
      <c r="AD16" s="310">
        <v>0</v>
      </c>
      <c r="AE16" s="310">
        <v>0</v>
      </c>
      <c r="AF16" s="310">
        <v>0</v>
      </c>
      <c r="AG16" s="249">
        <f>AA16+AC16+AE16</f>
        <v>0.15</v>
      </c>
      <c r="AH16" s="249">
        <f>AB16+AD16+AF16</f>
        <v>0.15</v>
      </c>
      <c r="AI16" s="310">
        <v>0</v>
      </c>
      <c r="AJ16" s="361">
        <v>0.15</v>
      </c>
      <c r="AK16" s="310">
        <v>0.15</v>
      </c>
      <c r="AL16" s="310">
        <v>0</v>
      </c>
      <c r="AM16" s="310">
        <v>0</v>
      </c>
      <c r="AN16" s="310">
        <v>0</v>
      </c>
      <c r="AO16" s="249">
        <f>AI16+AK16+AM16</f>
        <v>0.15</v>
      </c>
      <c r="AP16" s="249">
        <f>AJ16+AL16+AN16</f>
        <v>0.15</v>
      </c>
      <c r="AQ16" s="249">
        <f>Q16+Y16+AG16+AO16</f>
        <v>1</v>
      </c>
      <c r="AR16" s="249">
        <f>R16+Z16+AH16+AP16</f>
        <v>1</v>
      </c>
      <c r="AS16" s="249">
        <f t="shared" si="0"/>
        <v>1</v>
      </c>
    </row>
    <row r="17" spans="2:45" ht="120">
      <c r="B17" s="633"/>
      <c r="C17" s="643" t="s">
        <v>394</v>
      </c>
      <c r="D17" s="102">
        <v>19</v>
      </c>
      <c r="E17" s="110" t="s">
        <v>563</v>
      </c>
      <c r="F17" s="110" t="s">
        <v>373</v>
      </c>
      <c r="G17" s="102">
        <v>11</v>
      </c>
      <c r="H17" s="111" t="s">
        <v>374</v>
      </c>
      <c r="I17" s="111" t="s">
        <v>398</v>
      </c>
      <c r="J17" s="104" t="s">
        <v>98</v>
      </c>
      <c r="K17" s="105">
        <v>0</v>
      </c>
      <c r="L17" s="105">
        <v>0</v>
      </c>
      <c r="M17" s="105">
        <v>0</v>
      </c>
      <c r="N17" s="105">
        <v>0</v>
      </c>
      <c r="O17" s="105">
        <v>1</v>
      </c>
      <c r="P17" s="105">
        <v>1</v>
      </c>
      <c r="Q17" s="61">
        <f t="shared" si="1"/>
        <v>1</v>
      </c>
      <c r="R17" s="61">
        <f t="shared" si="1"/>
        <v>1</v>
      </c>
      <c r="S17" s="105">
        <v>3</v>
      </c>
      <c r="T17" s="105">
        <v>3</v>
      </c>
      <c r="U17" s="105">
        <v>7</v>
      </c>
      <c r="V17" s="105">
        <v>0</v>
      </c>
      <c r="W17" s="105">
        <v>3</v>
      </c>
      <c r="X17" s="105">
        <v>11</v>
      </c>
      <c r="Y17" s="61">
        <f t="shared" si="2"/>
        <v>13</v>
      </c>
      <c r="Z17" s="61">
        <f t="shared" si="2"/>
        <v>14</v>
      </c>
      <c r="AA17" s="105">
        <v>1</v>
      </c>
      <c r="AB17" s="105">
        <v>0</v>
      </c>
      <c r="AC17" s="105">
        <v>0</v>
      </c>
      <c r="AD17" s="105">
        <v>0</v>
      </c>
      <c r="AE17" s="106">
        <v>0</v>
      </c>
      <c r="AF17" s="105">
        <v>0</v>
      </c>
      <c r="AG17" s="61">
        <f t="shared" si="3"/>
        <v>1</v>
      </c>
      <c r="AH17" s="61">
        <f t="shared" si="3"/>
        <v>0</v>
      </c>
      <c r="AI17" s="105">
        <v>3</v>
      </c>
      <c r="AJ17" s="106">
        <v>4</v>
      </c>
      <c r="AK17" s="105">
        <v>1</v>
      </c>
      <c r="AL17" s="105">
        <v>0</v>
      </c>
      <c r="AM17" s="105">
        <v>0</v>
      </c>
      <c r="AN17" s="105">
        <v>0</v>
      </c>
      <c r="AO17" s="61">
        <f t="shared" si="4"/>
        <v>4</v>
      </c>
      <c r="AP17" s="61">
        <f t="shared" si="4"/>
        <v>4</v>
      </c>
      <c r="AQ17" s="15">
        <f t="shared" si="5"/>
        <v>19</v>
      </c>
      <c r="AR17" s="66">
        <f t="shared" si="5"/>
        <v>19</v>
      </c>
      <c r="AS17" s="249">
        <f t="shared" si="0"/>
        <v>1</v>
      </c>
    </row>
    <row r="18" spans="2:45" ht="158.25" customHeight="1">
      <c r="B18" s="633"/>
      <c r="C18" s="644"/>
      <c r="D18" s="120">
        <v>1</v>
      </c>
      <c r="E18" s="110" t="s">
        <v>392</v>
      </c>
      <c r="F18" s="110" t="s">
        <v>564</v>
      </c>
      <c r="G18" s="120">
        <v>1</v>
      </c>
      <c r="H18" s="111" t="s">
        <v>393</v>
      </c>
      <c r="I18" s="111" t="s">
        <v>399</v>
      </c>
      <c r="J18" s="104" t="s">
        <v>98</v>
      </c>
      <c r="K18" s="311">
        <v>1</v>
      </c>
      <c r="L18" s="311">
        <v>1</v>
      </c>
      <c r="M18" s="311">
        <v>1</v>
      </c>
      <c r="N18" s="311">
        <v>1</v>
      </c>
      <c r="O18" s="311">
        <v>1</v>
      </c>
      <c r="P18" s="311">
        <v>1</v>
      </c>
      <c r="Q18" s="312">
        <f>(K18+M18+O18)/3</f>
        <v>1</v>
      </c>
      <c r="R18" s="247">
        <f>IFERROR(IF(OR($AQ18="",$AQ18=0),0,ROUNDDOWN(AVERAGE(L18,N18,P18),3)),0)</f>
        <v>1</v>
      </c>
      <c r="S18" s="311">
        <v>1</v>
      </c>
      <c r="T18" s="311">
        <v>1</v>
      </c>
      <c r="U18" s="311">
        <v>1</v>
      </c>
      <c r="V18" s="311">
        <v>1</v>
      </c>
      <c r="W18" s="311">
        <v>1</v>
      </c>
      <c r="X18" s="311">
        <v>1</v>
      </c>
      <c r="Y18" s="312">
        <f>(S18+U18+W18)/3</f>
        <v>1</v>
      </c>
      <c r="Z18" s="247">
        <f>IFERROR(IF(OR($AQ18="",$AQ18=0),0,ROUNDDOWN(AVERAGE(T18,V18,X18),3)),0)</f>
        <v>1</v>
      </c>
      <c r="AA18" s="311">
        <v>1</v>
      </c>
      <c r="AB18" s="311">
        <v>1</v>
      </c>
      <c r="AC18" s="311">
        <v>1</v>
      </c>
      <c r="AD18" s="311">
        <v>1</v>
      </c>
      <c r="AE18" s="311">
        <v>1</v>
      </c>
      <c r="AF18" s="311">
        <v>1</v>
      </c>
      <c r="AG18" s="312">
        <f>(AA18+AC18+AE18)/3</f>
        <v>1</v>
      </c>
      <c r="AH18" s="247">
        <f>IFERROR(IF(OR($AQ18="",$AQ18=0),0,ROUNDDOWN(AVERAGE(AB18,AD18,AF18),3)),0)</f>
        <v>1</v>
      </c>
      <c r="AI18" s="311">
        <v>1</v>
      </c>
      <c r="AJ18" s="311">
        <v>1</v>
      </c>
      <c r="AK18" s="311">
        <v>1</v>
      </c>
      <c r="AL18" s="311">
        <v>1</v>
      </c>
      <c r="AM18" s="311">
        <v>1</v>
      </c>
      <c r="AN18" s="311">
        <v>1</v>
      </c>
      <c r="AO18" s="312">
        <f>(AI18+AK18+AM18)/3</f>
        <v>1</v>
      </c>
      <c r="AP18" s="247">
        <f>IFERROR(IF(OR($AQ18="",$AQ18=0),0,ROUNDDOWN(AVERAGE(AJ18,AL18,AN18),3)),0)</f>
        <v>1</v>
      </c>
      <c r="AQ18" s="312">
        <f>(Q18+Y18+AG18+AO18)/4</f>
        <v>1</v>
      </c>
      <c r="AR18" s="312">
        <f>IFERROR(IF(OR(AQ18="",AQ18=0),0,ROUNDDOWN(AVERAGE(L18,N18,P18,T18,V18,X18,AB18,AD18,AF18,AJ18,AL18,AN18),3)),0)</f>
        <v>1</v>
      </c>
      <c r="AS18" s="249">
        <f t="shared" si="0"/>
        <v>1</v>
      </c>
    </row>
    <row r="19" spans="2:45" ht="23.25">
      <c r="B19" s="634" t="s">
        <v>23</v>
      </c>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5"/>
      <c r="AG19" s="635"/>
      <c r="AH19" s="635"/>
      <c r="AI19" s="635"/>
      <c r="AJ19" s="635"/>
      <c r="AK19" s="635"/>
      <c r="AL19" s="635"/>
      <c r="AM19" s="635"/>
      <c r="AN19" s="635"/>
      <c r="AO19" s="635"/>
      <c r="AP19" s="635"/>
      <c r="AQ19" s="635"/>
      <c r="AR19" s="636"/>
      <c r="AS19" s="245">
        <f>AVERAGE(AS13:AS18)</f>
        <v>0.99921666666666675</v>
      </c>
    </row>
    <row r="20" spans="2:45" ht="17.25">
      <c r="B20" s="112"/>
      <c r="C20" s="112"/>
      <c r="D20" s="113"/>
      <c r="E20" s="112"/>
      <c r="F20" s="112"/>
      <c r="G20" s="112"/>
      <c r="H20" s="112"/>
      <c r="I20" s="112"/>
      <c r="J20" s="114"/>
    </row>
    <row r="21" spans="2:45" ht="15.75">
      <c r="B21" s="83" t="s">
        <v>4</v>
      </c>
      <c r="C21" s="637"/>
      <c r="D21" s="638"/>
      <c r="E21" s="638"/>
      <c r="F21" s="638"/>
      <c r="G21" s="638"/>
      <c r="H21" s="638"/>
      <c r="I21" s="638"/>
      <c r="J21" s="639"/>
    </row>
    <row r="22" spans="2:45" ht="17.25">
      <c r="B22" s="112"/>
      <c r="C22" s="645"/>
      <c r="D22" s="645"/>
      <c r="E22" s="645"/>
      <c r="F22" s="645"/>
      <c r="G22" s="645"/>
      <c r="H22" s="645"/>
      <c r="I22" s="645"/>
      <c r="J22" s="645"/>
    </row>
    <row r="23" spans="2:45" ht="31.5">
      <c r="B23" s="84" t="s">
        <v>32</v>
      </c>
      <c r="C23" s="625">
        <v>43812</v>
      </c>
      <c r="D23" s="626"/>
      <c r="E23" s="112"/>
      <c r="F23" s="112"/>
      <c r="G23" s="115" t="s">
        <v>22</v>
      </c>
      <c r="H23" s="627" t="s">
        <v>901</v>
      </c>
      <c r="I23" s="628"/>
      <c r="J23" s="628"/>
    </row>
    <row r="24" spans="2:45" ht="17.25">
      <c r="B24" s="112"/>
      <c r="C24" s="112"/>
      <c r="D24" s="113"/>
      <c r="E24" s="112"/>
      <c r="F24" s="112"/>
      <c r="G24" s="112"/>
      <c r="H24" s="112"/>
      <c r="I24" s="112"/>
      <c r="J24" s="114"/>
    </row>
    <row r="25" spans="2:45" ht="17.25">
      <c r="B25" s="112"/>
      <c r="C25" s="112"/>
      <c r="D25" s="113"/>
      <c r="E25" s="112"/>
      <c r="F25" s="112"/>
      <c r="G25" s="112"/>
      <c r="H25" s="112"/>
      <c r="I25" s="112"/>
      <c r="J25" s="114"/>
    </row>
    <row r="26" spans="2:45" ht="17.25">
      <c r="B26" s="112"/>
      <c r="C26" s="112"/>
      <c r="D26" s="113"/>
      <c r="E26" s="112"/>
      <c r="F26" s="112"/>
      <c r="G26" s="112"/>
      <c r="H26" s="112"/>
      <c r="I26" s="112"/>
      <c r="J26" s="114"/>
    </row>
    <row r="27" spans="2:45" ht="17.25">
      <c r="B27" s="112"/>
      <c r="C27" s="112"/>
      <c r="D27" s="113"/>
      <c r="E27" s="629"/>
      <c r="F27" s="629"/>
      <c r="G27" s="629"/>
      <c r="H27" s="629"/>
      <c r="I27" s="429"/>
      <c r="J27" s="112"/>
    </row>
    <row r="28" spans="2:45" ht="17.25">
      <c r="B28" s="112"/>
      <c r="C28" s="112"/>
      <c r="D28" s="113"/>
      <c r="E28" s="112"/>
      <c r="F28" s="112"/>
      <c r="G28" s="114"/>
      <c r="H28" s="112"/>
      <c r="I28" s="112"/>
      <c r="J28" s="112"/>
    </row>
    <row r="29" spans="2:45" ht="17.25">
      <c r="B29" s="112"/>
      <c r="C29" s="112"/>
      <c r="D29" s="113"/>
      <c r="E29" s="629"/>
      <c r="F29" s="629"/>
      <c r="G29" s="629"/>
      <c r="H29" s="629"/>
      <c r="I29" s="429"/>
      <c r="J29" s="112"/>
    </row>
    <row r="30" spans="2:45" ht="17.25">
      <c r="B30" s="112"/>
      <c r="C30" s="112"/>
      <c r="D30" s="113"/>
      <c r="E30" s="112"/>
      <c r="F30" s="112"/>
      <c r="G30" s="114"/>
      <c r="H30" s="112"/>
      <c r="I30" s="112"/>
      <c r="J30" s="112"/>
    </row>
    <row r="31" spans="2:45" ht="17.25">
      <c r="B31" s="112"/>
      <c r="C31" s="112"/>
      <c r="D31" s="113"/>
      <c r="E31" s="629"/>
      <c r="F31" s="629"/>
      <c r="G31" s="629"/>
      <c r="H31" s="629"/>
      <c r="I31" s="429"/>
      <c r="J31" s="112"/>
    </row>
  </sheetData>
  <mergeCells count="51">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22:J22"/>
    <mergeCell ref="AA11:AB11"/>
    <mergeCell ref="AC11:AD11"/>
    <mergeCell ref="AE11:AF11"/>
    <mergeCell ref="AG11:AH11"/>
    <mergeCell ref="O11:P11"/>
    <mergeCell ref="Q11:R11"/>
    <mergeCell ref="S11:T11"/>
    <mergeCell ref="U11:V11"/>
    <mergeCell ref="W11:X11"/>
    <mergeCell ref="Y11:Z11"/>
    <mergeCell ref="AM11:AN11"/>
    <mergeCell ref="AO11:AP11"/>
    <mergeCell ref="B13:B18"/>
    <mergeCell ref="B19:AR19"/>
    <mergeCell ref="C21:J21"/>
    <mergeCell ref="AI11:AJ11"/>
    <mergeCell ref="AK11:AL11"/>
    <mergeCell ref="C14:C15"/>
    <mergeCell ref="C17:C18"/>
    <mergeCell ref="C23:D23"/>
    <mergeCell ref="H23:J23"/>
    <mergeCell ref="E27:H27"/>
    <mergeCell ref="E29:H29"/>
    <mergeCell ref="E31:H3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1:AS28"/>
  <sheetViews>
    <sheetView showGridLines="0" zoomScale="55" zoomScaleNormal="55" workbookViewId="0">
      <selection activeCell="E28" sqref="E28:H28"/>
    </sheetView>
  </sheetViews>
  <sheetFormatPr baseColWidth="10" defaultColWidth="17.28515625" defaultRowHeight="15" customHeight="1"/>
  <cols>
    <col min="1" max="1" width="4.28515625" style="522" customWidth="1"/>
    <col min="2" max="2" width="52.28515625" style="519" customWidth="1"/>
    <col min="3" max="3" width="34.85546875" style="519" customWidth="1"/>
    <col min="4" max="4" width="21.42578125" style="520" customWidth="1"/>
    <col min="5" max="5" width="28.7109375" style="519" customWidth="1"/>
    <col min="6" max="6" width="24" style="519" customWidth="1"/>
    <col min="7" max="7" width="24.28515625" style="519" customWidth="1"/>
    <col min="8" max="8" width="28.5703125" style="519" customWidth="1"/>
    <col min="9" max="9" width="50" style="519" customWidth="1"/>
    <col min="10" max="10" width="28.5703125" style="521" customWidth="1"/>
    <col min="11" max="24" width="14.28515625" style="522" customWidth="1"/>
    <col min="25" max="25" width="20.28515625" style="522" customWidth="1"/>
    <col min="26" max="42" width="14.28515625" style="522" customWidth="1"/>
    <col min="43" max="43" width="19.42578125" style="522" customWidth="1"/>
    <col min="44" max="44" width="18.140625" style="522" customWidth="1"/>
    <col min="45" max="45" width="17.5703125" style="522" customWidth="1"/>
    <col min="46" max="16384" width="17.28515625" style="522"/>
  </cols>
  <sheetData>
    <row r="1" spans="2:45" ht="18" thickBot="1"/>
    <row r="2" spans="2:45" ht="15.75">
      <c r="B2" s="676"/>
      <c r="C2" s="679" t="s">
        <v>59</v>
      </c>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1"/>
      <c r="AR2" s="688" t="s">
        <v>39</v>
      </c>
      <c r="AS2" s="689"/>
    </row>
    <row r="3" spans="2:45" ht="15.75">
      <c r="B3" s="677"/>
      <c r="C3" s="682"/>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c r="AF3" s="683"/>
      <c r="AG3" s="683"/>
      <c r="AH3" s="683"/>
      <c r="AI3" s="683"/>
      <c r="AJ3" s="683"/>
      <c r="AK3" s="683"/>
      <c r="AL3" s="683"/>
      <c r="AM3" s="683"/>
      <c r="AN3" s="683"/>
      <c r="AO3" s="683"/>
      <c r="AP3" s="683"/>
      <c r="AQ3" s="684"/>
      <c r="AR3" s="523" t="s">
        <v>36</v>
      </c>
      <c r="AS3" s="524" t="s">
        <v>37</v>
      </c>
    </row>
    <row r="4" spans="2:45">
      <c r="B4" s="677"/>
      <c r="C4" s="682"/>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c r="AD4" s="683"/>
      <c r="AE4" s="683"/>
      <c r="AF4" s="683"/>
      <c r="AG4" s="683"/>
      <c r="AH4" s="683"/>
      <c r="AI4" s="683"/>
      <c r="AJ4" s="683"/>
      <c r="AK4" s="683"/>
      <c r="AL4" s="683"/>
      <c r="AM4" s="683"/>
      <c r="AN4" s="683"/>
      <c r="AO4" s="683"/>
      <c r="AP4" s="683"/>
      <c r="AQ4" s="684"/>
      <c r="AR4" s="525">
        <v>3</v>
      </c>
      <c r="AS4" s="526" t="s">
        <v>102</v>
      </c>
    </row>
    <row r="5" spans="2:45" ht="15.75">
      <c r="B5" s="677"/>
      <c r="C5" s="682"/>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N5" s="683"/>
      <c r="AO5" s="683"/>
      <c r="AP5" s="683"/>
      <c r="AQ5" s="684"/>
      <c r="AR5" s="690" t="s">
        <v>38</v>
      </c>
      <c r="AS5" s="691"/>
    </row>
    <row r="6" spans="2:45" ht="15.75" thickBot="1">
      <c r="B6" s="678"/>
      <c r="C6" s="685"/>
      <c r="D6" s="686"/>
      <c r="E6" s="686"/>
      <c r="F6" s="686"/>
      <c r="G6" s="686"/>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6"/>
      <c r="AN6" s="686"/>
      <c r="AO6" s="686"/>
      <c r="AP6" s="686"/>
      <c r="AQ6" s="687"/>
      <c r="AR6" s="692" t="s">
        <v>100</v>
      </c>
      <c r="AS6" s="693"/>
    </row>
    <row r="7" spans="2:45" ht="17.25">
      <c r="B7" s="527"/>
      <c r="C7" s="527"/>
      <c r="D7" s="528"/>
      <c r="E7" s="527"/>
      <c r="F7" s="527"/>
      <c r="G7" s="527"/>
      <c r="H7" s="527"/>
      <c r="I7" s="527"/>
      <c r="J7" s="529"/>
      <c r="AR7" s="656"/>
      <c r="AS7" s="657"/>
    </row>
    <row r="8" spans="2:45" ht="13.5">
      <c r="B8" s="530"/>
      <c r="C8" s="531"/>
      <c r="D8" s="531"/>
      <c r="E8" s="531"/>
      <c r="F8" s="531"/>
      <c r="G8" s="531"/>
      <c r="H8" s="531"/>
      <c r="I8" s="531"/>
      <c r="J8" s="531"/>
      <c r="K8" s="531"/>
      <c r="L8" s="531"/>
      <c r="M8" s="531"/>
      <c r="N8" s="531"/>
      <c r="O8" s="531"/>
      <c r="P8" s="531"/>
      <c r="Q8" s="531"/>
      <c r="R8" s="531"/>
      <c r="S8" s="531"/>
      <c r="T8" s="531"/>
      <c r="U8" s="531"/>
      <c r="V8" s="531"/>
      <c r="W8" s="531"/>
      <c r="X8" s="531"/>
      <c r="Y8" s="531"/>
      <c r="Z8" s="531"/>
      <c r="AA8" s="531"/>
      <c r="AB8" s="531"/>
      <c r="AC8" s="531"/>
      <c r="AD8" s="531"/>
      <c r="AE8" s="531"/>
      <c r="AF8" s="531"/>
      <c r="AG8" s="531"/>
      <c r="AH8" s="531"/>
      <c r="AI8" s="531"/>
      <c r="AJ8" s="531"/>
      <c r="AK8" s="531"/>
      <c r="AL8" s="531"/>
      <c r="AM8" s="531"/>
      <c r="AN8" s="531"/>
      <c r="AO8" s="531"/>
      <c r="AP8" s="531"/>
      <c r="AQ8" s="694"/>
      <c r="AR8" s="695"/>
      <c r="AS8" s="696"/>
    </row>
    <row r="9" spans="2:45" ht="15.75">
      <c r="B9" s="697" t="s">
        <v>35</v>
      </c>
      <c r="C9" s="697" t="s">
        <v>34</v>
      </c>
      <c r="D9" s="697" t="s">
        <v>63</v>
      </c>
      <c r="E9" s="697" t="s">
        <v>66</v>
      </c>
      <c r="F9" s="697" t="s">
        <v>67</v>
      </c>
      <c r="G9" s="697" t="s">
        <v>31</v>
      </c>
      <c r="H9" s="697" t="s">
        <v>25</v>
      </c>
      <c r="I9" s="697" t="s">
        <v>95</v>
      </c>
      <c r="J9" s="697"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654" t="s">
        <v>6</v>
      </c>
      <c r="AR9" s="655" t="s">
        <v>7</v>
      </c>
      <c r="AS9" s="655" t="s">
        <v>24</v>
      </c>
    </row>
    <row r="10" spans="2:45" ht="15.75">
      <c r="B10" s="697"/>
      <c r="C10" s="697"/>
      <c r="D10" s="697"/>
      <c r="E10" s="697"/>
      <c r="F10" s="697"/>
      <c r="G10" s="697"/>
      <c r="H10" s="697"/>
      <c r="I10" s="697"/>
      <c r="J10" s="697"/>
      <c r="K10" s="640" t="s">
        <v>26</v>
      </c>
      <c r="L10" s="640"/>
      <c r="M10" s="640"/>
      <c r="N10" s="640"/>
      <c r="O10" s="640"/>
      <c r="P10" s="640"/>
      <c r="Q10" s="640"/>
      <c r="R10" s="640"/>
      <c r="S10" s="640" t="s">
        <v>27</v>
      </c>
      <c r="T10" s="640"/>
      <c r="U10" s="640"/>
      <c r="V10" s="640"/>
      <c r="W10" s="640"/>
      <c r="X10" s="640"/>
      <c r="Y10" s="640"/>
      <c r="Z10" s="640"/>
      <c r="AA10" s="640" t="s">
        <v>28</v>
      </c>
      <c r="AB10" s="640"/>
      <c r="AC10" s="640"/>
      <c r="AD10" s="640"/>
      <c r="AE10" s="640"/>
      <c r="AF10" s="640"/>
      <c r="AG10" s="640"/>
      <c r="AH10" s="640"/>
      <c r="AI10" s="640" t="s">
        <v>29</v>
      </c>
      <c r="AJ10" s="640"/>
      <c r="AK10" s="640"/>
      <c r="AL10" s="640"/>
      <c r="AM10" s="640"/>
      <c r="AN10" s="640"/>
      <c r="AO10" s="640"/>
      <c r="AP10" s="640"/>
      <c r="AQ10" s="654"/>
      <c r="AR10" s="655"/>
      <c r="AS10" s="655"/>
    </row>
    <row r="11" spans="2:45" ht="15.75" customHeight="1">
      <c r="B11" s="697"/>
      <c r="C11" s="697"/>
      <c r="D11" s="697"/>
      <c r="E11" s="697"/>
      <c r="F11" s="697"/>
      <c r="G11" s="697"/>
      <c r="H11" s="697"/>
      <c r="I11" s="697"/>
      <c r="J11" s="697"/>
      <c r="K11" s="640" t="s">
        <v>8</v>
      </c>
      <c r="L11" s="640"/>
      <c r="M11" s="640" t="s">
        <v>9</v>
      </c>
      <c r="N11" s="640"/>
      <c r="O11" s="646" t="s">
        <v>10</v>
      </c>
      <c r="P11" s="647"/>
      <c r="Q11" s="630" t="s">
        <v>11</v>
      </c>
      <c r="R11" s="631"/>
      <c r="S11" s="640" t="s">
        <v>33</v>
      </c>
      <c r="T11" s="640"/>
      <c r="U11" s="640" t="s">
        <v>12</v>
      </c>
      <c r="V11" s="640"/>
      <c r="W11" s="640" t="s">
        <v>13</v>
      </c>
      <c r="X11" s="640"/>
      <c r="Y11" s="630" t="s">
        <v>11</v>
      </c>
      <c r="Z11" s="631"/>
      <c r="AA11" s="640" t="s">
        <v>14</v>
      </c>
      <c r="AB11" s="640"/>
      <c r="AC11" s="640" t="s">
        <v>15</v>
      </c>
      <c r="AD11" s="640"/>
      <c r="AE11" s="640" t="s">
        <v>16</v>
      </c>
      <c r="AF11" s="640"/>
      <c r="AG11" s="630" t="s">
        <v>11</v>
      </c>
      <c r="AH11" s="631"/>
      <c r="AI11" s="640" t="s">
        <v>17</v>
      </c>
      <c r="AJ11" s="640"/>
      <c r="AK11" s="640" t="s">
        <v>18</v>
      </c>
      <c r="AL11" s="640"/>
      <c r="AM11" s="640" t="s">
        <v>19</v>
      </c>
      <c r="AN11" s="640"/>
      <c r="AO11" s="630" t="s">
        <v>11</v>
      </c>
      <c r="AP11" s="631"/>
      <c r="AQ11" s="654"/>
      <c r="AR11" s="655"/>
      <c r="AS11" s="655"/>
    </row>
    <row r="12" spans="2:45" ht="13.5">
      <c r="B12" s="698"/>
      <c r="C12" s="698"/>
      <c r="D12" s="698"/>
      <c r="E12" s="698"/>
      <c r="F12" s="698"/>
      <c r="G12" s="698"/>
      <c r="H12" s="698"/>
      <c r="I12" s="698"/>
      <c r="J12" s="698"/>
      <c r="K12" s="75" t="s">
        <v>20</v>
      </c>
      <c r="L12" s="76" t="s">
        <v>21</v>
      </c>
      <c r="M12" s="75" t="s">
        <v>20</v>
      </c>
      <c r="N12" s="76" t="s">
        <v>21</v>
      </c>
      <c r="O12" s="75" t="s">
        <v>20</v>
      </c>
      <c r="P12" s="76" t="s">
        <v>21</v>
      </c>
      <c r="Q12" s="77" t="s">
        <v>20</v>
      </c>
      <c r="R12" s="78" t="s">
        <v>21</v>
      </c>
      <c r="S12" s="75" t="s">
        <v>20</v>
      </c>
      <c r="T12" s="76" t="s">
        <v>21</v>
      </c>
      <c r="U12" s="75" t="s">
        <v>20</v>
      </c>
      <c r="V12" s="76" t="s">
        <v>21</v>
      </c>
      <c r="W12" s="75" t="s">
        <v>20</v>
      </c>
      <c r="X12" s="76" t="s">
        <v>21</v>
      </c>
      <c r="Y12" s="77" t="s">
        <v>20</v>
      </c>
      <c r="Z12" s="78" t="s">
        <v>21</v>
      </c>
      <c r="AA12" s="75" t="s">
        <v>20</v>
      </c>
      <c r="AB12" s="76" t="s">
        <v>21</v>
      </c>
      <c r="AC12" s="75" t="s">
        <v>20</v>
      </c>
      <c r="AD12" s="76" t="s">
        <v>21</v>
      </c>
      <c r="AE12" s="75" t="s">
        <v>20</v>
      </c>
      <c r="AF12" s="76" t="s">
        <v>21</v>
      </c>
      <c r="AG12" s="77" t="s">
        <v>20</v>
      </c>
      <c r="AH12" s="78" t="s">
        <v>21</v>
      </c>
      <c r="AI12" s="75" t="s">
        <v>20</v>
      </c>
      <c r="AJ12" s="76" t="s">
        <v>21</v>
      </c>
      <c r="AK12" s="75" t="s">
        <v>20</v>
      </c>
      <c r="AL12" s="76" t="s">
        <v>21</v>
      </c>
      <c r="AM12" s="75" t="s">
        <v>20</v>
      </c>
      <c r="AN12" s="76" t="s">
        <v>21</v>
      </c>
      <c r="AO12" s="77" t="s">
        <v>20</v>
      </c>
      <c r="AP12" s="78" t="s">
        <v>21</v>
      </c>
      <c r="AQ12" s="654"/>
      <c r="AR12" s="655"/>
      <c r="AS12" s="655"/>
    </row>
    <row r="13" spans="2:45" ht="114">
      <c r="B13" s="699" t="s">
        <v>376</v>
      </c>
      <c r="C13" s="121" t="s">
        <v>480</v>
      </c>
      <c r="D13" s="122">
        <v>2</v>
      </c>
      <c r="E13" s="123" t="s">
        <v>767</v>
      </c>
      <c r="F13" s="124" t="s">
        <v>768</v>
      </c>
      <c r="G13" s="102" t="s">
        <v>198</v>
      </c>
      <c r="H13" s="103" t="s">
        <v>377</v>
      </c>
      <c r="I13" s="109" t="s">
        <v>769</v>
      </c>
      <c r="J13" s="104" t="s">
        <v>535</v>
      </c>
      <c r="K13" s="127">
        <v>0</v>
      </c>
      <c r="L13" s="127">
        <v>0</v>
      </c>
      <c r="M13" s="127">
        <v>0</v>
      </c>
      <c r="N13" s="127">
        <v>0</v>
      </c>
      <c r="O13" s="127">
        <v>0</v>
      </c>
      <c r="P13" s="127">
        <v>0</v>
      </c>
      <c r="Q13" s="129">
        <f t="shared" ref="Q13:R15" si="0">K13+M13+O13</f>
        <v>0</v>
      </c>
      <c r="R13" s="129">
        <f t="shared" si="0"/>
        <v>0</v>
      </c>
      <c r="S13" s="127">
        <v>0</v>
      </c>
      <c r="T13" s="127">
        <v>0</v>
      </c>
      <c r="U13" s="127">
        <v>0</v>
      </c>
      <c r="V13" s="127">
        <v>0</v>
      </c>
      <c r="W13" s="127">
        <v>1</v>
      </c>
      <c r="X13" s="127">
        <v>1</v>
      </c>
      <c r="Y13" s="129">
        <f>S13+U13+W13</f>
        <v>1</v>
      </c>
      <c r="Z13" s="129">
        <f>T13+V13+X13</f>
        <v>1</v>
      </c>
      <c r="AA13" s="127">
        <v>0</v>
      </c>
      <c r="AB13" s="127">
        <v>0</v>
      </c>
      <c r="AC13" s="127">
        <v>0</v>
      </c>
      <c r="AD13" s="127">
        <v>0</v>
      </c>
      <c r="AE13" s="127">
        <v>0</v>
      </c>
      <c r="AF13" s="127">
        <v>0</v>
      </c>
      <c r="AG13" s="129">
        <f t="shared" ref="AG13:AH15" si="1">AA13+AC13+AE13</f>
        <v>0</v>
      </c>
      <c r="AH13" s="129">
        <f t="shared" si="1"/>
        <v>0</v>
      </c>
      <c r="AI13" s="127">
        <v>0</v>
      </c>
      <c r="AJ13" s="127">
        <v>1</v>
      </c>
      <c r="AK13" s="127">
        <v>1</v>
      </c>
      <c r="AL13" s="127">
        <v>1</v>
      </c>
      <c r="AM13" s="127">
        <v>0</v>
      </c>
      <c r="AN13" s="127">
        <v>0</v>
      </c>
      <c r="AO13" s="129">
        <f t="shared" ref="AO13:AP15" si="2">AI13+AK13+AM13</f>
        <v>1</v>
      </c>
      <c r="AP13" s="129">
        <f t="shared" si="2"/>
        <v>2</v>
      </c>
      <c r="AQ13" s="129">
        <f t="shared" ref="AQ13:AR15" si="3">+Q13+Y13+AG13+AO13</f>
        <v>2</v>
      </c>
      <c r="AR13" s="129">
        <f t="shared" si="3"/>
        <v>3</v>
      </c>
      <c r="AS13" s="244">
        <f>IF(AND(AR13&gt;0,AQ13&gt;0),AR13/AQ13,0)</f>
        <v>1.5</v>
      </c>
    </row>
    <row r="14" spans="2:45" ht="114">
      <c r="B14" s="700"/>
      <c r="C14" s="116" t="s">
        <v>481</v>
      </c>
      <c r="D14" s="122">
        <v>2</v>
      </c>
      <c r="E14" s="125" t="s">
        <v>770</v>
      </c>
      <c r="F14" s="125" t="s">
        <v>771</v>
      </c>
      <c r="G14" s="102">
        <v>1</v>
      </c>
      <c r="H14" s="126" t="s">
        <v>378</v>
      </c>
      <c r="I14" s="109" t="s">
        <v>769</v>
      </c>
      <c r="J14" s="104" t="s">
        <v>535</v>
      </c>
      <c r="K14" s="127">
        <v>0</v>
      </c>
      <c r="L14" s="127">
        <v>0</v>
      </c>
      <c r="M14" s="127">
        <v>0</v>
      </c>
      <c r="N14" s="127">
        <v>0</v>
      </c>
      <c r="O14" s="127">
        <v>0</v>
      </c>
      <c r="P14" s="127">
        <v>0</v>
      </c>
      <c r="Q14" s="129">
        <f t="shared" si="0"/>
        <v>0</v>
      </c>
      <c r="R14" s="129">
        <f t="shared" si="0"/>
        <v>0</v>
      </c>
      <c r="S14" s="127">
        <v>0</v>
      </c>
      <c r="T14" s="127">
        <v>0</v>
      </c>
      <c r="U14" s="127">
        <v>0</v>
      </c>
      <c r="V14" s="127">
        <v>0</v>
      </c>
      <c r="W14" s="127">
        <v>0</v>
      </c>
      <c r="X14" s="127">
        <v>0</v>
      </c>
      <c r="Y14" s="129">
        <f>S14+U14+W14</f>
        <v>0</v>
      </c>
      <c r="Z14" s="129">
        <v>0</v>
      </c>
      <c r="AA14" s="127">
        <v>1</v>
      </c>
      <c r="AB14" s="127">
        <v>2</v>
      </c>
      <c r="AC14" s="132">
        <v>0</v>
      </c>
      <c r="AD14" s="127">
        <v>2</v>
      </c>
      <c r="AE14" s="127">
        <v>0</v>
      </c>
      <c r="AF14" s="127">
        <v>1</v>
      </c>
      <c r="AG14" s="133">
        <f t="shared" si="1"/>
        <v>1</v>
      </c>
      <c r="AH14" s="133">
        <f t="shared" si="1"/>
        <v>5</v>
      </c>
      <c r="AI14" s="127">
        <v>0</v>
      </c>
      <c r="AJ14" s="127">
        <v>0</v>
      </c>
      <c r="AK14" s="132">
        <v>1</v>
      </c>
      <c r="AL14" s="127">
        <v>0</v>
      </c>
      <c r="AM14" s="127">
        <v>0</v>
      </c>
      <c r="AN14" s="127">
        <v>0</v>
      </c>
      <c r="AO14" s="129">
        <f t="shared" si="2"/>
        <v>1</v>
      </c>
      <c r="AP14" s="129">
        <f t="shared" si="2"/>
        <v>0</v>
      </c>
      <c r="AQ14" s="129">
        <f t="shared" si="3"/>
        <v>2</v>
      </c>
      <c r="AR14" s="129">
        <f t="shared" si="3"/>
        <v>5</v>
      </c>
      <c r="AS14" s="244">
        <f>IF(AND(AR14&gt;0,AQ14&gt;0),AR14/AQ14,0)</f>
        <v>2.5</v>
      </c>
    </row>
    <row r="15" spans="2:45" ht="256.5">
      <c r="B15" s="701"/>
      <c r="C15" s="117" t="s">
        <v>518</v>
      </c>
      <c r="D15" s="123" t="s">
        <v>379</v>
      </c>
      <c r="E15" s="118" t="s">
        <v>519</v>
      </c>
      <c r="F15" s="118" t="s">
        <v>520</v>
      </c>
      <c r="G15" s="102" t="s">
        <v>198</v>
      </c>
      <c r="H15" s="103" t="s">
        <v>521</v>
      </c>
      <c r="I15" s="109" t="s">
        <v>522</v>
      </c>
      <c r="J15" s="104" t="s">
        <v>535</v>
      </c>
      <c r="K15" s="139">
        <v>0</v>
      </c>
      <c r="L15" s="139">
        <v>0</v>
      </c>
      <c r="M15" s="139">
        <v>0</v>
      </c>
      <c r="N15" s="139">
        <v>0</v>
      </c>
      <c r="O15" s="139">
        <v>0</v>
      </c>
      <c r="P15" s="139">
        <v>0</v>
      </c>
      <c r="Q15" s="140">
        <f t="shared" si="0"/>
        <v>0</v>
      </c>
      <c r="R15" s="140">
        <f t="shared" si="0"/>
        <v>0</v>
      </c>
      <c r="S15" s="139">
        <v>0</v>
      </c>
      <c r="T15" s="308">
        <v>0</v>
      </c>
      <c r="U15" s="139">
        <v>0</v>
      </c>
      <c r="V15" s="308">
        <v>0</v>
      </c>
      <c r="W15" s="308">
        <v>0.3</v>
      </c>
      <c r="X15" s="308">
        <v>0.3</v>
      </c>
      <c r="Y15" s="247">
        <f>S15+U15+W15</f>
        <v>0.3</v>
      </c>
      <c r="Z15" s="140">
        <f>T15+V15+X15</f>
        <v>0.3</v>
      </c>
      <c r="AA15" s="308">
        <v>0</v>
      </c>
      <c r="AB15" s="372">
        <v>5.0000000000000001E-3</v>
      </c>
      <c r="AC15" s="308">
        <v>0</v>
      </c>
      <c r="AD15" s="308">
        <v>0.02</v>
      </c>
      <c r="AE15" s="313">
        <v>0.35</v>
      </c>
      <c r="AF15" s="313">
        <v>0.2</v>
      </c>
      <c r="AG15" s="140">
        <f t="shared" si="1"/>
        <v>0.35</v>
      </c>
      <c r="AH15" s="140">
        <f t="shared" si="1"/>
        <v>0.22500000000000001</v>
      </c>
      <c r="AI15" s="308">
        <v>0</v>
      </c>
      <c r="AJ15" s="308">
        <v>0.2</v>
      </c>
      <c r="AK15" s="308">
        <v>0.35</v>
      </c>
      <c r="AL15" s="308">
        <v>0.15</v>
      </c>
      <c r="AM15" s="308">
        <v>0</v>
      </c>
      <c r="AN15" s="308">
        <v>0.15</v>
      </c>
      <c r="AO15" s="314">
        <f t="shared" si="2"/>
        <v>0.35</v>
      </c>
      <c r="AP15" s="314">
        <f t="shared" si="2"/>
        <v>0.5</v>
      </c>
      <c r="AQ15" s="246">
        <f t="shared" si="3"/>
        <v>0.99999999999999989</v>
      </c>
      <c r="AR15" s="246">
        <f t="shared" si="3"/>
        <v>1.0249999999999999</v>
      </c>
      <c r="AS15" s="244">
        <f>IF(AND(AR15&gt;0,AQ15&gt;0),AR15/AQ15,0)</f>
        <v>1.0250000000000001</v>
      </c>
    </row>
    <row r="16" spans="2:45" ht="23.25">
      <c r="B16" s="634"/>
      <c r="C16" s="635"/>
      <c r="D16" s="635"/>
      <c r="E16" s="635"/>
      <c r="F16" s="635"/>
      <c r="G16" s="635"/>
      <c r="H16" s="635"/>
      <c r="I16" s="635"/>
      <c r="J16" s="635"/>
      <c r="K16" s="635"/>
      <c r="L16" s="635"/>
      <c r="M16" s="635"/>
      <c r="N16" s="635"/>
      <c r="O16" s="635"/>
      <c r="P16" s="635"/>
      <c r="Q16" s="635"/>
      <c r="R16" s="635"/>
      <c r="S16" s="635"/>
      <c r="T16" s="635"/>
      <c r="U16" s="635"/>
      <c r="V16" s="635"/>
      <c r="W16" s="635"/>
      <c r="X16" s="635"/>
      <c r="Y16" s="635"/>
      <c r="Z16" s="635"/>
      <c r="AA16" s="635"/>
      <c r="AB16" s="635"/>
      <c r="AC16" s="635"/>
      <c r="AD16" s="635"/>
      <c r="AE16" s="635"/>
      <c r="AF16" s="635"/>
      <c r="AG16" s="635"/>
      <c r="AH16" s="635"/>
      <c r="AI16" s="635"/>
      <c r="AJ16" s="635"/>
      <c r="AK16" s="635"/>
      <c r="AL16" s="635"/>
      <c r="AM16" s="635"/>
      <c r="AN16" s="635"/>
      <c r="AO16" s="635"/>
      <c r="AP16" s="635"/>
      <c r="AQ16" s="635"/>
      <c r="AR16" s="636"/>
      <c r="AS16" s="318">
        <f>AVERAGE(AS13:AS15)</f>
        <v>1.675</v>
      </c>
    </row>
    <row r="17" spans="2:10" ht="17.25">
      <c r="B17" s="112"/>
      <c r="C17" s="112"/>
      <c r="D17" s="113"/>
      <c r="E17" s="112"/>
      <c r="F17" s="112"/>
      <c r="G17" s="112"/>
      <c r="H17" s="112"/>
      <c r="I17" s="112"/>
      <c r="J17" s="114"/>
    </row>
    <row r="18" spans="2:10" ht="15.75">
      <c r="B18" s="83" t="s">
        <v>4</v>
      </c>
      <c r="C18" s="637"/>
      <c r="D18" s="638"/>
      <c r="E18" s="638"/>
      <c r="F18" s="638"/>
      <c r="G18" s="638"/>
      <c r="H18" s="638"/>
      <c r="I18" s="638"/>
      <c r="J18" s="639"/>
    </row>
    <row r="19" spans="2:10" ht="17.25">
      <c r="B19" s="112"/>
      <c r="C19" s="645"/>
      <c r="D19" s="645"/>
      <c r="E19" s="645"/>
      <c r="F19" s="645"/>
      <c r="G19" s="645"/>
      <c r="H19" s="645"/>
      <c r="I19" s="645"/>
      <c r="J19" s="645"/>
    </row>
    <row r="20" spans="2:10" ht="43.5" customHeight="1">
      <c r="B20" s="84" t="s">
        <v>32</v>
      </c>
      <c r="C20" s="702" t="s">
        <v>523</v>
      </c>
      <c r="D20" s="703"/>
      <c r="E20" s="112"/>
      <c r="F20" s="112"/>
      <c r="G20" s="115" t="s">
        <v>22</v>
      </c>
      <c r="H20" s="704" t="s">
        <v>889</v>
      </c>
      <c r="I20" s="705"/>
      <c r="J20" s="705"/>
    </row>
    <row r="21" spans="2:10" ht="17.25">
      <c r="B21" s="112"/>
      <c r="C21" s="112"/>
      <c r="D21" s="113"/>
      <c r="E21" s="112"/>
      <c r="F21" s="112"/>
      <c r="G21" s="112"/>
      <c r="H21" s="112"/>
      <c r="I21" s="112"/>
      <c r="J21" s="114"/>
    </row>
    <row r="22" spans="2:10" ht="17.25">
      <c r="B22" s="112"/>
      <c r="C22" s="112"/>
      <c r="D22" s="113"/>
      <c r="E22" s="112"/>
      <c r="F22" s="112"/>
      <c r="G22" s="112"/>
      <c r="H22" s="112"/>
      <c r="I22" s="112"/>
      <c r="J22" s="114"/>
    </row>
    <row r="23" spans="2:10" ht="17.25">
      <c r="B23" s="112"/>
      <c r="C23" s="112"/>
      <c r="D23" s="113"/>
      <c r="E23" s="112"/>
      <c r="F23" s="112"/>
      <c r="G23" s="112"/>
      <c r="H23" s="112"/>
      <c r="I23" s="112"/>
      <c r="J23" s="114"/>
    </row>
    <row r="24" spans="2:10" ht="17.25">
      <c r="B24" s="112"/>
      <c r="C24" s="112"/>
      <c r="D24" s="113"/>
      <c r="E24" s="629"/>
      <c r="F24" s="629"/>
      <c r="G24" s="629"/>
      <c r="H24" s="629"/>
      <c r="I24" s="429"/>
      <c r="J24" s="112"/>
    </row>
    <row r="25" spans="2:10" ht="17.25">
      <c r="B25" s="112"/>
      <c r="C25" s="112"/>
      <c r="D25" s="113"/>
      <c r="E25" s="112"/>
      <c r="F25" s="112"/>
      <c r="G25" s="114"/>
      <c r="H25" s="112"/>
      <c r="I25" s="112"/>
      <c r="J25" s="112"/>
    </row>
    <row r="26" spans="2:10" ht="17.25">
      <c r="B26" s="112"/>
      <c r="C26" s="112"/>
      <c r="D26" s="113"/>
      <c r="E26" s="629"/>
      <c r="F26" s="629"/>
      <c r="G26" s="629"/>
      <c r="H26" s="629"/>
      <c r="I26" s="429"/>
      <c r="J26" s="112"/>
    </row>
    <row r="27" spans="2:10" ht="17.25">
      <c r="B27" s="112"/>
      <c r="C27" s="112"/>
      <c r="D27" s="113"/>
      <c r="E27" s="112"/>
      <c r="F27" s="112"/>
      <c r="G27" s="114"/>
      <c r="H27" s="112"/>
      <c r="I27" s="112"/>
      <c r="J27" s="112"/>
    </row>
    <row r="28" spans="2:10" ht="17.25">
      <c r="B28" s="112"/>
      <c r="C28" s="112"/>
      <c r="D28" s="113"/>
      <c r="E28" s="629"/>
      <c r="F28" s="629"/>
      <c r="G28" s="629"/>
      <c r="H28" s="629"/>
      <c r="I28" s="429"/>
      <c r="J28" s="112"/>
    </row>
  </sheetData>
  <sheetProtection algorithmName="SHA-512" hashValue="02apvUv3rBWNl2Ll/paavW6tB3fGw+uJ/F0qElRtbmQbdHpNRgPPUjYOSi6xHksk0Iele1NO8GltR99E4UYfBw==" saltValue="KcvrXqgr9KoRzaWeZtdZqg==" spinCount="100000" sheet="1" objects="1" scenarios="1"/>
  <mergeCells count="49">
    <mergeCell ref="C20:D20"/>
    <mergeCell ref="H20:J20"/>
    <mergeCell ref="E24:H24"/>
    <mergeCell ref="E26:H26"/>
    <mergeCell ref="E28:H28"/>
    <mergeCell ref="AO11:AP11"/>
    <mergeCell ref="B13:B15"/>
    <mergeCell ref="B16:AR16"/>
    <mergeCell ref="C18:J18"/>
    <mergeCell ref="AI11:AJ11"/>
    <mergeCell ref="AK11:AL11"/>
    <mergeCell ref="AA10:AH10"/>
    <mergeCell ref="AI10:AP10"/>
    <mergeCell ref="K11:L11"/>
    <mergeCell ref="M11:N11"/>
    <mergeCell ref="C19:J19"/>
    <mergeCell ref="AA11:AB11"/>
    <mergeCell ref="AC11:AD11"/>
    <mergeCell ref="AE11:AF11"/>
    <mergeCell ref="AG11:AH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AS31"/>
  <sheetViews>
    <sheetView showGridLines="0" zoomScale="55" zoomScaleNormal="55" workbookViewId="0">
      <pane xSplit="5" ySplit="12" topLeftCell="F19" activePane="bottomRight" state="frozen"/>
      <selection pane="topRight" activeCell="F1" sqref="F1"/>
      <selection pane="bottomLeft" activeCell="A13" sqref="A13"/>
      <selection pane="bottomRight" activeCell="H24" sqref="H24"/>
    </sheetView>
  </sheetViews>
  <sheetFormatPr baseColWidth="10" defaultColWidth="17.28515625" defaultRowHeight="15" customHeight="1"/>
  <cols>
    <col min="1" max="1" width="4.28515625" style="89" customWidth="1"/>
    <col min="2" max="2" width="28.42578125" style="86" customWidth="1"/>
    <col min="3" max="3" width="28.5703125" style="86" customWidth="1"/>
    <col min="4" max="4" width="24.5703125" style="87" customWidth="1"/>
    <col min="5" max="5" width="24.85546875" style="86" customWidth="1"/>
    <col min="6" max="7" width="24.28515625" style="86" customWidth="1"/>
    <col min="8" max="8" width="28.5703125" style="86" customWidth="1"/>
    <col min="9" max="9" width="50" style="86" customWidth="1"/>
    <col min="10" max="10" width="28.5703125" style="88" customWidth="1"/>
    <col min="11" max="42" width="14.28515625" style="89" customWidth="1"/>
    <col min="43" max="43" width="18.7109375" style="89" customWidth="1"/>
    <col min="44" max="44" width="21.28515625" style="89" customWidth="1"/>
    <col min="45" max="45" width="18.5703125" style="89" customWidth="1"/>
    <col min="46" max="16384" width="17.28515625" style="89"/>
  </cols>
  <sheetData>
    <row r="1" spans="2:45" ht="18" thickBot="1"/>
    <row r="2" spans="2:45" ht="15.75">
      <c r="B2" s="658"/>
      <c r="C2" s="661" t="s">
        <v>59</v>
      </c>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3"/>
      <c r="AR2" s="670" t="s">
        <v>39</v>
      </c>
      <c r="AS2" s="671"/>
    </row>
    <row r="3" spans="2:45" ht="15.75">
      <c r="B3" s="659"/>
      <c r="C3" s="664"/>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5"/>
      <c r="AG3" s="665"/>
      <c r="AH3" s="665"/>
      <c r="AI3" s="665"/>
      <c r="AJ3" s="665"/>
      <c r="AK3" s="665"/>
      <c r="AL3" s="665"/>
      <c r="AM3" s="665"/>
      <c r="AN3" s="665"/>
      <c r="AO3" s="665"/>
      <c r="AP3" s="665"/>
      <c r="AQ3" s="666"/>
      <c r="AR3" s="532" t="s">
        <v>36</v>
      </c>
      <c r="AS3" s="91" t="s">
        <v>37</v>
      </c>
    </row>
    <row r="4" spans="2:45">
      <c r="B4" s="659"/>
      <c r="C4" s="664"/>
      <c r="D4" s="665"/>
      <c r="E4" s="665"/>
      <c r="F4" s="665"/>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6"/>
      <c r="AR4" s="92">
        <v>3</v>
      </c>
      <c r="AS4" s="93" t="s">
        <v>102</v>
      </c>
    </row>
    <row r="5" spans="2:45" ht="15.75">
      <c r="B5" s="659"/>
      <c r="C5" s="664"/>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6"/>
      <c r="AR5" s="672" t="s">
        <v>38</v>
      </c>
      <c r="AS5" s="673"/>
    </row>
    <row r="6" spans="2:45" ht="15.75" thickBot="1">
      <c r="B6" s="660"/>
      <c r="C6" s="667"/>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9"/>
      <c r="AR6" s="674" t="s">
        <v>100</v>
      </c>
      <c r="AS6" s="675"/>
    </row>
    <row r="7" spans="2:45" ht="17.25">
      <c r="B7" s="94"/>
      <c r="C7" s="94"/>
      <c r="D7" s="95"/>
      <c r="E7" s="94"/>
      <c r="F7" s="94"/>
      <c r="G7" s="94"/>
      <c r="H7" s="94"/>
      <c r="I7" s="94"/>
      <c r="J7" s="96"/>
      <c r="AR7" s="656"/>
      <c r="AS7" s="657"/>
    </row>
    <row r="8" spans="2:45" ht="13.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648"/>
      <c r="AR8" s="649"/>
      <c r="AS8" s="650"/>
    </row>
    <row r="9" spans="2:45" ht="15.75">
      <c r="B9" s="651" t="s">
        <v>35</v>
      </c>
      <c r="C9" s="651" t="s">
        <v>34</v>
      </c>
      <c r="D9" s="651" t="s">
        <v>63</v>
      </c>
      <c r="E9" s="651" t="s">
        <v>66</v>
      </c>
      <c r="F9" s="651" t="s">
        <v>67</v>
      </c>
      <c r="G9" s="651" t="s">
        <v>31</v>
      </c>
      <c r="H9" s="651" t="s">
        <v>25</v>
      </c>
      <c r="I9" s="651" t="s">
        <v>95</v>
      </c>
      <c r="J9" s="651" t="s">
        <v>2</v>
      </c>
      <c r="K9" s="653" t="s">
        <v>5</v>
      </c>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3"/>
      <c r="AK9" s="653"/>
      <c r="AL9" s="653"/>
      <c r="AM9" s="653"/>
      <c r="AN9" s="653"/>
      <c r="AO9" s="653"/>
      <c r="AP9" s="653"/>
      <c r="AQ9" s="654" t="s">
        <v>6</v>
      </c>
      <c r="AR9" s="655" t="s">
        <v>7</v>
      </c>
      <c r="AS9" s="655" t="s">
        <v>24</v>
      </c>
    </row>
    <row r="10" spans="2:45" ht="15.75">
      <c r="B10" s="651"/>
      <c r="C10" s="651"/>
      <c r="D10" s="651"/>
      <c r="E10" s="651"/>
      <c r="F10" s="651"/>
      <c r="G10" s="651"/>
      <c r="H10" s="651"/>
      <c r="I10" s="651"/>
      <c r="J10" s="651"/>
      <c r="K10" s="640" t="s">
        <v>26</v>
      </c>
      <c r="L10" s="640"/>
      <c r="M10" s="640"/>
      <c r="N10" s="640"/>
      <c r="O10" s="640"/>
      <c r="P10" s="640"/>
      <c r="Q10" s="640"/>
      <c r="R10" s="640"/>
      <c r="S10" s="640" t="s">
        <v>27</v>
      </c>
      <c r="T10" s="640"/>
      <c r="U10" s="640"/>
      <c r="V10" s="640"/>
      <c r="W10" s="640"/>
      <c r="X10" s="640"/>
      <c r="Y10" s="640"/>
      <c r="Z10" s="640"/>
      <c r="AA10" s="640" t="s">
        <v>28</v>
      </c>
      <c r="AB10" s="640"/>
      <c r="AC10" s="640"/>
      <c r="AD10" s="640"/>
      <c r="AE10" s="640"/>
      <c r="AF10" s="640"/>
      <c r="AG10" s="640"/>
      <c r="AH10" s="640"/>
      <c r="AI10" s="640" t="s">
        <v>29</v>
      </c>
      <c r="AJ10" s="640"/>
      <c r="AK10" s="640"/>
      <c r="AL10" s="640"/>
      <c r="AM10" s="640"/>
      <c r="AN10" s="640"/>
      <c r="AO10" s="640"/>
      <c r="AP10" s="640"/>
      <c r="AQ10" s="654"/>
      <c r="AR10" s="655"/>
      <c r="AS10" s="655"/>
    </row>
    <row r="11" spans="2:45" ht="15.75" customHeight="1">
      <c r="B11" s="651"/>
      <c r="C11" s="651"/>
      <c r="D11" s="651"/>
      <c r="E11" s="651"/>
      <c r="F11" s="651"/>
      <c r="G11" s="651"/>
      <c r="H11" s="651"/>
      <c r="I11" s="651"/>
      <c r="J11" s="651"/>
      <c r="K11" s="640" t="s">
        <v>8</v>
      </c>
      <c r="L11" s="640"/>
      <c r="M11" s="640" t="s">
        <v>9</v>
      </c>
      <c r="N11" s="640"/>
      <c r="O11" s="646" t="s">
        <v>10</v>
      </c>
      <c r="P11" s="647"/>
      <c r="Q11" s="630" t="s">
        <v>11</v>
      </c>
      <c r="R11" s="631"/>
      <c r="S11" s="640" t="s">
        <v>33</v>
      </c>
      <c r="T11" s="640"/>
      <c r="U11" s="640" t="s">
        <v>12</v>
      </c>
      <c r="V11" s="640"/>
      <c r="W11" s="640" t="s">
        <v>13</v>
      </c>
      <c r="X11" s="640"/>
      <c r="Y11" s="630" t="s">
        <v>11</v>
      </c>
      <c r="Z11" s="631"/>
      <c r="AA11" s="640" t="s">
        <v>14</v>
      </c>
      <c r="AB11" s="640"/>
      <c r="AC11" s="640" t="s">
        <v>15</v>
      </c>
      <c r="AD11" s="640"/>
      <c r="AE11" s="640" t="s">
        <v>16</v>
      </c>
      <c r="AF11" s="640"/>
      <c r="AG11" s="630" t="s">
        <v>11</v>
      </c>
      <c r="AH11" s="631"/>
      <c r="AI11" s="640" t="s">
        <v>17</v>
      </c>
      <c r="AJ11" s="640"/>
      <c r="AK11" s="640" t="s">
        <v>18</v>
      </c>
      <c r="AL11" s="640"/>
      <c r="AM11" s="640" t="s">
        <v>19</v>
      </c>
      <c r="AN11" s="640"/>
      <c r="AO11" s="630" t="s">
        <v>11</v>
      </c>
      <c r="AP11" s="631"/>
      <c r="AQ11" s="654"/>
      <c r="AR11" s="655"/>
      <c r="AS11" s="655"/>
    </row>
    <row r="12" spans="2:45" ht="13.5">
      <c r="B12" s="652"/>
      <c r="C12" s="652"/>
      <c r="D12" s="652"/>
      <c r="E12" s="652"/>
      <c r="F12" s="652"/>
      <c r="G12" s="652"/>
      <c r="H12" s="652"/>
      <c r="I12" s="652"/>
      <c r="J12" s="652"/>
      <c r="K12" s="75" t="s">
        <v>20</v>
      </c>
      <c r="L12" s="76" t="s">
        <v>21</v>
      </c>
      <c r="M12" s="75" t="s">
        <v>20</v>
      </c>
      <c r="N12" s="76" t="s">
        <v>21</v>
      </c>
      <c r="O12" s="75" t="s">
        <v>20</v>
      </c>
      <c r="P12" s="76" t="s">
        <v>21</v>
      </c>
      <c r="Q12" s="77" t="s">
        <v>20</v>
      </c>
      <c r="R12" s="78" t="s">
        <v>21</v>
      </c>
      <c r="S12" s="75" t="s">
        <v>20</v>
      </c>
      <c r="T12" s="76" t="s">
        <v>21</v>
      </c>
      <c r="U12" s="75" t="s">
        <v>20</v>
      </c>
      <c r="V12" s="76" t="s">
        <v>21</v>
      </c>
      <c r="W12" s="75" t="s">
        <v>20</v>
      </c>
      <c r="X12" s="76" t="s">
        <v>21</v>
      </c>
      <c r="Y12" s="77" t="s">
        <v>20</v>
      </c>
      <c r="Z12" s="78" t="s">
        <v>21</v>
      </c>
      <c r="AA12" s="75" t="s">
        <v>20</v>
      </c>
      <c r="AB12" s="76" t="s">
        <v>21</v>
      </c>
      <c r="AC12" s="75" t="s">
        <v>20</v>
      </c>
      <c r="AD12" s="76" t="s">
        <v>21</v>
      </c>
      <c r="AE12" s="75" t="s">
        <v>20</v>
      </c>
      <c r="AF12" s="76" t="s">
        <v>21</v>
      </c>
      <c r="AG12" s="77" t="s">
        <v>20</v>
      </c>
      <c r="AH12" s="78" t="s">
        <v>21</v>
      </c>
      <c r="AI12" s="75" t="s">
        <v>20</v>
      </c>
      <c r="AJ12" s="76" t="s">
        <v>21</v>
      </c>
      <c r="AK12" s="75" t="s">
        <v>20</v>
      </c>
      <c r="AL12" s="76" t="s">
        <v>21</v>
      </c>
      <c r="AM12" s="75" t="s">
        <v>20</v>
      </c>
      <c r="AN12" s="76" t="s">
        <v>21</v>
      </c>
      <c r="AO12" s="77" t="s">
        <v>20</v>
      </c>
      <c r="AP12" s="78" t="s">
        <v>21</v>
      </c>
      <c r="AQ12" s="654"/>
      <c r="AR12" s="655"/>
      <c r="AS12" s="655"/>
    </row>
    <row r="13" spans="2:45" ht="299.25" customHeight="1">
      <c r="B13" s="706" t="s">
        <v>345</v>
      </c>
      <c r="C13" s="224" t="s">
        <v>401</v>
      </c>
      <c r="D13" s="135">
        <v>0.4</v>
      </c>
      <c r="E13" s="136" t="s">
        <v>548</v>
      </c>
      <c r="F13" s="136" t="s">
        <v>346</v>
      </c>
      <c r="G13" s="137">
        <v>0.6</v>
      </c>
      <c r="H13" s="136" t="s">
        <v>347</v>
      </c>
      <c r="I13" s="136" t="s">
        <v>348</v>
      </c>
      <c r="J13" s="104" t="s">
        <v>532</v>
      </c>
      <c r="K13" s="139">
        <v>0</v>
      </c>
      <c r="L13" s="139">
        <v>0</v>
      </c>
      <c r="M13" s="139">
        <v>0</v>
      </c>
      <c r="N13" s="139">
        <v>0</v>
      </c>
      <c r="O13" s="139">
        <v>0.05</v>
      </c>
      <c r="P13" s="139">
        <v>0.05</v>
      </c>
      <c r="Q13" s="140">
        <f>K13+M13+O13</f>
        <v>0.05</v>
      </c>
      <c r="R13" s="140">
        <f>L13+N13+P13</f>
        <v>0.05</v>
      </c>
      <c r="S13" s="139">
        <v>0</v>
      </c>
      <c r="T13" s="139">
        <v>0</v>
      </c>
      <c r="U13" s="139">
        <v>0.05</v>
      </c>
      <c r="V13" s="139">
        <v>0.05</v>
      </c>
      <c r="W13" s="139">
        <v>0.05</v>
      </c>
      <c r="X13" s="139">
        <v>0.05</v>
      </c>
      <c r="Y13" s="140">
        <f>S13+U13+W13</f>
        <v>0.1</v>
      </c>
      <c r="Z13" s="140">
        <f>T13+V13+X13</f>
        <v>0.1</v>
      </c>
      <c r="AA13" s="139">
        <v>0.05</v>
      </c>
      <c r="AB13" s="139">
        <v>0.05</v>
      </c>
      <c r="AC13" s="139">
        <v>0.05</v>
      </c>
      <c r="AD13" s="139">
        <v>0.05</v>
      </c>
      <c r="AE13" s="256">
        <v>0.05</v>
      </c>
      <c r="AF13" s="139">
        <v>0.05</v>
      </c>
      <c r="AG13" s="140">
        <f>AA13+AC13+AE13</f>
        <v>0.15000000000000002</v>
      </c>
      <c r="AH13" s="140">
        <f>AB13+AD13+AF13</f>
        <v>0.15000000000000002</v>
      </c>
      <c r="AI13" s="139">
        <v>0.05</v>
      </c>
      <c r="AJ13" s="139">
        <v>0.05</v>
      </c>
      <c r="AK13" s="139">
        <v>0.05</v>
      </c>
      <c r="AL13" s="139">
        <v>0.05</v>
      </c>
      <c r="AM13" s="139">
        <v>0</v>
      </c>
      <c r="AN13" s="139">
        <v>0</v>
      </c>
      <c r="AO13" s="140">
        <f>AI13+AK13+AM13</f>
        <v>0.1</v>
      </c>
      <c r="AP13" s="140">
        <f>AJ13+AL13+AN13</f>
        <v>0.1</v>
      </c>
      <c r="AQ13" s="140">
        <f>Q13+Y13+AG13+AO13</f>
        <v>0.4</v>
      </c>
      <c r="AR13" s="131">
        <f>R13+Z13+AH13+AP13</f>
        <v>0.4</v>
      </c>
      <c r="AS13" s="244">
        <f t="shared" ref="AS13:AS18" si="0">IF(AND(AR13&gt;0,AQ13&gt;0),AR13/AQ13,0)</f>
        <v>1</v>
      </c>
    </row>
    <row r="14" spans="2:45" ht="120">
      <c r="B14" s="707"/>
      <c r="C14" s="224" t="s">
        <v>402</v>
      </c>
      <c r="D14" s="135">
        <v>0.6</v>
      </c>
      <c r="E14" s="136" t="s">
        <v>549</v>
      </c>
      <c r="F14" s="136" t="s">
        <v>349</v>
      </c>
      <c r="G14" s="137" t="s">
        <v>198</v>
      </c>
      <c r="H14" s="136" t="s">
        <v>350</v>
      </c>
      <c r="I14" s="136" t="s">
        <v>351</v>
      </c>
      <c r="J14" s="104" t="s">
        <v>536</v>
      </c>
      <c r="K14" s="139">
        <v>0</v>
      </c>
      <c r="L14" s="139">
        <v>0</v>
      </c>
      <c r="M14" s="139">
        <v>0</v>
      </c>
      <c r="N14" s="139">
        <v>0</v>
      </c>
      <c r="O14" s="139">
        <v>0.05</v>
      </c>
      <c r="P14" s="139">
        <v>0.05</v>
      </c>
      <c r="Q14" s="140">
        <f t="shared" ref="Q14:R16" si="1">K14+M14+O14</f>
        <v>0.05</v>
      </c>
      <c r="R14" s="140">
        <f t="shared" si="1"/>
        <v>0.05</v>
      </c>
      <c r="S14" s="139">
        <v>0.05</v>
      </c>
      <c r="T14" s="139">
        <v>0.06</v>
      </c>
      <c r="U14" s="139">
        <v>0.05</v>
      </c>
      <c r="V14" s="139">
        <v>0.06</v>
      </c>
      <c r="W14" s="139">
        <v>0.05</v>
      </c>
      <c r="X14" s="139">
        <v>7.4999999999999997E-2</v>
      </c>
      <c r="Y14" s="140">
        <f t="shared" ref="Y14:Z16" si="2">S14+U14+W14</f>
        <v>0.15000000000000002</v>
      </c>
      <c r="Z14" s="140">
        <f t="shared" si="2"/>
        <v>0.19500000000000001</v>
      </c>
      <c r="AA14" s="139">
        <v>0.05</v>
      </c>
      <c r="AB14" s="139">
        <v>6.5000000000000002E-2</v>
      </c>
      <c r="AC14" s="139">
        <v>0.1</v>
      </c>
      <c r="AD14" s="139">
        <v>0.15</v>
      </c>
      <c r="AE14" s="256">
        <v>0.1</v>
      </c>
      <c r="AF14" s="139">
        <v>0.15</v>
      </c>
      <c r="AG14" s="140">
        <f t="shared" ref="AG14:AH16" si="3">AA14+AC14+AE14</f>
        <v>0.25</v>
      </c>
      <c r="AH14" s="140">
        <f t="shared" si="3"/>
        <v>0.36499999999999999</v>
      </c>
      <c r="AI14" s="139">
        <v>0.05</v>
      </c>
      <c r="AJ14" s="139">
        <v>0.03</v>
      </c>
      <c r="AK14" s="139">
        <v>0.05</v>
      </c>
      <c r="AL14" s="139">
        <v>0.02</v>
      </c>
      <c r="AM14" s="139">
        <v>0.05</v>
      </c>
      <c r="AN14" s="139">
        <v>0.01</v>
      </c>
      <c r="AO14" s="140">
        <f t="shared" ref="AO14:AP16" si="4">AI14+AK14+AM14</f>
        <v>0.15000000000000002</v>
      </c>
      <c r="AP14" s="140">
        <f t="shared" si="4"/>
        <v>6.0000000000000005E-2</v>
      </c>
      <c r="AQ14" s="140">
        <f t="shared" ref="AQ14:AR16" si="5">Q14+Y14+AG14+AO14</f>
        <v>0.60000000000000009</v>
      </c>
      <c r="AR14" s="140">
        <f t="shared" si="5"/>
        <v>0.67</v>
      </c>
      <c r="AS14" s="244">
        <f t="shared" si="0"/>
        <v>1.1166666666666665</v>
      </c>
    </row>
    <row r="15" spans="2:45" ht="155.25" customHeight="1">
      <c r="B15" s="707"/>
      <c r="C15" s="134" t="s">
        <v>403</v>
      </c>
      <c r="D15" s="135">
        <v>0.2</v>
      </c>
      <c r="E15" s="136" t="s">
        <v>550</v>
      </c>
      <c r="F15" s="136" t="s">
        <v>352</v>
      </c>
      <c r="G15" s="137">
        <v>0.8</v>
      </c>
      <c r="H15" s="136" t="s">
        <v>353</v>
      </c>
      <c r="I15" s="136" t="s">
        <v>354</v>
      </c>
      <c r="J15" s="104" t="s">
        <v>536</v>
      </c>
      <c r="K15" s="139">
        <v>0</v>
      </c>
      <c r="L15" s="139">
        <v>0</v>
      </c>
      <c r="M15" s="139">
        <v>0</v>
      </c>
      <c r="N15" s="139">
        <v>0</v>
      </c>
      <c r="O15" s="139">
        <v>2.5000000000000001E-2</v>
      </c>
      <c r="P15" s="139">
        <v>2.5000000000000001E-2</v>
      </c>
      <c r="Q15" s="140">
        <f t="shared" si="1"/>
        <v>2.5000000000000001E-2</v>
      </c>
      <c r="R15" s="140">
        <f t="shared" si="1"/>
        <v>2.5000000000000001E-2</v>
      </c>
      <c r="S15" s="139">
        <v>0</v>
      </c>
      <c r="T15" s="139">
        <v>0</v>
      </c>
      <c r="U15" s="139">
        <v>2.5000000000000001E-2</v>
      </c>
      <c r="V15" s="139">
        <v>0.03</v>
      </c>
      <c r="W15" s="139">
        <v>0.05</v>
      </c>
      <c r="X15" s="139">
        <v>6.5000000000000002E-2</v>
      </c>
      <c r="Y15" s="140">
        <f t="shared" si="2"/>
        <v>7.5000000000000011E-2</v>
      </c>
      <c r="Z15" s="140">
        <f t="shared" si="2"/>
        <v>9.5000000000000001E-2</v>
      </c>
      <c r="AA15" s="139">
        <v>0.05</v>
      </c>
      <c r="AB15" s="139">
        <v>2.5000000000000001E-2</v>
      </c>
      <c r="AC15" s="139">
        <v>0</v>
      </c>
      <c r="AD15" s="139">
        <v>0</v>
      </c>
      <c r="AE15" s="256">
        <v>0.05</v>
      </c>
      <c r="AF15" s="139">
        <v>0.04</v>
      </c>
      <c r="AG15" s="140">
        <f t="shared" si="3"/>
        <v>0.1</v>
      </c>
      <c r="AH15" s="140">
        <f t="shared" si="3"/>
        <v>6.5000000000000002E-2</v>
      </c>
      <c r="AI15" s="139">
        <v>0</v>
      </c>
      <c r="AJ15" s="139">
        <v>5.0000000000000001E-3</v>
      </c>
      <c r="AK15" s="139">
        <v>0</v>
      </c>
      <c r="AL15" s="139">
        <v>6.0000000000000001E-3</v>
      </c>
      <c r="AM15" s="139">
        <v>0</v>
      </c>
      <c r="AN15" s="139">
        <v>0</v>
      </c>
      <c r="AO15" s="140">
        <f t="shared" si="4"/>
        <v>0</v>
      </c>
      <c r="AP15" s="140">
        <f t="shared" si="4"/>
        <v>1.0999999999999999E-2</v>
      </c>
      <c r="AQ15" s="140">
        <f t="shared" si="5"/>
        <v>0.2</v>
      </c>
      <c r="AR15" s="140">
        <f t="shared" si="5"/>
        <v>0.19600000000000001</v>
      </c>
      <c r="AS15" s="244">
        <f t="shared" si="0"/>
        <v>0.98</v>
      </c>
    </row>
    <row r="16" spans="2:45" ht="105">
      <c r="B16" s="707"/>
      <c r="C16" s="134" t="s">
        <v>404</v>
      </c>
      <c r="D16" s="135">
        <v>0.4</v>
      </c>
      <c r="E16" s="136" t="s">
        <v>551</v>
      </c>
      <c r="F16" s="136" t="s">
        <v>355</v>
      </c>
      <c r="G16" s="137">
        <v>0.6</v>
      </c>
      <c r="H16" s="136" t="s">
        <v>356</v>
      </c>
      <c r="I16" s="136" t="s">
        <v>357</v>
      </c>
      <c r="J16" s="104" t="s">
        <v>536</v>
      </c>
      <c r="K16" s="139">
        <v>0</v>
      </c>
      <c r="L16" s="139">
        <v>0</v>
      </c>
      <c r="M16" s="139">
        <v>0</v>
      </c>
      <c r="N16" s="139">
        <v>0</v>
      </c>
      <c r="O16" s="139">
        <v>0.05</v>
      </c>
      <c r="P16" s="139">
        <v>0.05</v>
      </c>
      <c r="Q16" s="140">
        <f t="shared" si="1"/>
        <v>0.05</v>
      </c>
      <c r="R16" s="140">
        <f t="shared" si="1"/>
        <v>0.05</v>
      </c>
      <c r="S16" s="139">
        <v>0.05</v>
      </c>
      <c r="T16" s="139">
        <v>0.05</v>
      </c>
      <c r="U16" s="139">
        <v>0.05</v>
      </c>
      <c r="V16" s="139">
        <v>0.05</v>
      </c>
      <c r="W16" s="139">
        <v>0.05</v>
      </c>
      <c r="X16" s="139">
        <v>0.05</v>
      </c>
      <c r="Y16" s="140">
        <f t="shared" si="2"/>
        <v>0.15000000000000002</v>
      </c>
      <c r="Z16" s="140">
        <f t="shared" si="2"/>
        <v>0.15000000000000002</v>
      </c>
      <c r="AA16" s="139">
        <v>0.05</v>
      </c>
      <c r="AB16" s="139">
        <v>0.05</v>
      </c>
      <c r="AC16" s="139">
        <v>0.05</v>
      </c>
      <c r="AD16" s="139">
        <v>0.05</v>
      </c>
      <c r="AE16" s="256">
        <v>0.05</v>
      </c>
      <c r="AF16" s="139">
        <v>0.05</v>
      </c>
      <c r="AG16" s="140">
        <f t="shared" si="3"/>
        <v>0.15000000000000002</v>
      </c>
      <c r="AH16" s="140">
        <f t="shared" si="3"/>
        <v>0.15000000000000002</v>
      </c>
      <c r="AI16" s="139">
        <v>0.05</v>
      </c>
      <c r="AJ16" s="139">
        <v>0.05</v>
      </c>
      <c r="AK16" s="139">
        <v>0</v>
      </c>
      <c r="AL16" s="139">
        <v>0</v>
      </c>
      <c r="AM16" s="139">
        <v>0</v>
      </c>
      <c r="AN16" s="139">
        <v>0</v>
      </c>
      <c r="AO16" s="140">
        <f t="shared" si="4"/>
        <v>0.05</v>
      </c>
      <c r="AP16" s="140">
        <f t="shared" si="4"/>
        <v>0.05</v>
      </c>
      <c r="AQ16" s="140">
        <f t="shared" si="5"/>
        <v>0.4</v>
      </c>
      <c r="AR16" s="140">
        <f t="shared" si="5"/>
        <v>0.4</v>
      </c>
      <c r="AS16" s="244">
        <f t="shared" si="0"/>
        <v>1</v>
      </c>
    </row>
    <row r="17" spans="2:45" ht="138" customHeight="1">
      <c r="B17" s="707"/>
      <c r="C17" s="134" t="s">
        <v>405</v>
      </c>
      <c r="D17" s="350">
        <v>0.91249999999999998</v>
      </c>
      <c r="E17" s="136" t="s">
        <v>358</v>
      </c>
      <c r="F17" s="136" t="s">
        <v>359</v>
      </c>
      <c r="G17" s="138">
        <v>0.9</v>
      </c>
      <c r="H17" s="136" t="s">
        <v>360</v>
      </c>
      <c r="I17" s="136" t="s">
        <v>361</v>
      </c>
      <c r="J17" s="104" t="s">
        <v>536</v>
      </c>
      <c r="K17" s="308">
        <v>0.95</v>
      </c>
      <c r="L17" s="308">
        <v>0.89900000000000002</v>
      </c>
      <c r="M17" s="308">
        <v>0.95</v>
      </c>
      <c r="N17" s="308">
        <v>0.91400000000000003</v>
      </c>
      <c r="O17" s="308">
        <v>0.95</v>
      </c>
      <c r="P17" s="308">
        <v>0.94299999999999995</v>
      </c>
      <c r="Q17" s="247">
        <f>(K17+M17+O17)/3</f>
        <v>0.94999999999999984</v>
      </c>
      <c r="R17" s="247">
        <f>IFERROR(IF(OR($AQ$17="",$AQ$17=0),0,ROUNDDOWN(AVERAGE(L17,N17,P17),3)),0)</f>
        <v>0.91800000000000004</v>
      </c>
      <c r="S17" s="308">
        <v>0.9</v>
      </c>
      <c r="T17" s="308">
        <v>0.93497757847533602</v>
      </c>
      <c r="U17" s="308">
        <v>0.9</v>
      </c>
      <c r="V17" s="308">
        <v>0.98099999999999998</v>
      </c>
      <c r="W17" s="308">
        <v>0.9</v>
      </c>
      <c r="X17" s="308">
        <v>0.97699999999999998</v>
      </c>
      <c r="Y17" s="247">
        <f>(S17+U17+W17)/3</f>
        <v>0.9</v>
      </c>
      <c r="Z17" s="247">
        <f>IFERROR(IF(OR($AQ$17="",$AQ$17=0),0,ROUNDDOWN(AVERAGE(T17,V17,X17),3)),0)</f>
        <v>0.96399999999999997</v>
      </c>
      <c r="AA17" s="308">
        <v>0.9</v>
      </c>
      <c r="AB17" s="308">
        <v>0.91721854304635764</v>
      </c>
      <c r="AC17" s="308">
        <v>0.9</v>
      </c>
      <c r="AD17" s="308">
        <v>0.9</v>
      </c>
      <c r="AE17" s="308">
        <v>0.9</v>
      </c>
      <c r="AF17" s="308">
        <v>0.90636254501800717</v>
      </c>
      <c r="AG17" s="247">
        <f>(AA17+AC17+AE17)/3</f>
        <v>0.9</v>
      </c>
      <c r="AH17" s="247">
        <f>IFERROR(IF(OR($AQ$17="",$AQ$17=0),0,ROUNDDOWN(AVERAGE(AB17,AD17,AF17),3)),0)</f>
        <v>0.90700000000000003</v>
      </c>
      <c r="AI17" s="308">
        <v>0.9</v>
      </c>
      <c r="AJ17" s="308">
        <v>0.90100000000000002</v>
      </c>
      <c r="AK17" s="308">
        <v>0.9</v>
      </c>
      <c r="AL17" s="308">
        <v>0.90500000000000003</v>
      </c>
      <c r="AM17" s="308">
        <v>0.9</v>
      </c>
      <c r="AN17" s="308">
        <v>0.90100000000000002</v>
      </c>
      <c r="AO17" s="247">
        <f>(AI17+AK17+AM17)/3</f>
        <v>0.9</v>
      </c>
      <c r="AP17" s="247">
        <f>IFERROR(IF(OR($AQ$17="",$AQ$17=0),0,ROUNDDOWN(AVERAGE(AJ17,AL17,AN17),3)),0)</f>
        <v>0.90200000000000002</v>
      </c>
      <c r="AQ17" s="140">
        <f>(Q17+Y17+AG17+AO17)/4</f>
        <v>0.91249999999999998</v>
      </c>
      <c r="AR17" s="140">
        <f>IFERROR(IF(OR(AQ17="",AQ17=0),0,ROUNDDOWN(AVERAGE(L17,N17,P17,T17,V17,X17,AB17,AD17,AF17,AJ17,AL17,AN17),3)),0)</f>
        <v>0.92300000000000004</v>
      </c>
      <c r="AS17" s="244">
        <f t="shared" si="0"/>
        <v>1.0115068493150685</v>
      </c>
    </row>
    <row r="18" spans="2:45" ht="75">
      <c r="B18" s="708"/>
      <c r="C18" s="134" t="s">
        <v>406</v>
      </c>
      <c r="D18" s="350">
        <v>0.91249999999999998</v>
      </c>
      <c r="E18" s="136" t="s">
        <v>362</v>
      </c>
      <c r="F18" s="136" t="s">
        <v>363</v>
      </c>
      <c r="G18" s="138">
        <v>0.9</v>
      </c>
      <c r="H18" s="103" t="s">
        <v>364</v>
      </c>
      <c r="I18" s="103" t="s">
        <v>365</v>
      </c>
      <c r="J18" s="104" t="s">
        <v>536</v>
      </c>
      <c r="K18" s="308">
        <v>0.95</v>
      </c>
      <c r="L18" s="308">
        <v>0.95599999999999996</v>
      </c>
      <c r="M18" s="308">
        <v>0.95</v>
      </c>
      <c r="N18" s="308">
        <v>0.93799999999999994</v>
      </c>
      <c r="O18" s="308">
        <v>0.95</v>
      </c>
      <c r="P18" s="308">
        <v>0.93600000000000005</v>
      </c>
      <c r="Q18" s="247">
        <f>(K18+M18+O18)/3</f>
        <v>0.94999999999999984</v>
      </c>
      <c r="R18" s="247">
        <f>IFERROR(IF(OR(AQ18="",AQ18=0),0,ROUNDDOWN(AVERAGE(L18,N18,P18),3)),0)</f>
        <v>0.94299999999999995</v>
      </c>
      <c r="S18" s="308">
        <v>0.9</v>
      </c>
      <c r="T18" s="308">
        <v>0.97099999999999997</v>
      </c>
      <c r="U18" s="308">
        <v>0.9</v>
      </c>
      <c r="V18" s="308">
        <v>0.98299999999999998</v>
      </c>
      <c r="W18" s="308">
        <v>0.9</v>
      </c>
      <c r="X18" s="308">
        <v>0.98699999999999999</v>
      </c>
      <c r="Y18" s="247">
        <f>(S18+U18+W18)/3</f>
        <v>0.9</v>
      </c>
      <c r="Z18" s="247">
        <f>IFERROR(IF(OR(AQ18="",AQ18=0),0,ROUNDDOWN(AVERAGE(T18,V18,X18),3)),0)</f>
        <v>0.98</v>
      </c>
      <c r="AA18" s="308">
        <v>0.9</v>
      </c>
      <c r="AB18" s="308">
        <f>628/643</f>
        <v>0.97667185069984452</v>
      </c>
      <c r="AC18" s="308">
        <v>0.9</v>
      </c>
      <c r="AD18" s="308">
        <f>612/623</f>
        <v>0.9823434991974318</v>
      </c>
      <c r="AE18" s="308">
        <v>0.9</v>
      </c>
      <c r="AF18" s="308">
        <f>459/494</f>
        <v>0.92914979757085026</v>
      </c>
      <c r="AG18" s="247">
        <f>(AA18+AC18+AE18)/3</f>
        <v>0.9</v>
      </c>
      <c r="AH18" s="247">
        <f>IFERROR(IF(OR($AQ$18="",$AQ$18=0),0,ROUNDDOWN(AVERAGE(AB18,AD18,AF18),3)),0)</f>
        <v>0.96199999999999997</v>
      </c>
      <c r="AI18" s="308">
        <v>0.9</v>
      </c>
      <c r="AJ18" s="308">
        <v>0.93500000000000005</v>
      </c>
      <c r="AK18" s="308">
        <v>0.9</v>
      </c>
      <c r="AL18" s="308">
        <v>0.95099999999999996</v>
      </c>
      <c r="AM18" s="308">
        <v>0.9</v>
      </c>
      <c r="AN18" s="308">
        <v>0.95899999999999996</v>
      </c>
      <c r="AO18" s="247">
        <f>(AI18+AK18+AM18)/3</f>
        <v>0.9</v>
      </c>
      <c r="AP18" s="247">
        <f>IFERROR(IF(OR($AQ$18="",$AQ$18=0),0,ROUNDDOWN(AVERAGE(AJ18,AL18,AN18),3)),0)</f>
        <v>0.94799999999999995</v>
      </c>
      <c r="AQ18" s="140">
        <f>(Q18+Y18+AG18+AO18)/4</f>
        <v>0.91249999999999998</v>
      </c>
      <c r="AR18" s="140">
        <f>IFERROR(IF(OR(AQ18="",AQ18=0),0,ROUNDDOWN(AVERAGE(L18,N18,P18,T18,V18,X18,AB18,AD18,AF18,AJ18,AL18,AN18),3)),0)</f>
        <v>0.95799999999999996</v>
      </c>
      <c r="AS18" s="244">
        <f t="shared" si="0"/>
        <v>1.0498630136986302</v>
      </c>
    </row>
    <row r="19" spans="2:45" ht="23.25">
      <c r="B19" s="634" t="s">
        <v>23</v>
      </c>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5"/>
      <c r="AG19" s="635"/>
      <c r="AH19" s="635"/>
      <c r="AI19" s="635"/>
      <c r="AJ19" s="635"/>
      <c r="AK19" s="635"/>
      <c r="AL19" s="635"/>
      <c r="AM19" s="635"/>
      <c r="AN19" s="635"/>
      <c r="AO19" s="635"/>
      <c r="AP19" s="635"/>
      <c r="AQ19" s="635"/>
      <c r="AR19" s="636"/>
      <c r="AS19" s="245">
        <f>AVERAGE(AS13:AS18)</f>
        <v>1.0263394216133941</v>
      </c>
    </row>
    <row r="20" spans="2:45" ht="17.25">
      <c r="B20" s="112"/>
      <c r="C20" s="112"/>
      <c r="D20" s="113"/>
      <c r="E20" s="112"/>
      <c r="F20" s="112"/>
      <c r="G20" s="112"/>
      <c r="H20" s="112"/>
      <c r="I20" s="112"/>
      <c r="J20" s="114"/>
    </row>
    <row r="21" spans="2:45" ht="15.75">
      <c r="B21" s="83" t="s">
        <v>4</v>
      </c>
      <c r="C21" s="637"/>
      <c r="D21" s="638"/>
      <c r="E21" s="638"/>
      <c r="F21" s="638"/>
      <c r="G21" s="638"/>
      <c r="H21" s="638"/>
      <c r="I21" s="638"/>
      <c r="J21" s="639"/>
    </row>
    <row r="22" spans="2:45" ht="17.25">
      <c r="B22" s="112"/>
      <c r="C22" s="645"/>
      <c r="D22" s="645"/>
      <c r="E22" s="645"/>
      <c r="F22" s="645"/>
      <c r="G22" s="645"/>
      <c r="H22" s="645"/>
      <c r="I22" s="645"/>
      <c r="J22" s="645"/>
    </row>
    <row r="23" spans="2:45" ht="31.5">
      <c r="B23" s="84" t="s">
        <v>32</v>
      </c>
      <c r="C23" s="709" t="s">
        <v>822</v>
      </c>
      <c r="D23" s="626"/>
      <c r="E23" s="112"/>
      <c r="F23" s="112"/>
      <c r="G23" s="115" t="s">
        <v>22</v>
      </c>
      <c r="H23" s="704" t="s">
        <v>900</v>
      </c>
      <c r="I23" s="705"/>
      <c r="J23" s="705"/>
    </row>
    <row r="24" spans="2:45" ht="17.25">
      <c r="B24" s="112"/>
      <c r="C24" s="112"/>
      <c r="D24" s="113"/>
      <c r="E24" s="112"/>
      <c r="F24" s="112"/>
      <c r="G24" s="112"/>
      <c r="H24" s="112"/>
      <c r="I24" s="112"/>
      <c r="J24" s="114"/>
    </row>
    <row r="25" spans="2:45" ht="17.25">
      <c r="B25" s="112"/>
      <c r="C25" s="112"/>
      <c r="D25" s="113"/>
      <c r="E25" s="112"/>
      <c r="F25" s="112"/>
      <c r="G25" s="112"/>
      <c r="H25" s="112"/>
      <c r="I25" s="112"/>
      <c r="J25" s="114"/>
    </row>
    <row r="26" spans="2:45" ht="17.25">
      <c r="B26" s="112"/>
      <c r="C26" s="112"/>
      <c r="D26" s="113"/>
      <c r="E26" s="112"/>
      <c r="F26" s="112"/>
      <c r="G26" s="112"/>
      <c r="H26" s="112"/>
      <c r="I26" s="112"/>
      <c r="J26" s="114"/>
    </row>
    <row r="27" spans="2:45" ht="17.25">
      <c r="B27" s="112"/>
      <c r="C27" s="112"/>
      <c r="D27" s="113"/>
      <c r="E27" s="629"/>
      <c r="F27" s="629"/>
      <c r="G27" s="629"/>
      <c r="H27" s="629"/>
      <c r="I27" s="429"/>
      <c r="J27" s="112"/>
    </row>
    <row r="28" spans="2:45" ht="17.25">
      <c r="B28" s="112"/>
      <c r="C28" s="112"/>
      <c r="D28" s="113"/>
      <c r="E28" s="112"/>
      <c r="F28" s="112"/>
      <c r="G28" s="114"/>
      <c r="H28" s="112"/>
      <c r="I28" s="112"/>
      <c r="J28" s="112"/>
    </row>
    <row r="29" spans="2:45" ht="17.25">
      <c r="B29" s="112"/>
      <c r="C29" s="112"/>
      <c r="D29" s="113"/>
      <c r="E29" s="629"/>
      <c r="F29" s="629"/>
      <c r="G29" s="629"/>
      <c r="H29" s="629"/>
      <c r="I29" s="429"/>
      <c r="J29" s="112"/>
    </row>
    <row r="30" spans="2:45" ht="17.25">
      <c r="B30" s="112"/>
      <c r="C30" s="112"/>
      <c r="D30" s="113"/>
      <c r="E30" s="112"/>
      <c r="F30" s="112"/>
      <c r="G30" s="114"/>
      <c r="H30" s="112"/>
      <c r="I30" s="112"/>
      <c r="J30" s="112"/>
    </row>
    <row r="31" spans="2:45" ht="17.25">
      <c r="B31" s="112"/>
      <c r="C31" s="112"/>
      <c r="D31" s="113"/>
      <c r="E31" s="629"/>
      <c r="F31" s="629"/>
      <c r="G31" s="629"/>
      <c r="H31" s="629"/>
      <c r="I31" s="429"/>
      <c r="J31" s="112"/>
    </row>
  </sheetData>
  <sheetProtection algorithmName="SHA-512" hashValue="w2a6iZ5HwqwEEeh8oJn5/aJjwlXXVtZ36LHcmWSNxQFYsMO9TqCLsrd6iloX892D7xW90oHkj+nVPtoH7WzPWg==" saltValue="ThvrYOtmLt0eKd54uiIH4A=="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7:H27"/>
    <mergeCell ref="E29:H29"/>
    <mergeCell ref="E31:H31"/>
    <mergeCell ref="B13:B18"/>
    <mergeCell ref="AM11:AN11"/>
    <mergeCell ref="W11:X11"/>
    <mergeCell ref="Y11:Z11"/>
    <mergeCell ref="B19:AR19"/>
    <mergeCell ref="C21:J21"/>
    <mergeCell ref="C22:J22"/>
    <mergeCell ref="C23:D23"/>
    <mergeCell ref="H23:J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3</vt:i4>
      </vt:variant>
    </vt:vector>
  </HeadingPairs>
  <TitlesOfParts>
    <vt:vector size="27" baseType="lpstr">
      <vt:lpstr>Listas</vt:lpstr>
      <vt:lpstr>Rango en indicadores</vt:lpstr>
      <vt:lpstr>Cont. Procesos a Política SGC</vt:lpstr>
      <vt:lpstr>Seguimiento Medición</vt:lpstr>
      <vt:lpstr>Resúmen Desempeño de Procesos</vt:lpstr>
      <vt:lpstr>Informe Cons. Desempeño - Sgto.</vt:lpstr>
      <vt:lpstr>01 Direcc Estratégico POA 2020 </vt:lpstr>
      <vt:lpstr>02 G. Conoc Innovación POA 2020</vt:lpstr>
      <vt:lpstr>03 Direccionamient TIC POA 2020</vt:lpstr>
      <vt:lpstr>04 Comunicación Estrat POA 2020</vt:lpstr>
      <vt:lpstr>05 Prom Defen Derechos POA 2020</vt:lpstr>
      <vt:lpstr>06 Prev Ctrl Func Públ POA 2020</vt:lpstr>
      <vt:lpstr>07 Potestad Discip POA 2020</vt:lpstr>
      <vt:lpstr>08 Gestión Talento Hum POA 2020</vt:lpstr>
      <vt:lpstr>09 Gestión Admin POA 2020</vt:lpstr>
      <vt:lpstr>10 Gestión Financiera POA 2020</vt:lpstr>
      <vt:lpstr>11 Gestión Contractual POA 2020</vt:lpstr>
      <vt:lpstr>12 Gestión Documental POA 2020</vt:lpstr>
      <vt:lpstr>13 Gestión Jurídica POA 2020 </vt:lpstr>
      <vt:lpstr>14 Servicio al Usuario POA 2020</vt:lpstr>
      <vt:lpstr>15 Ctr Disc Interno POA 2020</vt:lpstr>
      <vt:lpstr>16 Evaluacion y Segto POA 2020</vt:lpstr>
      <vt:lpstr>INSTRUCTIVO PL (Pág 3 de 3)</vt:lpstr>
      <vt:lpstr>CONTROL CAMBIOS FR</vt:lpstr>
      <vt:lpstr>'04 Comunicación Estrat POA 2020'!Área_de_impresión</vt:lpstr>
      <vt:lpstr>'04 Comunicación Estrat POA 2020'!Títulos_a_imprimir</vt:lpstr>
      <vt:lpstr>'INSTRUCTIVO PL (Pág 3 de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Tibaduiza Sanabria</dc:creator>
  <cp:lastModifiedBy>LISETH MORALES R.</cp:lastModifiedBy>
  <cp:lastPrinted>2019-01-28T15:39:20Z</cp:lastPrinted>
  <dcterms:created xsi:type="dcterms:W3CDTF">2014-12-22T19:20:09Z</dcterms:created>
  <dcterms:modified xsi:type="dcterms:W3CDTF">2021-01-15T05:23:46Z</dcterms:modified>
</cp:coreProperties>
</file>